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24226"/>
  <xr:revisionPtr revIDLastSave="0" documentId="13_ncr:1_{4681B824-0F21-46B2-AE47-387906D9CEEB}" xr6:coauthVersionLast="47" xr6:coauthVersionMax="47" xr10:uidLastSave="{00000000-0000-0000-0000-000000000000}"/>
  <bookViews>
    <workbookView xWindow="28680" yWindow="-120" windowWidth="29040" windowHeight="15840" tabRatio="822" activeTab="1" xr2:uid="{506E9D97-C461-406A-AD5D-CD8F5F87271D}"/>
  </bookViews>
  <sheets>
    <sheet name="Project Overview" sheetId="215" r:id="rId1"/>
    <sheet name="Exhibit 1" sheetId="144" r:id="rId2"/>
    <sheet name="Exhibit 2" sheetId="286" r:id="rId3"/>
    <sheet name="Class Allocation" sheetId="135" r:id="rId4"/>
    <sheet name="Exhibit 3" sheetId="287" r:id="rId5"/>
    <sheet name="OU Collection" sheetId="137" r:id="rId6"/>
    <sheet name="RevReq" sheetId="138" r:id="rId7"/>
    <sheet name="Net Assets" sheetId="139" r:id="rId8"/>
    <sheet name="OpEx" sheetId="140" r:id="rId9"/>
    <sheet name="Exhibit 4" sheetId="288" r:id="rId10"/>
    <sheet name="2024 Filing &gt;&gt;" sheetId="277" r:id="rId11"/>
    <sheet name="Rev Req 2024-Distr" sheetId="278" r:id="rId12"/>
    <sheet name="ROR 2024" sheetId="285" r:id="rId13"/>
    <sheet name="Cap&amp;OpEx 2024" sheetId="279" r:id="rId14"/>
    <sheet name="Depreciation 2024" sheetId="280" r:id="rId15"/>
    <sheet name="Tax Depr 2024" sheetId="284" r:id="rId16"/>
    <sheet name="2024 Capital Budget" sheetId="283" r:id="rId17"/>
    <sheet name="COS Budget 2024" sheetId="275" r:id="rId18"/>
    <sheet name="Retirements 2024" sheetId="282" r:id="rId19"/>
    <sheet name="Day 4 Report -Dec 2023" sheetId="276" r:id="rId20"/>
    <sheet name="2023 Filing &gt;&gt;" sheetId="242" r:id="rId21"/>
    <sheet name="Rev Req 2023-Distr" sheetId="245" r:id="rId22"/>
    <sheet name="Cap&amp;OpEx 2023" sheetId="248" r:id="rId23"/>
    <sheet name="A216810396964DCDB399904ED81BA8E" sheetId="272" state="veryHidden" r:id="rId24"/>
    <sheet name="2023 Capital Budget" sheetId="263" r:id="rId25"/>
    <sheet name="COS Budget 2023" sheetId="264" r:id="rId26"/>
    <sheet name="Tax Depr 2023" sheetId="268" r:id="rId27"/>
    <sheet name="Base Rate Retirements 2023" sheetId="267" r:id="rId28"/>
    <sheet name="202301 Bk Depr" sheetId="249" r:id="rId29"/>
    <sheet name="202302 Bk Depr" sheetId="250" r:id="rId30"/>
    <sheet name="202303 Bk Depr" sheetId="251" r:id="rId31"/>
    <sheet name="202304 Bk Depr" sheetId="252" r:id="rId32"/>
    <sheet name="202305 Bk Depr" sheetId="253" r:id="rId33"/>
    <sheet name="202306 Bk Depr" sheetId="254" r:id="rId34"/>
    <sheet name="202307 Bk Depr" sheetId="255" r:id="rId35"/>
    <sheet name="202308 Bk Depr" sheetId="256" r:id="rId36"/>
    <sheet name="202309 Bk Depr" sheetId="257" r:id="rId37"/>
    <sheet name="202310 Bk Depr" sheetId="258" r:id="rId38"/>
    <sheet name="202311 Bk Depr" sheetId="259" r:id="rId39"/>
    <sheet name="202312 Bk Depr" sheetId="260" r:id="rId40"/>
    <sheet name="Day 4 Report -Dec 2022" sheetId="266" r:id="rId41"/>
    <sheet name="ROR 2023" sheetId="247" r:id="rId42"/>
    <sheet name="2022 XM OU" sheetId="269" r:id="rId43"/>
    <sheet name="2022 Filing &gt;&gt;" sheetId="216" r:id="rId44"/>
    <sheet name="Rev Req 2022-Distr" sheetId="217" r:id="rId45"/>
    <sheet name="Cap&amp;OpEx 2022" sheetId="220" r:id="rId46"/>
    <sheet name="Tax Depr 2022 - Dist" sheetId="233" r:id="rId47"/>
    <sheet name="2022 Capital Budget" sheetId="238" r:id="rId48"/>
    <sheet name="COS Budget 2022" sheetId="239" r:id="rId49"/>
    <sheet name="202201 Bk Depr" sheetId="221" r:id="rId50"/>
    <sheet name="202202 Bk Depr" sheetId="222" r:id="rId51"/>
    <sheet name="202203 Bk Depr" sheetId="223" r:id="rId52"/>
    <sheet name="202204 Bk Depr" sheetId="224" r:id="rId53"/>
    <sheet name="202205 Bk Depr" sheetId="225" r:id="rId54"/>
    <sheet name="202206 Bk Depr" sheetId="226" r:id="rId55"/>
    <sheet name="202207 Bk Depr" sheetId="227" r:id="rId56"/>
    <sheet name="202208 Bk Depr" sheetId="228" r:id="rId57"/>
    <sheet name="202209 Bk Depr" sheetId="229" r:id="rId58"/>
    <sheet name="202210 Bk Depr" sheetId="230" r:id="rId59"/>
    <sheet name="202211 Bk Depr" sheetId="231" r:id="rId60"/>
    <sheet name="202212 Bk Depr" sheetId="232" r:id="rId61"/>
    <sheet name="ROR 2022" sheetId="219" r:id="rId62"/>
    <sheet name="Base Rate Retirements 2022" sheetId="241" r:id="rId63"/>
    <sheet name="Day 4 Report -Dec 2021" sheetId="240" r:id="rId64"/>
    <sheet name="2021 Filing &gt;&gt;" sheetId="189" r:id="rId65"/>
    <sheet name="Rev Req 2021-Distr" sheetId="190" r:id="rId66"/>
    <sheet name="Rev Req 2021-Trans" sheetId="191" r:id="rId67"/>
    <sheet name="Cap&amp;OpEx 2021" sheetId="192" r:id="rId68"/>
    <sheet name="202101 Bk Depr" sheetId="193" r:id="rId69"/>
    <sheet name="202102 Bk Depr" sheetId="194" r:id="rId70"/>
    <sheet name="202103 Bk Depr" sheetId="195" r:id="rId71"/>
    <sheet name="202104 Bk Depr" sheetId="196" r:id="rId72"/>
    <sheet name="202105 Bk Depr" sheetId="197" r:id="rId73"/>
    <sheet name="202106 Bk Depr" sheetId="198" r:id="rId74"/>
    <sheet name="202107 Bk Depr" sheetId="199" r:id="rId75"/>
    <sheet name="202108 Bk Depr" sheetId="200" r:id="rId76"/>
    <sheet name="202109 Bk Depr" sheetId="201" r:id="rId77"/>
    <sheet name="202110 Bk Depr" sheetId="202" r:id="rId78"/>
    <sheet name="202111 Bk Depr" sheetId="203" r:id="rId79"/>
    <sheet name="202112 Bk Depr" sheetId="204" r:id="rId80"/>
    <sheet name="Tax Depr 2021-Dist" sheetId="205" r:id="rId81"/>
    <sheet name="Tax Depr 2021-Trans" sheetId="206" r:id="rId82"/>
    <sheet name="2021 Capital Budget" sheetId="211" r:id="rId83"/>
    <sheet name="COS Budget 2021" sheetId="210" r:id="rId84"/>
    <sheet name="Base Rate Retirements 2021" sheetId="208" r:id="rId85"/>
    <sheet name="Day 4 Report Dec 2020" sheetId="212" r:id="rId86"/>
    <sheet name="ROR Eff 07.2021" sheetId="214" r:id="rId87"/>
    <sheet name="ROR 2021" sheetId="207" r:id="rId88"/>
    <sheet name="2020 Support &gt;&gt;" sheetId="186" r:id="rId89"/>
    <sheet name="Rev Req 2020-Distr" sheetId="167" r:id="rId90"/>
    <sheet name="Rev Req 2020-Trans" sheetId="168" r:id="rId91"/>
    <sheet name="ROR 2020" sheetId="8" r:id="rId92"/>
    <sheet name="Cap&amp;OpEx 2020" sheetId="170" r:id="rId93"/>
    <sheet name="202001 Bk Depr" sheetId="171" r:id="rId94"/>
    <sheet name="202002 Bk Depr" sheetId="172" r:id="rId95"/>
    <sheet name="202003 Bk Depr" sheetId="173" r:id="rId96"/>
    <sheet name="202004 Bk Depr" sheetId="174" r:id="rId97"/>
    <sheet name="202005 Bk Depr" sheetId="175" r:id="rId98"/>
    <sheet name="202006 Bk Depr" sheetId="176" r:id="rId99"/>
    <sheet name="202007 Bk Depr" sheetId="177" r:id="rId100"/>
    <sheet name="202008 Bk Depr" sheetId="178" r:id="rId101"/>
    <sheet name="202009 Bk Depr" sheetId="179" r:id="rId102"/>
    <sheet name="202010 Bk Depr" sheetId="180" r:id="rId103"/>
    <sheet name="202011 Bk Depr" sheetId="181" r:id="rId104"/>
    <sheet name="202012 Bk Depr" sheetId="182" r:id="rId105"/>
    <sheet name="Tax Depr 2020-Dist" sheetId="183" r:id="rId106"/>
    <sheet name="Tax Depr 2020-Trans" sheetId="187" r:id="rId107"/>
    <sheet name="2020 Capital Budget" sheetId="184" r:id="rId108"/>
    <sheet name="COS Budget 2020" sheetId="185" r:id="rId109"/>
    <sheet name="Base Rate Retirements 2020" sheetId="188" r:id="rId110"/>
    <sheet name="2019 Support &gt;&gt;" sheetId="145" r:id="rId111"/>
    <sheet name="Rev Req 2019-Distr" sheetId="146" r:id="rId112"/>
    <sheet name="Rev Req 2019-Trans" sheetId="147" r:id="rId113"/>
    <sheet name="Cap&amp;OpEx 2019" sheetId="149" r:id="rId114"/>
    <sheet name="201901 Bk Depr" sheetId="150" r:id="rId115"/>
    <sheet name="201902 Bk Depr" sheetId="151" r:id="rId116"/>
    <sheet name="201903 Bk Depr" sheetId="152" r:id="rId117"/>
    <sheet name="201904 Bk Depr" sheetId="153" r:id="rId118"/>
    <sheet name="201905 Bk Depr" sheetId="154" r:id="rId119"/>
    <sheet name="201906 Bk Depr" sheetId="155" r:id="rId120"/>
    <sheet name="201907 Bk Depr" sheetId="156" r:id="rId121"/>
    <sheet name="201908 Bk Depr" sheetId="157" r:id="rId122"/>
    <sheet name="201909 Bk Depr" sheetId="158" r:id="rId123"/>
    <sheet name="201910 Bk Depr" sheetId="159" r:id="rId124"/>
    <sheet name="201911 Bk Depr" sheetId="160" r:id="rId125"/>
    <sheet name="201912 Bk Depr" sheetId="161" r:id="rId126"/>
    <sheet name="Tax Depr 2019" sheetId="162" r:id="rId127"/>
    <sheet name="2019 Capital Budget" sheetId="165" r:id="rId128"/>
    <sheet name="2018 Support &gt;&gt;" sheetId="127" r:id="rId129"/>
    <sheet name="Rev Req 2018-Distr" sheetId="131" r:id="rId130"/>
    <sheet name="Rev Req 2018-Trans" sheetId="132" r:id="rId131"/>
    <sheet name="Cap&amp;OpEx 2018" sheetId="114" r:id="rId132"/>
    <sheet name="201801 Bk Depr" sheetId="113" r:id="rId133"/>
    <sheet name="201802 Bk Depr" sheetId="116" r:id="rId134"/>
    <sheet name="201803 Bk Depr" sheetId="117" r:id="rId135"/>
    <sheet name="201804 Bk Depr" sheetId="118" r:id="rId136"/>
    <sheet name="201805 Bk Depr" sheetId="119" r:id="rId137"/>
    <sheet name="201806 Bk Depr" sheetId="120" r:id="rId138"/>
    <sheet name="201807 Bk Depr" sheetId="121" r:id="rId139"/>
    <sheet name="201808 Bk Depr" sheetId="122" r:id="rId140"/>
    <sheet name="201809 Bk Depr" sheetId="123" r:id="rId141"/>
    <sheet name="201810 Bk Depr" sheetId="124" r:id="rId142"/>
    <sheet name="201811 Bk Depr" sheetId="125" r:id="rId143"/>
    <sheet name="201812 Bk Depr" sheetId="126" r:id="rId144"/>
    <sheet name="Tax Depr 2018" sheetId="130" r:id="rId145"/>
    <sheet name="2018 Capital Budget" sheetId="128" r:id="rId146"/>
    <sheet name="2017 Support &gt;&gt;" sheetId="115" r:id="rId147"/>
    <sheet name="Rev Req 2017-Distr" sheetId="91" r:id="rId148"/>
    <sheet name="Rev Req 2017-Trans" sheetId="111" r:id="rId149"/>
    <sheet name="Cap&amp;OpEx 2017" sheetId="92" r:id="rId150"/>
    <sheet name="201707 Bk Depr" sheetId="99" r:id="rId151"/>
    <sheet name="201708 Bk Depr" sheetId="100" r:id="rId152"/>
    <sheet name="201709 Bk Depr" sheetId="101" r:id="rId153"/>
    <sheet name="201710 Bk Depr" sheetId="102" r:id="rId154"/>
    <sheet name="201711 Bk Depr" sheetId="103" r:id="rId155"/>
    <sheet name="201712 Bk Depr" sheetId="104" r:id="rId156"/>
    <sheet name="Tax Depr 2017" sheetId="108" r:id="rId157"/>
    <sheet name="Capital Budget 2017" sheetId="110" r:id="rId158"/>
  </sheets>
  <externalReferences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A" localSheetId="14">#REF!</definedName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_LVS1">#REF!</definedName>
    <definedName name="_____LVS2">#REF!</definedName>
    <definedName name="____LVS1">#REF!</definedName>
    <definedName name="____LVS2">#REF!</definedName>
    <definedName name="____W.O.R.K.B.O.O.K..C.O.N.T.E.N.T.S____">#REF!</definedName>
    <definedName name="___LVS1">#REF!</definedName>
    <definedName name="___LVS2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LVS1">#REF!</definedName>
    <definedName name="__LVS2">#REF!</definedName>
    <definedName name="_1_2_qry_export_cwip">#REF!</definedName>
    <definedName name="_adj2" localSheetId="14">'[1]adjustment 1'!$F$8:$F$1901</definedName>
    <definedName name="_adj2">'[2]adjustment 1'!$F$8:$F$1901</definedName>
    <definedName name="_amt2" localSheetId="14">'[1]adjustment 1'!$BZ$8:$BZ$1901</definedName>
    <definedName name="_amt2">'[2]adjustment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con4050" hidden="1">{#N/A,"Anonymous",FALSE,"30 30k Table";#N/A,#N/A,FALSE,"30 50k Table";#N/A,#N/A,FALSE,"40 100k Table"}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2">#REF!</definedName>
    <definedName name="_Dist_Bin" hidden="1">#REF!</definedName>
    <definedName name="_Dist_Values" hidden="1">#REF!</definedName>
    <definedName name="_Fill" hidden="1">#REF!</definedName>
    <definedName name="_xlnm._FilterDatabase" localSheetId="127" hidden="1">'2019 Capital Budget'!$F$54:$L$55</definedName>
    <definedName name="_xlnm._FilterDatabase" localSheetId="107" hidden="1">'2020 Capital Budget'!$A$84:$W$84</definedName>
    <definedName name="_xlnm._FilterDatabase" localSheetId="23" hidden="1">A216810396964DCDB399904ED81BA8E!$A$1:$C$1</definedName>
    <definedName name="_JF1">'[3]VA REV'!$A$3:$W$26</definedName>
    <definedName name="_JF10">#REF!</definedName>
    <definedName name="_jf1039">#REF!</definedName>
    <definedName name="_jf1040">#REF!</definedName>
    <definedName name="_JF19">#REF!</definedName>
    <definedName name="_jf20">#REF!</definedName>
    <definedName name="_jf21">#REF!</definedName>
    <definedName name="_JF3">'[3]VA UNBILL'!$A$2:$W$23</definedName>
    <definedName name="_jf38">#REF!</definedName>
    <definedName name="_jf39">#REF!</definedName>
    <definedName name="_jf40">#REF!</definedName>
    <definedName name="_jf42">#REF!</definedName>
    <definedName name="_JF47">#REF!</definedName>
    <definedName name="_JF63">#REF!</definedName>
    <definedName name="_jf65">#REF!</definedName>
    <definedName name="_jf66">#REF!</definedName>
    <definedName name="_jf819">#REF!</definedName>
    <definedName name="_JF84">#REF!</definedName>
    <definedName name="_JF9">#REF!</definedName>
    <definedName name="_Key1" localSheetId="14" hidden="1">#REF!</definedName>
    <definedName name="_Key1" hidden="1">#REF!</definedName>
    <definedName name="_LVS1">#REF!</definedName>
    <definedName name="_LVS2">#REF!</definedName>
    <definedName name="_Order1" localSheetId="14" hidden="1">255</definedName>
    <definedName name="_Order1" hidden="1">0</definedName>
    <definedName name="_Order2" localSheetId="14" hidden="1">255</definedName>
    <definedName name="_Order2" hidden="1">0</definedName>
    <definedName name="_pap05">#REF!</definedName>
    <definedName name="_pap06">#REF!</definedName>
    <definedName name="_Parse_In" hidden="1">#REF!</definedName>
    <definedName name="_Parse_Out" hidden="1">#REF!</definedName>
    <definedName name="_PD1">#REF!</definedName>
    <definedName name="_PD2">#REF!</definedName>
    <definedName name="_PDM1">#REF!</definedName>
    <definedName name="_PDM2">#REF!</definedName>
    <definedName name="_Regression_Int" hidden="1">1</definedName>
    <definedName name="_Regression_Out" localSheetId="14" hidden="1">#REF!</definedName>
    <definedName name="_Regression_Out" hidden="1">#REF!</definedName>
    <definedName name="_Regression_X" localSheetId="14" hidden="1">#REF!</definedName>
    <definedName name="_Regression_X" hidden="1">#REF!</definedName>
    <definedName name="_Regression_Y" hidden="1">#REF!</definedName>
    <definedName name="_ROR1">#REF!</definedName>
    <definedName name="_S">#REF!</definedName>
    <definedName name="_Sort" hidden="1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able1_In1" hidden="1">#REF!</definedName>
    <definedName name="_Table1_Out" hidden="1">#REF!</definedName>
    <definedName name="_Table2_Out" hidden="1">#REF!</definedName>
    <definedName name="a">[4]PPAct!$B$246:$P$256</definedName>
    <definedName name="A_P">#REF!</definedName>
    <definedName name="A_P_GAS">#REF!</definedName>
    <definedName name="AAFACTOR">'[5]WP 40-1'!$F$68</definedName>
    <definedName name="ab">[6]PPAct!$B$246:$P$256</definedName>
    <definedName name="ABFACTOR">'[5]WP 40-1'!$F$70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[7]assump!$G$46</definedName>
    <definedName name="aCapital_Distr_Distr">[7]assump!$G$69:$K$69</definedName>
    <definedName name="aCapital_Distr_Gath">[7]assump!$G$70:$K$70</definedName>
    <definedName name="aCapital_Distr_gen">[7]assump!$G$72:$K$72</definedName>
    <definedName name="aCapital_Distr_PL">[7]assump!$G$68:$K$68</definedName>
    <definedName name="aCapital_Distr_ungd">[7]assump!$G$71:$K$71</definedName>
    <definedName name="aCapital_PL_Distr">[7]assump!$G$80:$K$80</definedName>
    <definedName name="aCapital_PL_Gath">[7]assump!$G$81:$K$81</definedName>
    <definedName name="aCapital_PL_Gen">[7]assump!$G$83:$K$83</definedName>
    <definedName name="aCapital_PL_PL">[7]assump!$G$79:$K$79</definedName>
    <definedName name="aCapital_PL_Ungd">[7]assump!$G$82:$K$82</definedName>
    <definedName name="acct">#REF!</definedName>
    <definedName name="actual">[8]summary!$G$2:$G$3577</definedName>
    <definedName name="ACwvu.ANALYSIS._.1." hidden="1">#REF!</definedName>
    <definedName name="ACwvu.ANALYSIS._.2." hidden="1">#REF!</definedName>
    <definedName name="ACwvu.grid._.lines." hidden="1">[9]JE!#REF!</definedName>
    <definedName name="ACwvu.OPERATING._.EXPENSES." hidden="1">#REF!</definedName>
    <definedName name="aDeprRate_Distr">[7]assump!$G$21</definedName>
    <definedName name="aDeprRate_Gath">[7]assump!$G$22</definedName>
    <definedName name="aDeprRate_Gen">[7]assump!$G$24</definedName>
    <definedName name="aDeprRate_PL">[7]assump!$G$20</definedName>
    <definedName name="aDeprRate_Ungd">[7]assump!$G$23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Val">#REF!</definedName>
    <definedName name="AEL_1080" localSheetId="14">#REF!</definedName>
    <definedName name="AEL_1080">#REF!</definedName>
    <definedName name="AEL_1110" localSheetId="14">#REF!</definedName>
    <definedName name="AEL_1110">#REF!</definedName>
    <definedName name="AFACTOR">'[5]WP 40-1'!$F$13</definedName>
    <definedName name="aFITRate">[7]assump!$G$143</definedName>
    <definedName name="aGasPrice">[7]assump!$G$45</definedName>
    <definedName name="aic">[10]AIC!$C$14:$G$27</definedName>
    <definedName name="aic_tba">[10]AIC!$L$14:$T$65</definedName>
    <definedName name="ALL_CUST">#REF!</definedName>
    <definedName name="ALL_DEM">#REF!</definedName>
    <definedName name="ALLOC_02">#REF!</definedName>
    <definedName name="alloc_table">#REF!</definedName>
    <definedName name="aLUG">[7]assump!$G$43</definedName>
    <definedName name="amounts">#REF!</definedName>
    <definedName name="amt" localSheetId="14">'[11]Rpt 1033-Feb05-Deprec. Exp.'!$L$3:$L$1706</definedName>
    <definedName name="amt">'[12]Rpt 1033-Feb05-Deprec. Exp.'!$L$3:$L$1706</definedName>
    <definedName name="aRecoverRate_Distr">[7]assump!$G$37</definedName>
    <definedName name="aRecoverRate_Gath">[7]assump!$G$38</definedName>
    <definedName name="aRecoverRate_Gen">[7]assump!$G$40</definedName>
    <definedName name="aRecoverRate_PL">[7]assump!$G$36</definedName>
    <definedName name="aRecoverRate_Ungd">[7]assump!$G$39</definedName>
    <definedName name="aRetireRate_Distr">[7]assump!$G$30</definedName>
    <definedName name="aRetireRate_Gath">[7]assump!$G$31</definedName>
    <definedName name="aRetireRate_Gen">[7]assump!$G$33</definedName>
    <definedName name="aRetireRate_PL">[7]assump!$G$29</definedName>
    <definedName name="aRetireRate_Ungd">[7]assump!$G$32</definedName>
    <definedName name="aRevenueTaxRate">[7]assump!$G$44</definedName>
    <definedName name="as" hidden="1">{"Summary",#N/A,FALSE,"Options "}</definedName>
    <definedName name="AS2DocOpenMode" hidden="1">"AS2DocumentEdit"</definedName>
    <definedName name="ashwin" hidden="1">{#N/A,"Anonymous",FALSE,"30 30k Table";#N/A,#N/A,FALSE,"30 50k Table";#N/A,#N/A,FALSE,"40 100k Table"}</definedName>
    <definedName name="Assessment_FooterType" hidden="1">"NONE"</definedName>
    <definedName name="Assessments_FooterType" hidden="1">"NONE"</definedName>
    <definedName name="ATMOS_1080" localSheetId="14">#REF!</definedName>
    <definedName name="ATMOS_1080">#REF!</definedName>
    <definedName name="ATMOS_1110" localSheetId="14">#REF!</definedName>
    <definedName name="ATMOS_1110">#REF!</definedName>
    <definedName name="aYear1">[7]assump!$G$52:$G$85</definedName>
    <definedName name="aYear2">[7]assump!$H$52:$H$85</definedName>
    <definedName name="aYear3">[7]assump!$I$52:$I$85</definedName>
    <definedName name="aYear4">[7]assump!$J$52:$J$85</definedName>
    <definedName name="aYear5">[7]assump!$K$52:$K$85</definedName>
    <definedName name="B">[4]PPBud!$B$246:$P$256</definedName>
    <definedName name="badger" hidden="1">{"TOT_QTR_TO_PREV",#N/A,FALSE,"Site Sum"}</definedName>
    <definedName name="badger1" hidden="1">{"TOT_QTR_TO_PREV",#N/A,FALSE,"Site Sum"}</definedName>
    <definedName name="bal">#REF!</definedName>
    <definedName name="Base_Case">'[13]TXU model'!$B$3:$L$44,'[13]TXU model'!#REF!,'[13]TXU model'!$B$46:$L$100,'[13]TXU model'!$B$104:$L$113,'[13]TXU model'!$B$117:$L$169,'[13]TXU model'!$B$235:$L$252,'[13]TXU model'!$B$254:$L$300,'[13]TXU model'!$B$303:$L$341,'[13]TXU model'!$B$343:$L$381,'[13]TXU model'!$B$383:$L$409,'[13]TXU model'!$B$411:$L$443</definedName>
    <definedName name="Base_Volume">#REF!</definedName>
    <definedName name="basis">'[14]AIC - Basis Adj'!$E$14:$H$64</definedName>
    <definedName name="bc">[6]PPBud!$B$246:$P$256</definedName>
    <definedName name="Benefits">#REF!</definedName>
    <definedName name="BFACTOR">'[5]WP 40-1'!$F$15</definedName>
    <definedName name="bk_pis">'[15]Basis Adj'!$A$15:$F$62</definedName>
    <definedName name="Block">#REF!</definedName>
    <definedName name="Block_1">[7]assump!$I$92:$I$131</definedName>
    <definedName name="Block_2">[7]assump!$J$92:$J$131</definedName>
    <definedName name="Block_3">[7]assump!$K$92:$K$131</definedName>
    <definedName name="Block_4">[7]assump!$L$92:$L$131</definedName>
    <definedName name="BOB">#REF!</definedName>
    <definedName name="book_cwip">'[16]PPE_Cost - CWIP'!$D$10:$I$110</definedName>
    <definedName name="book_rwip">'[16]Rollforward - Tax CWIP_RWIP'!$V$43:$Y$85</definedName>
    <definedName name="bs_aut">'[10]AUT BS (BU)'!$C$8:$P$436</definedName>
    <definedName name="bs_nr">'[10]NR Cost&amp;Accum'!$C$6:$M$92</definedName>
    <definedName name="bu">[8]summary!$B$2:$B$3577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ap_depr">'[10]Cap Depr'!$A$14:$F$77</definedName>
    <definedName name="cap_int">'[10]Cap Int (AFUDC)'!$B$12:$G$78</definedName>
    <definedName name="cap_int_adj">'[10]Cap Int (AFUDC)'!$K$12:$Q$71</definedName>
    <definedName name="Cap_oh">'[17]Cap OH'!$D$12:$M$50</definedName>
    <definedName name="cap_oh_pis">'[10]Cap OH'!$B$12:$F$20</definedName>
    <definedName name="cap_oh_res">'[10]Cap OH'!$B$21:$F$29</definedName>
    <definedName name="cap_oh_tba">'[10]Cap OH'!$I$12:$P$52</definedName>
    <definedName name="cap_soft">'[10]Cap Software'!$A$12:$K$26</definedName>
    <definedName name="cap_soft_adj">'[10]Cap Software'!$M$13:$U$33</definedName>
    <definedName name="CapAct">[18]CapBud!$A$40:$EA$44</definedName>
    <definedName name="CapBud">[18]CapBud!$A$20:$EA$38</definedName>
    <definedName name="capex">'[15](A) Piv - AIC (CR data)'!$A$10:$G$44</definedName>
    <definedName name="CapStructureTotal">'[19]Schedule VII'!$I$17</definedName>
    <definedName name="case" localSheetId="14">#N/A</definedName>
    <definedName name="case">#N/A</definedName>
    <definedName name="CaseName">[7]assump!$D$4</definedName>
    <definedName name="CaseNo." localSheetId="14">[5]FACTORS!$C$7</definedName>
    <definedName name="CaseNo.">'[20]DATA INPUT'!$C$10</definedName>
    <definedName name="Category_Report" localSheetId="14">#REF!</definedName>
    <definedName name="Category_Report">#REF!</definedName>
    <definedName name="CBWorkbookPriority" hidden="1">-1523877792</definedName>
    <definedName name="CC_Spread">'[21]Tech Serv Mgr Data Entry'!$C$53:$I$133</definedName>
    <definedName name="CC1_1">'[22]40-C'!$E$7</definedName>
    <definedName name="CC1_10">'[22]40-C'!$E$34</definedName>
    <definedName name="CC1_11">'[22]40-C'!$E$37</definedName>
    <definedName name="CC1_13">'[22]40-C'!$E$43</definedName>
    <definedName name="CC1_2">'[22]40-C'!$E$10</definedName>
    <definedName name="CC1_3">'[22]40-C'!$E$13</definedName>
    <definedName name="CC1_4">'[22]40-C'!$E$16</definedName>
    <definedName name="CC1_5">'[22]40-C'!$E$19</definedName>
    <definedName name="CC1_6">'[22]40-C'!$E$22</definedName>
    <definedName name="CC1_7">'[22]40-C'!$E$25</definedName>
    <definedName name="CC1_8">'[22]40-C'!$E$28</definedName>
    <definedName name="CC1_9">'[22]40-C'!$E$31</definedName>
    <definedName name="cc2_1">'[22]40-C'!$G$7</definedName>
    <definedName name="CC2_10">'[22]40-C'!$G$34</definedName>
    <definedName name="CC2_11">'[22]40-C'!$G$37</definedName>
    <definedName name="CC2_13">'[22]40-C'!$G$43</definedName>
    <definedName name="CC2_2">'[22]40-C'!$G$10</definedName>
    <definedName name="CC2_3">'[22]40-C'!$G$13</definedName>
    <definedName name="CC2_4">'[22]40-C'!$G$16</definedName>
    <definedName name="CC2_5">'[22]40-C'!$G$19</definedName>
    <definedName name="CC2_6">'[22]40-C'!$G$22</definedName>
    <definedName name="CC2_7">'[22]40-C'!$G$25</definedName>
    <definedName name="CC2_8">'[22]40-C'!$G$28</definedName>
    <definedName name="CC2_9">'[22]40-C'!$G$31</definedName>
    <definedName name="CEActAPT">[23]PPAct!$B$246:$P$256</definedName>
    <definedName name="CEAPT">[24]APT!$A$9:$N$27</definedName>
    <definedName name="CEBudAPT">[23]PPBud!$B$246:$P$256</definedName>
    <definedName name="CESSU">[25]SSU!$A$9:$N$27</definedName>
    <definedName name="chancom">[26]Columbus04!#REF!</definedName>
    <definedName name="chanpa">[26]Columbus04!#REF!</definedName>
    <definedName name="CheckDataCol_49" localSheetId="3">[27]Data!$BK$74</definedName>
    <definedName name="CheckDataCol_49" localSheetId="108">#REF!</definedName>
    <definedName name="CheckDataCol_49" localSheetId="1">#REF!</definedName>
    <definedName name="CheckDataCol_49" localSheetId="2">#REF!</definedName>
    <definedName name="CheckDataCol_49" localSheetId="4">#REF!</definedName>
    <definedName name="CheckDataCol_49" localSheetId="9">#REF!</definedName>
    <definedName name="CheckDataCol_49">#REF!</definedName>
    <definedName name="ClrInptfrEst" localSheetId="3">[28]Input!$K$60,[28]Input!$K$61,[28]Input!$K$63,[28]Input!$K$67,[28]Input!#REF!,[28]Input!#REF!,[28]Input!#REF!,[28]Input!$K$64,[28]Input!$K$38,[28]Input!$K$39,[28]Input!$K$40</definedName>
    <definedName name="ClrInptfrEst" localSheetId="108">[28]Input!$K$60,[28]Input!$K$61,[28]Input!$K$63,[28]Input!$K$67,[28]Input!#REF!,[28]Input!#REF!,[28]Input!#REF!,[28]Input!$K$64,[28]Input!$K$38,[28]Input!$K$39,[28]Input!$K$40</definedName>
    <definedName name="ClrInptfrEst" localSheetId="1">[28]Input!$K$60,[28]Input!$K$61,[28]Input!$K$63,[28]Input!$K$67,[28]Input!#REF!,[28]Input!#REF!,[28]Input!#REF!,[28]Input!$K$64,[28]Input!$K$38,[28]Input!$K$39,[28]Input!$K$40</definedName>
    <definedName name="ClrInptfrEst" localSheetId="2">[28]Input!$K$60,[28]Input!$K$61,[28]Input!$K$63,[28]Input!$K$67,[28]Input!#REF!,[28]Input!#REF!,[28]Input!#REF!,[28]Input!$K$64,[28]Input!$K$38,[28]Input!$K$39,[28]Input!$K$40</definedName>
    <definedName name="ClrInptfrEst" localSheetId="4">[28]Input!$K$60,[28]Input!$K$61,[28]Input!$K$63,[28]Input!$K$67,[28]Input!#REF!,[28]Input!#REF!,[28]Input!#REF!,[28]Input!$K$64,[28]Input!$K$38,[28]Input!$K$39,[28]Input!$K$40</definedName>
    <definedName name="ClrInptfrEst" localSheetId="9">[28]Input!$K$60,[28]Input!$K$61,[28]Input!$K$63,[28]Input!$K$67,[28]Input!#REF!,[28]Input!#REF!,[28]Input!#REF!,[28]Input!$K$64,[28]Input!$K$38,[28]Input!$K$39,[28]Input!$K$40</definedName>
    <definedName name="ClrInptfrEst" localSheetId="7">[28]Input!$K$60,[28]Input!$K$61,[28]Input!$K$63,[28]Input!$K$67,[28]Input!#REF!,[28]Input!#REF!,[28]Input!#REF!,[28]Input!$K$64,[28]Input!$K$38,[28]Input!$K$39,[28]Input!$K$40</definedName>
    <definedName name="ClrInptfrEst" localSheetId="8">[28]Input!$K$60,[28]Input!$K$61,[28]Input!$K$63,[28]Input!$K$67,[28]Input!#REF!,[28]Input!#REF!,[28]Input!#REF!,[28]Input!$K$64,[28]Input!$K$38,[28]Input!$K$39,[28]Input!$K$40</definedName>
    <definedName name="ClrInptfrEst">[28]Input!$K$60,[28]Input!$K$61,[28]Input!$K$63,[28]Input!$K$67,[28]Input!#REF!,[28]Input!#REF!,[28]Input!#REF!,[28]Input!$K$64,[28]Input!$K$38,[28]Input!$K$39,[28]Input!$K$40</definedName>
    <definedName name="co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MPANY" localSheetId="14">[5]FACTORS!$C$4</definedName>
    <definedName name="COMPANY">'[20]DATA INPUT'!$C$7</definedName>
    <definedName name="COMPARISON">#REF!</definedName>
    <definedName name="COMPOSITE">[5]FACTORS!$C$12</definedName>
    <definedName name="CompositeTaxRate">'[19]Schedule VI'!$G$13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R">'[17]COR on Ntwk Assets'!$C$14:$L$126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1_1">'[22]40-C'!$F$7</definedName>
    <definedName name="CU1_10">'[22]40-C'!$F$34</definedName>
    <definedName name="CU1_11">'[22]40-C'!$F$37</definedName>
    <definedName name="CU1_13">'[22]40-C'!$F$43</definedName>
    <definedName name="CU1_2">'[22]40-C'!$F$10</definedName>
    <definedName name="CU1_3">'[22]40-C'!$F$13</definedName>
    <definedName name="CU1_4">'[22]40-C'!$F$16</definedName>
    <definedName name="CU1_5">'[22]40-C'!$F$19</definedName>
    <definedName name="CU1_6">'[22]40-C'!$F$22</definedName>
    <definedName name="CU1_7">'[22]40-C'!$F$25</definedName>
    <definedName name="CU1_8">'[22]40-C'!$F$28</definedName>
    <definedName name="CU1_9">'[22]40-C'!$F$31</definedName>
    <definedName name="CU2_1">'[22]40-C'!$H$7</definedName>
    <definedName name="CU2_10">'[22]40-C'!$H$34</definedName>
    <definedName name="CU2_11">'[22]40-C'!$H$37</definedName>
    <definedName name="CU2_13">'[22]40-C'!$H$43</definedName>
    <definedName name="CU2_2">'[22]40-C'!$H$10</definedName>
    <definedName name="CU2_3">'[22]40-C'!$H$13</definedName>
    <definedName name="CU2_4">'[22]40-C'!$H$16</definedName>
    <definedName name="CU2_5">'[22]40-C'!$H$19</definedName>
    <definedName name="CU2_6">'[22]40-C'!$H$22</definedName>
    <definedName name="CU2_7">'[22]40-C'!$H$25</definedName>
    <definedName name="CU2_8">'[22]40-C'!$H$28</definedName>
    <definedName name="CU2_9">'[22]40-C'!$H$31</definedName>
    <definedName name="CurBillMonth" localSheetId="3">[27]Input!$K$4</definedName>
    <definedName name="CurBillMonth" localSheetId="108">#REF!</definedName>
    <definedName name="CurBillMonth" localSheetId="1">#REF!</definedName>
    <definedName name="CurBillMonth" localSheetId="2">#REF!</definedName>
    <definedName name="CurBillMonth" localSheetId="4">#REF!</definedName>
    <definedName name="CurBillMonth" localSheetId="9">#REF!</definedName>
    <definedName name="CurBillMonth">#REF!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[7]assump!$G$92:$G$131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[29]Graph!#REF!</definedName>
    <definedName name="cybud">[29]Graph!#REF!</definedName>
    <definedName name="DActDV">[30]EssDActDV!$A$8:$P$189</definedName>
    <definedName name="data" localSheetId="14">'[31]Summary Factors'!$A$5:$DC$67</definedName>
    <definedName name="data">#REF!</definedName>
    <definedName name="data_16">#REF!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Col_01" localSheetId="108">#REF!</definedName>
    <definedName name="DataCol_01" localSheetId="1">#REF!</definedName>
    <definedName name="DataCol_01" localSheetId="2">#REF!</definedName>
    <definedName name="DataCol_01" localSheetId="4">#REF!</definedName>
    <definedName name="DataCol_01" localSheetId="9">#REF!</definedName>
    <definedName name="DataCol_01">#REF!</definedName>
    <definedName name="DataCol_01_02" localSheetId="108">#REF!</definedName>
    <definedName name="DataCol_01_02" localSheetId="1">#REF!</definedName>
    <definedName name="DataCol_01_02" localSheetId="2">#REF!</definedName>
    <definedName name="DataCol_01_02" localSheetId="4">#REF!</definedName>
    <definedName name="DataCol_01_02" localSheetId="9">#REF!</definedName>
    <definedName name="DataCol_01_02">#REF!</definedName>
    <definedName name="DataCol_02" localSheetId="108">#REF!</definedName>
    <definedName name="DataCol_02" localSheetId="1">#REF!</definedName>
    <definedName name="DataCol_02" localSheetId="2">#REF!</definedName>
    <definedName name="DataCol_02" localSheetId="4">#REF!</definedName>
    <definedName name="DataCol_02" localSheetId="9">#REF!</definedName>
    <definedName name="DataCol_02">#REF!</definedName>
    <definedName name="DataCol_02_02" localSheetId="108">#REF!</definedName>
    <definedName name="DataCol_02_02" localSheetId="1">#REF!</definedName>
    <definedName name="DataCol_02_02" localSheetId="2">#REF!</definedName>
    <definedName name="DataCol_02_02" localSheetId="4">#REF!</definedName>
    <definedName name="DataCol_02_02" localSheetId="9">#REF!</definedName>
    <definedName name="DataCol_02_02">#REF!</definedName>
    <definedName name="DataCol_03" localSheetId="108">#REF!</definedName>
    <definedName name="DataCol_03" localSheetId="1">#REF!</definedName>
    <definedName name="DataCol_03" localSheetId="2">#REF!</definedName>
    <definedName name="DataCol_03" localSheetId="4">#REF!</definedName>
    <definedName name="DataCol_03" localSheetId="9">#REF!</definedName>
    <definedName name="DataCol_03">#REF!</definedName>
    <definedName name="DataCol_03_02" localSheetId="108">#REF!</definedName>
    <definedName name="DataCol_03_02" localSheetId="1">#REF!</definedName>
    <definedName name="DataCol_03_02" localSheetId="2">#REF!</definedName>
    <definedName name="DataCol_03_02" localSheetId="4">#REF!</definedName>
    <definedName name="DataCol_03_02" localSheetId="9">#REF!</definedName>
    <definedName name="DataCol_03_02">#REF!</definedName>
    <definedName name="DataCol_04" localSheetId="108">#REF!</definedName>
    <definedName name="DataCol_04" localSheetId="1">#REF!</definedName>
    <definedName name="DataCol_04" localSheetId="2">#REF!</definedName>
    <definedName name="DataCol_04" localSheetId="4">#REF!</definedName>
    <definedName name="DataCol_04" localSheetId="9">#REF!</definedName>
    <definedName name="DataCol_04">#REF!</definedName>
    <definedName name="DataCol_05" localSheetId="108">#REF!</definedName>
    <definedName name="DataCol_05" localSheetId="1">#REF!</definedName>
    <definedName name="DataCol_05" localSheetId="2">#REF!</definedName>
    <definedName name="DataCol_05" localSheetId="4">#REF!</definedName>
    <definedName name="DataCol_05" localSheetId="9">#REF!</definedName>
    <definedName name="DataCol_05">#REF!</definedName>
    <definedName name="DataCol_06" localSheetId="108">#REF!</definedName>
    <definedName name="DataCol_06" localSheetId="1">#REF!</definedName>
    <definedName name="DataCol_06" localSheetId="2">#REF!</definedName>
    <definedName name="DataCol_06" localSheetId="4">#REF!</definedName>
    <definedName name="DataCol_06" localSheetId="9">#REF!</definedName>
    <definedName name="DataCol_06">#REF!</definedName>
    <definedName name="DataCol_07" localSheetId="108">#REF!</definedName>
    <definedName name="DataCol_07" localSheetId="1">#REF!</definedName>
    <definedName name="DataCol_07" localSheetId="2">#REF!</definedName>
    <definedName name="DataCol_07" localSheetId="4">#REF!</definedName>
    <definedName name="DataCol_07" localSheetId="9">#REF!</definedName>
    <definedName name="DataCol_07">#REF!</definedName>
    <definedName name="DataCol_08" localSheetId="108">#REF!</definedName>
    <definedName name="DataCol_08" localSheetId="1">#REF!</definedName>
    <definedName name="DataCol_08" localSheetId="2">#REF!</definedName>
    <definedName name="DataCol_08" localSheetId="4">#REF!</definedName>
    <definedName name="DataCol_08" localSheetId="9">#REF!</definedName>
    <definedName name="DataCol_08">#REF!</definedName>
    <definedName name="DataCol_09" localSheetId="108">#REF!</definedName>
    <definedName name="DataCol_09" localSheetId="1">#REF!</definedName>
    <definedName name="DataCol_09" localSheetId="2">#REF!</definedName>
    <definedName name="DataCol_09" localSheetId="4">#REF!</definedName>
    <definedName name="DataCol_09" localSheetId="9">#REF!</definedName>
    <definedName name="DataCol_09">#REF!</definedName>
    <definedName name="DataCol_10" localSheetId="108">#REF!</definedName>
    <definedName name="DataCol_10" localSheetId="1">#REF!</definedName>
    <definedName name="DataCol_10" localSheetId="2">#REF!</definedName>
    <definedName name="DataCol_10" localSheetId="4">#REF!</definedName>
    <definedName name="DataCol_10" localSheetId="9">#REF!</definedName>
    <definedName name="DataCol_10">#REF!</definedName>
    <definedName name="DataCol_11" localSheetId="108">#REF!</definedName>
    <definedName name="DataCol_11" localSheetId="1">#REF!</definedName>
    <definedName name="DataCol_11" localSheetId="2">#REF!</definedName>
    <definedName name="DataCol_11" localSheetId="4">#REF!</definedName>
    <definedName name="DataCol_11" localSheetId="9">#REF!</definedName>
    <definedName name="DataCol_11">#REF!</definedName>
    <definedName name="DataCol_12" localSheetId="108">#REF!</definedName>
    <definedName name="DataCol_12" localSheetId="1">#REF!</definedName>
    <definedName name="DataCol_12" localSheetId="2">#REF!</definedName>
    <definedName name="DataCol_12" localSheetId="4">#REF!</definedName>
    <definedName name="DataCol_12" localSheetId="9">#REF!</definedName>
    <definedName name="DataCol_12">#REF!</definedName>
    <definedName name="DataCol_13" localSheetId="108">#REF!</definedName>
    <definedName name="DataCol_13" localSheetId="1">#REF!</definedName>
    <definedName name="DataCol_13" localSheetId="2">#REF!</definedName>
    <definedName name="DataCol_13" localSheetId="4">#REF!</definedName>
    <definedName name="DataCol_13" localSheetId="9">#REF!</definedName>
    <definedName name="DataCol_13">#REF!</definedName>
    <definedName name="DataCol_14" localSheetId="108">#REF!</definedName>
    <definedName name="DataCol_14" localSheetId="1">#REF!</definedName>
    <definedName name="DataCol_14" localSheetId="2">#REF!</definedName>
    <definedName name="DataCol_14" localSheetId="4">#REF!</definedName>
    <definedName name="DataCol_14" localSheetId="9">#REF!</definedName>
    <definedName name="DataCol_14">#REF!</definedName>
    <definedName name="DataCol_15" localSheetId="108">#REF!</definedName>
    <definedName name="DataCol_15" localSheetId="1">#REF!</definedName>
    <definedName name="DataCol_15" localSheetId="2">#REF!</definedName>
    <definedName name="DataCol_15" localSheetId="4">#REF!</definedName>
    <definedName name="DataCol_15" localSheetId="9">#REF!</definedName>
    <definedName name="DataCol_15">#REF!</definedName>
    <definedName name="DataCol_16" localSheetId="108">#REF!</definedName>
    <definedName name="DataCol_16" localSheetId="1">#REF!</definedName>
    <definedName name="DataCol_16" localSheetId="2">#REF!</definedName>
    <definedName name="DataCol_16" localSheetId="4">#REF!</definedName>
    <definedName name="DataCol_16" localSheetId="9">#REF!</definedName>
    <definedName name="DataCol_16">#REF!</definedName>
    <definedName name="DataCol_17" localSheetId="108">#REF!</definedName>
    <definedName name="DataCol_17" localSheetId="1">#REF!</definedName>
    <definedName name="DataCol_17" localSheetId="2">#REF!</definedName>
    <definedName name="DataCol_17" localSheetId="4">#REF!</definedName>
    <definedName name="DataCol_17" localSheetId="9">#REF!</definedName>
    <definedName name="DataCol_17">#REF!</definedName>
    <definedName name="DataCol_18" localSheetId="108">#REF!</definedName>
    <definedName name="DataCol_18" localSheetId="1">#REF!</definedName>
    <definedName name="DataCol_18" localSheetId="2">#REF!</definedName>
    <definedName name="DataCol_18" localSheetId="4">#REF!</definedName>
    <definedName name="DataCol_18" localSheetId="9">#REF!</definedName>
    <definedName name="DataCol_18">#REF!</definedName>
    <definedName name="DataCol_19" localSheetId="108">#REF!</definedName>
    <definedName name="DataCol_19" localSheetId="1">#REF!</definedName>
    <definedName name="DataCol_19" localSheetId="2">#REF!</definedName>
    <definedName name="DataCol_19" localSheetId="4">#REF!</definedName>
    <definedName name="DataCol_19" localSheetId="9">#REF!</definedName>
    <definedName name="DataCol_19">#REF!</definedName>
    <definedName name="DataCol_20" localSheetId="108">#REF!</definedName>
    <definedName name="DataCol_20" localSheetId="1">#REF!</definedName>
    <definedName name="DataCol_20" localSheetId="2">#REF!</definedName>
    <definedName name="DataCol_20" localSheetId="4">#REF!</definedName>
    <definedName name="DataCol_20" localSheetId="9">#REF!</definedName>
    <definedName name="DataCol_20">#REF!</definedName>
    <definedName name="DataCol_21" localSheetId="108">#REF!</definedName>
    <definedName name="DataCol_21" localSheetId="1">#REF!</definedName>
    <definedName name="DataCol_21" localSheetId="2">#REF!</definedName>
    <definedName name="DataCol_21" localSheetId="4">#REF!</definedName>
    <definedName name="DataCol_21" localSheetId="9">#REF!</definedName>
    <definedName name="DataCol_21">#REF!</definedName>
    <definedName name="DataCol_22" localSheetId="108">#REF!</definedName>
    <definedName name="DataCol_22" localSheetId="1">#REF!</definedName>
    <definedName name="DataCol_22" localSheetId="2">#REF!</definedName>
    <definedName name="DataCol_22" localSheetId="4">#REF!</definedName>
    <definedName name="DataCol_22" localSheetId="9">#REF!</definedName>
    <definedName name="DataCol_22">#REF!</definedName>
    <definedName name="DataCol_23" localSheetId="108">#REF!</definedName>
    <definedName name="DataCol_23" localSheetId="1">#REF!</definedName>
    <definedName name="DataCol_23" localSheetId="2">#REF!</definedName>
    <definedName name="DataCol_23" localSheetId="4">#REF!</definedName>
    <definedName name="DataCol_23" localSheetId="9">#REF!</definedName>
    <definedName name="DataCol_23">#REF!</definedName>
    <definedName name="DataCol_24" localSheetId="108">#REF!</definedName>
    <definedName name="DataCol_24" localSheetId="1">#REF!</definedName>
    <definedName name="DataCol_24" localSheetId="2">#REF!</definedName>
    <definedName name="DataCol_24" localSheetId="4">#REF!</definedName>
    <definedName name="DataCol_24" localSheetId="9">#REF!</definedName>
    <definedName name="DataCol_24">#REF!</definedName>
    <definedName name="DataCol_25" localSheetId="108">#REF!</definedName>
    <definedName name="DataCol_25" localSheetId="1">#REF!</definedName>
    <definedName name="DataCol_25" localSheetId="2">#REF!</definedName>
    <definedName name="DataCol_25" localSheetId="4">#REF!</definedName>
    <definedName name="DataCol_25" localSheetId="9">#REF!</definedName>
    <definedName name="DataCol_25">#REF!</definedName>
    <definedName name="DataCol_26" localSheetId="108">#REF!</definedName>
    <definedName name="DataCol_26" localSheetId="1">#REF!</definedName>
    <definedName name="DataCol_26" localSheetId="2">#REF!</definedName>
    <definedName name="DataCol_26" localSheetId="4">#REF!</definedName>
    <definedName name="DataCol_26" localSheetId="9">#REF!</definedName>
    <definedName name="DataCol_26">#REF!</definedName>
    <definedName name="DataCol_27" localSheetId="108">#REF!</definedName>
    <definedName name="DataCol_27" localSheetId="1">#REF!</definedName>
    <definedName name="DataCol_27" localSheetId="2">#REF!</definedName>
    <definedName name="DataCol_27" localSheetId="4">#REF!</definedName>
    <definedName name="DataCol_27" localSheetId="9">#REF!</definedName>
    <definedName name="DataCol_27">#REF!</definedName>
    <definedName name="DataCol_28" localSheetId="108">#REF!</definedName>
    <definedName name="DataCol_28" localSheetId="1">#REF!</definedName>
    <definedName name="DataCol_28" localSheetId="2">#REF!</definedName>
    <definedName name="DataCol_28" localSheetId="4">#REF!</definedName>
    <definedName name="DataCol_28" localSheetId="9">#REF!</definedName>
    <definedName name="DataCol_28">#REF!</definedName>
    <definedName name="DataCol_29" localSheetId="108">#REF!</definedName>
    <definedName name="DataCol_29" localSheetId="1">#REF!</definedName>
    <definedName name="DataCol_29" localSheetId="2">#REF!</definedName>
    <definedName name="DataCol_29" localSheetId="4">#REF!</definedName>
    <definedName name="DataCol_29" localSheetId="9">#REF!</definedName>
    <definedName name="DataCol_29">#REF!</definedName>
    <definedName name="DataCol_30" localSheetId="108">#REF!</definedName>
    <definedName name="DataCol_30" localSheetId="1">#REF!</definedName>
    <definedName name="DataCol_30" localSheetId="2">#REF!</definedName>
    <definedName name="DataCol_30" localSheetId="4">#REF!</definedName>
    <definedName name="DataCol_30" localSheetId="9">#REF!</definedName>
    <definedName name="DataCol_30">#REF!</definedName>
    <definedName name="DataCol_31" localSheetId="108">#REF!</definedName>
    <definedName name="DataCol_31" localSheetId="1">#REF!</definedName>
    <definedName name="DataCol_31" localSheetId="2">#REF!</definedName>
    <definedName name="DataCol_31" localSheetId="4">#REF!</definedName>
    <definedName name="DataCol_31" localSheetId="9">#REF!</definedName>
    <definedName name="DataCol_31">#REF!</definedName>
    <definedName name="DataCol_32" localSheetId="108">#REF!</definedName>
    <definedName name="DataCol_32" localSheetId="1">#REF!</definedName>
    <definedName name="DataCol_32" localSheetId="2">#REF!</definedName>
    <definedName name="DataCol_32" localSheetId="4">#REF!</definedName>
    <definedName name="DataCol_32" localSheetId="9">#REF!</definedName>
    <definedName name="DataCol_32">#REF!</definedName>
    <definedName name="DataCol_33" localSheetId="108">#REF!</definedName>
    <definedName name="DataCol_33" localSheetId="1">#REF!</definedName>
    <definedName name="DataCol_33" localSheetId="2">#REF!</definedName>
    <definedName name="DataCol_33" localSheetId="4">#REF!</definedName>
    <definedName name="DataCol_33" localSheetId="9">#REF!</definedName>
    <definedName name="DataCol_33">#REF!</definedName>
    <definedName name="DataCol_34" localSheetId="108">#REF!</definedName>
    <definedName name="DataCol_34" localSheetId="1">#REF!</definedName>
    <definedName name="DataCol_34" localSheetId="2">#REF!</definedName>
    <definedName name="DataCol_34" localSheetId="4">#REF!</definedName>
    <definedName name="DataCol_34" localSheetId="9">#REF!</definedName>
    <definedName name="DataCol_34">#REF!</definedName>
    <definedName name="DataCol_35" localSheetId="108">#REF!</definedName>
    <definedName name="DataCol_35" localSheetId="1">#REF!</definedName>
    <definedName name="DataCol_35" localSheetId="2">#REF!</definedName>
    <definedName name="DataCol_35" localSheetId="4">#REF!</definedName>
    <definedName name="DataCol_35" localSheetId="9">#REF!</definedName>
    <definedName name="DataCol_35">#REF!</definedName>
    <definedName name="DataCol_36" localSheetId="108">#REF!</definedName>
    <definedName name="DataCol_36" localSheetId="1">#REF!</definedName>
    <definedName name="DataCol_36" localSheetId="2">#REF!</definedName>
    <definedName name="DataCol_36" localSheetId="4">#REF!</definedName>
    <definedName name="DataCol_36" localSheetId="9">#REF!</definedName>
    <definedName name="DataCol_36">#REF!</definedName>
    <definedName name="DataCol_37" localSheetId="108">#REF!</definedName>
    <definedName name="DataCol_37" localSheetId="1">#REF!</definedName>
    <definedName name="DataCol_37" localSheetId="2">#REF!</definedName>
    <definedName name="DataCol_37" localSheetId="4">#REF!</definedName>
    <definedName name="DataCol_37" localSheetId="9">#REF!</definedName>
    <definedName name="DataCol_37">#REF!</definedName>
    <definedName name="DataCol_38" localSheetId="108">#REF!</definedName>
    <definedName name="DataCol_38" localSheetId="1">#REF!</definedName>
    <definedName name="DataCol_38" localSheetId="2">#REF!</definedName>
    <definedName name="DataCol_38" localSheetId="4">#REF!</definedName>
    <definedName name="DataCol_38" localSheetId="9">#REF!</definedName>
    <definedName name="DataCol_38">#REF!</definedName>
    <definedName name="DataCol_39" localSheetId="108">#REF!</definedName>
    <definedName name="DataCol_39" localSheetId="1">#REF!</definedName>
    <definedName name="DataCol_39" localSheetId="2">#REF!</definedName>
    <definedName name="DataCol_39" localSheetId="4">#REF!</definedName>
    <definedName name="DataCol_39" localSheetId="9">#REF!</definedName>
    <definedName name="DataCol_39">#REF!</definedName>
    <definedName name="DataCol_40" localSheetId="108">#REF!</definedName>
    <definedName name="DataCol_40" localSheetId="1">#REF!</definedName>
    <definedName name="DataCol_40" localSheetId="2">#REF!</definedName>
    <definedName name="DataCol_40" localSheetId="4">#REF!</definedName>
    <definedName name="DataCol_40" localSheetId="9">#REF!</definedName>
    <definedName name="DataCol_40">#REF!</definedName>
    <definedName name="DataCol_41" localSheetId="108">#REF!</definedName>
    <definedName name="DataCol_41" localSheetId="1">#REF!</definedName>
    <definedName name="DataCol_41" localSheetId="2">#REF!</definedName>
    <definedName name="DataCol_41" localSheetId="4">#REF!</definedName>
    <definedName name="DataCol_41" localSheetId="9">#REF!</definedName>
    <definedName name="DataCol_41">#REF!</definedName>
    <definedName name="DataCol_42" localSheetId="108">#REF!</definedName>
    <definedName name="DataCol_42" localSheetId="1">#REF!</definedName>
    <definedName name="DataCol_42" localSheetId="2">#REF!</definedName>
    <definedName name="DataCol_42" localSheetId="4">#REF!</definedName>
    <definedName name="DataCol_42" localSheetId="9">#REF!</definedName>
    <definedName name="DataCol_42">#REF!</definedName>
    <definedName name="DataCol_43" localSheetId="108">#REF!</definedName>
    <definedName name="DataCol_43" localSheetId="1">#REF!</definedName>
    <definedName name="DataCol_43" localSheetId="2">#REF!</definedName>
    <definedName name="DataCol_43" localSheetId="4">#REF!</definedName>
    <definedName name="DataCol_43" localSheetId="9">#REF!</definedName>
    <definedName name="DataCol_43">#REF!</definedName>
    <definedName name="DataCol_44" localSheetId="108">#REF!</definedName>
    <definedName name="DataCol_44" localSheetId="1">#REF!</definedName>
    <definedName name="DataCol_44" localSheetId="2">#REF!</definedName>
    <definedName name="DataCol_44" localSheetId="4">#REF!</definedName>
    <definedName name="DataCol_44" localSheetId="9">#REF!</definedName>
    <definedName name="DataCol_44">#REF!</definedName>
    <definedName name="DataCol_45" localSheetId="108">#REF!</definedName>
    <definedName name="DataCol_45" localSheetId="1">#REF!</definedName>
    <definedName name="DataCol_45" localSheetId="2">#REF!</definedName>
    <definedName name="DataCol_45" localSheetId="4">#REF!</definedName>
    <definedName name="DataCol_45" localSheetId="9">#REF!</definedName>
    <definedName name="DataCol_45">#REF!</definedName>
    <definedName name="DataCol_46" localSheetId="108">#REF!</definedName>
    <definedName name="DataCol_46" localSheetId="1">#REF!</definedName>
    <definedName name="DataCol_46" localSheetId="2">#REF!</definedName>
    <definedName name="DataCol_46" localSheetId="4">#REF!</definedName>
    <definedName name="DataCol_46" localSheetId="9">#REF!</definedName>
    <definedName name="DataCol_46">#REF!</definedName>
    <definedName name="DataCol_47" localSheetId="108">#REF!</definedName>
    <definedName name="DataCol_47" localSheetId="1">#REF!</definedName>
    <definedName name="DataCol_47" localSheetId="2">#REF!</definedName>
    <definedName name="DataCol_47" localSheetId="4">#REF!</definedName>
    <definedName name="DataCol_47" localSheetId="9">#REF!</definedName>
    <definedName name="DataCol_47">#REF!</definedName>
    <definedName name="DataCol_48" localSheetId="108">#REF!</definedName>
    <definedName name="DataCol_48" localSheetId="1">#REF!</definedName>
    <definedName name="DataCol_48" localSheetId="2">#REF!</definedName>
    <definedName name="DataCol_48" localSheetId="4">#REF!</definedName>
    <definedName name="DataCol_48" localSheetId="9">#REF!</definedName>
    <definedName name="DataCol_48">#REF!</definedName>
    <definedName name="DataCol_49" localSheetId="108">#REF!</definedName>
    <definedName name="DataCol_49" localSheetId="1">#REF!</definedName>
    <definedName name="DataCol_49" localSheetId="2">#REF!</definedName>
    <definedName name="DataCol_49" localSheetId="4">#REF!</definedName>
    <definedName name="DataCol_49" localSheetId="9">#REF!</definedName>
    <definedName name="DataCol_49">#REF!</definedName>
    <definedName name="Date">#REF!</definedName>
    <definedName name="Date_Range">#REF!</definedName>
    <definedName name="days">#REF!</definedName>
    <definedName name="DBudDV">[30]EssDBudDV!$A$8:$DV$189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dfa">#REF!</definedName>
    <definedName name="delete_me" hidden="1">#REF!</definedName>
    <definedName name="delete_me1" hidden="1">#REF!</definedName>
    <definedName name="delete_me2" hidden="1">#REF!</definedName>
    <definedName name="delete_me3" hidden="1">#REF!</definedName>
    <definedName name="Demand">[7]assump!$H$92:$H$131</definedName>
    <definedName name="depr_aut">'[10]AUT Depr'!$C$7:$S$75</definedName>
    <definedName name="depr_nr">'[10]NonReg Depr'!$A$9:$N$38</definedName>
    <definedName name="DEPRECIATION" localSheetId="14">#REF!</definedName>
    <definedName name="DEPRECIATION">#REF!</definedName>
    <definedName name="DESIGN_A">#REF!</definedName>
    <definedName name="DESIGN_B">#REF!</definedName>
    <definedName name="Detail_Report" localSheetId="14">#REF!</definedName>
    <definedName name="Detail_Report">#REF!</definedName>
    <definedName name="DF_GRID_1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strItemsTableAll">[32]Data!$O$77:$CJ$132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eb">#REF!</definedName>
    <definedName name="eb_cwip">'[16]2015 Tax CWIP Bal'!$A$14:$F$77</definedName>
    <definedName name="edf" hidden="1">{#N/A,"Anonymous",FALSE,"30 30k Table";#N/A,#N/A,FALSE,"30 50k Table";#N/A,#N/A,FALSE,"40 100k Table"}</definedName>
    <definedName name="eff_composite">[5]FACTORS!$D$12</definedName>
    <definedName name="ENERGAS_1080" localSheetId="14">#REF!</definedName>
    <definedName name="ENERGAS_1080">#REF!</definedName>
    <definedName name="ENERGAS_1110" localSheetId="14">#REF!</definedName>
    <definedName name="ENERGAS_1110">#REF!</definedName>
    <definedName name="EPSData">[33]EssEPS!$A$8:$CO$45</definedName>
    <definedName name="EssfHasNonUnique">FALSE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[34]Scenarios!$H$31</definedName>
    <definedName name="fdasfas" hidden="1">{#N/A,#N/A,TRUE,"BS";#N/A,#N/A,TRUE,"IS";#N/A,#N/A,TRUE,"NOTES";#N/A,#N/A,TRUE,"UW"}</definedName>
    <definedName name="February">#REF!</definedName>
    <definedName name="FEDERAL">[5]FACTORS!$C$10</definedName>
    <definedName name="Fedtaxrate">'[35]WP B9-1'!#REF!</definedName>
    <definedName name="FFACTOR">'[5]WP 40-1'!$F$23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COMPOSITE">[5]FACTORS!$E$49</definedName>
    <definedName name="GOCOMPOSITE_PROFORMA">[5]FACTORS!$I$49</definedName>
    <definedName name="GOEXP">'[20]DATA INPUT'!$C$59</definedName>
    <definedName name="GOEXP_MVG">[36]Input!$D$51</definedName>
    <definedName name="GOPLANT">'[20]DATA INPUT'!$C$55</definedName>
    <definedName name="gov_rate">'[14]Proj Query tie-in to CPR'!$E$24:$H$61</definedName>
    <definedName name="gov_rate2">'[14]Proj Query tie-in to CPR'!$A$21:$H$306</definedName>
    <definedName name="gov_rate3">'[14]Proj Query tie-in to CPR'!$B$21:$H$123</definedName>
    <definedName name="gPct_Bulk_Capacity">[7]assump!$G$62:$K$62</definedName>
    <definedName name="gPct_Bulk_Count">[7]assump!$G$58:$K$58</definedName>
    <definedName name="gPct_Bulk_Volume">[7]assump!$G$60:$K$60</definedName>
    <definedName name="gPct_Com_Count">[7]assump!$G$53:$K$53</definedName>
    <definedName name="gPct_Com_Volume">[7]assump!$G$56:$K$56</definedName>
    <definedName name="gPct_Ind_Count">[7]assump!$G$54:$K$54</definedName>
    <definedName name="gPct_Ind_Volume">[7]assump!$G$57:$K$57</definedName>
    <definedName name="gPct_Network_Capacity">[7]assump!$G$63:$K$63</definedName>
    <definedName name="gPct_Network_Count">[7]assump!$G$59:$K$59</definedName>
    <definedName name="gPct_Network_Volume">[7]assump!$G$61:$K$61</definedName>
    <definedName name="gPct_Res_Count">[7]assump!$G$52:$K$52</definedName>
    <definedName name="gPct_Res_Volume">[7]assump!$G$55:$K$55</definedName>
    <definedName name="GREELEY_1080" localSheetId="14">#REF!</definedName>
    <definedName name="GREELEY_1080">#REF!</definedName>
    <definedName name="GREELEY_1110" localSheetId="14">#REF!</definedName>
    <definedName name="GREELEY_1110">#REF!</definedName>
    <definedName name="GRSPLT_">#REF!</definedName>
    <definedName name="IC_1">'[22]40-C'!$I$7</definedName>
    <definedName name="IC_10">'[22]40-C'!$I$34</definedName>
    <definedName name="IC_11">'[22]40-C'!$I$37</definedName>
    <definedName name="IC_13">'[22]40-C'!$I$43</definedName>
    <definedName name="IC_2">'[22]40-C'!$I$10</definedName>
    <definedName name="IC_3">'[22]40-C'!$I$13</definedName>
    <definedName name="IC_4">'[22]40-C'!$I$16</definedName>
    <definedName name="IC_5">'[22]40-C'!$I$19</definedName>
    <definedName name="IC_6">'[22]40-C'!$I$22</definedName>
    <definedName name="IC_7">'[22]40-C'!$I$25</definedName>
    <definedName name="IC_8">'[22]40-C'!$I$28</definedName>
    <definedName name="IC_9">'[22]40-C'!$I$31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 localSheetId="14">'[37]080 - April 1080 activity'!#REF!</definedName>
    <definedName name="ImportedData">'[38]GL DETAIL'!#REF!</definedName>
    <definedName name="IncStatData">#REF!</definedName>
    <definedName name="infl05">#REF!</definedName>
    <definedName name="infl06">#REF!</definedName>
    <definedName name="InputItemsTable" localSheetId="108">#REF!</definedName>
    <definedName name="InputItemsTable" localSheetId="1">#REF!</definedName>
    <definedName name="InputItemsTable" localSheetId="2">#REF!</definedName>
    <definedName name="InputItemsTable" localSheetId="4">#REF!</definedName>
    <definedName name="InputItemsTable" localSheetId="9">#REF!</definedName>
    <definedName name="InputItemsTable">#REF!</definedName>
    <definedName name="InputSec_01" localSheetId="108">#REF!</definedName>
    <definedName name="InputSec_01" localSheetId="1">#REF!</definedName>
    <definedName name="InputSec_01" localSheetId="2">#REF!</definedName>
    <definedName name="InputSec_01" localSheetId="4">#REF!</definedName>
    <definedName name="InputSec_01" localSheetId="9">#REF!</definedName>
    <definedName name="InputSec_01">#REF!</definedName>
    <definedName name="InputSec_02A" localSheetId="108">#REF!</definedName>
    <definedName name="InputSec_02A" localSheetId="1">#REF!</definedName>
    <definedName name="InputSec_02A" localSheetId="2">#REF!</definedName>
    <definedName name="InputSec_02A" localSheetId="4">#REF!</definedName>
    <definedName name="InputSec_02A" localSheetId="9">#REF!</definedName>
    <definedName name="InputSec_02A">#REF!</definedName>
    <definedName name="InputSec_02B" localSheetId="108">#REF!</definedName>
    <definedName name="InputSec_02B" localSheetId="1">#REF!</definedName>
    <definedName name="InputSec_02B" localSheetId="2">#REF!</definedName>
    <definedName name="InputSec_02B" localSheetId="4">#REF!</definedName>
    <definedName name="InputSec_02B" localSheetId="9">#REF!</definedName>
    <definedName name="InputSec_02B">#REF!</definedName>
    <definedName name="InputSec_02C" localSheetId="108">#REF!</definedName>
    <definedName name="InputSec_02C" localSheetId="1">#REF!</definedName>
    <definedName name="InputSec_02C" localSheetId="2">#REF!</definedName>
    <definedName name="InputSec_02C" localSheetId="4">#REF!</definedName>
    <definedName name="InputSec_02C" localSheetId="9">#REF!</definedName>
    <definedName name="InputSec_02C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U_1">'[22]40-C'!$J$7</definedName>
    <definedName name="IU_10">'[22]40-C'!$J$34</definedName>
    <definedName name="IU_11">'[22]40-C'!$J$37</definedName>
    <definedName name="IU_13">'[22]40-C'!$J$43</definedName>
    <definedName name="IU_2">'[22]40-C'!$J$10</definedName>
    <definedName name="IU_3">'[22]40-C'!$J$13</definedName>
    <definedName name="IU_4">'[22]40-C'!$J$16</definedName>
    <definedName name="IU_5">'[22]40-C'!$J$19</definedName>
    <definedName name="IU_6">'[22]40-C'!$J$22</definedName>
    <definedName name="IU_7">'[22]40-C'!$J$25</definedName>
    <definedName name="IU_8">'[22]40-C'!$J$28</definedName>
    <definedName name="IU_9">'[22]40-C'!$J$31</definedName>
    <definedName name="IV">#REF!</definedName>
    <definedName name="IVPAGE_1">#REF!</definedName>
    <definedName name="JENov" hidden="1">{"Co1statements",#N/A,FALSE,"Cmpy1";"Co2statement",#N/A,FALSE,"Cmpy2";"co1pm",#N/A,FALSE,"Co1PM";"co2PM",#N/A,FALSE,"Co2PM";"value",#N/A,FALSE,"value";"opco",#N/A,FALSE,"NewSparkle";"adjusts",#N/A,FALSE,"Adjustments"}</definedName>
    <definedName name="JF13SHEN">#REF!</definedName>
    <definedName name="jk">#REF!</definedName>
    <definedName name="JobDevTaxCredits">'[19]Schedule VII'!$I$16</definedName>
    <definedName name="JURISDICTION" localSheetId="14">[5]FACTORS!$C$5</definedName>
    <definedName name="JURISDICTION">'[20]DATA INPUT'!$C$8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labor05">#REF!</definedName>
    <definedName name="labor06">#REF!</definedName>
    <definedName name="legal">#REF!</definedName>
    <definedName name="LFACTOR">'[5]WP 40-1'!$F$32</definedName>
    <definedName name="ListOffset" hidden="1">1</definedName>
    <definedName name="LOAD_">#REF!</definedName>
    <definedName name="lookup">#REF!</definedName>
    <definedName name="LTD">'[19]Schedule VII'!$I$12</definedName>
    <definedName name="lu" localSheetId="14">'[11]Rpt 1033-Feb05-Deprec. Exp.'!$J$3:$J$1706</definedName>
    <definedName name="lu">'[12]Rpt 1033-Feb05-Deprec. Exp.'!$J$3:$J$1706</definedName>
    <definedName name="lu_bu">#REF!</definedName>
    <definedName name="lut" localSheetId="14">'[1]adjustment 3'!$M$4:$M$371</definedName>
    <definedName name="lut">'[2]adjustment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ch">#REF!</definedName>
    <definedName name="Margin_Rates">#REF!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dinfl05">#REF!</definedName>
    <definedName name="medinfl06">#REF!</definedName>
    <definedName name="METERS">#REF!</definedName>
    <definedName name="Method">#REF!</definedName>
    <definedName name="MFACTOR">'[5]WP 40-1'!$F$36</definedName>
    <definedName name="misc">#REF!</definedName>
    <definedName name="mo">[8]summary!$A$2:$A$3577</definedName>
    <definedName name="Month1">#REF!</definedName>
    <definedName name="Month10">#REF!</definedName>
    <definedName name="Month11">#REF!</definedName>
    <definedName name="month12">#REF!</definedName>
    <definedName name="month13">#REF!</definedName>
    <definedName name="Month2">#REF!</definedName>
    <definedName name="Month3">#REF!</definedName>
    <definedName name="Month4">#REF!</definedName>
    <definedName name="Month5">#REF!</definedName>
    <definedName name="Month6">#REF!</definedName>
    <definedName name="Month7">#REF!</definedName>
    <definedName name="Month8">#REF!</definedName>
    <definedName name="Month9">#REF!</definedName>
    <definedName name="MTX">#REF!</definedName>
    <definedName name="name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[7]assump!$G$130:$L$130</definedName>
    <definedName name="NC_FIRM">#REF!</definedName>
    <definedName name="NC_INTER">#REF!</definedName>
    <definedName name="NC_T3">#REF!</definedName>
    <definedName name="nCommercial">[7]assump!$G$115:$L$115</definedName>
    <definedName name="nConnect">[7]assump!$G$117:$L$117</definedName>
    <definedName name="NextBillMonth" localSheetId="108">#REF!</definedName>
    <definedName name="NextBillMonth" localSheetId="1">#REF!</definedName>
    <definedName name="NextBillMonth" localSheetId="2">#REF!</definedName>
    <definedName name="NextBillMonth" localSheetId="4">#REF!</definedName>
    <definedName name="NextBillMonth" localSheetId="9">#REF!</definedName>
    <definedName name="NextBillMonth">#REF!</definedName>
    <definedName name="nIndustrial">[7]assump!$G$116:$L$116</definedName>
    <definedName name="nIndustrial_PL">[7]assump!$G$129:$L$129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Network_Trans">[7]assump!$G$131:$L$131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rmal_Degree_Days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r_billing">'[10]NonReg Depr'!$D$9:$N$31</definedName>
    <definedName name="nReadMeter">[7]assump!$G$120:$L$120</definedName>
    <definedName name="nResidential">[7]assump!$G$114:$L$114</definedName>
    <definedName name="nReturnCheck">[7]assump!$G$119:$L$119</definedName>
    <definedName name="nServiceCall">[7]assump!$G$118:$L$118</definedName>
    <definedName name="nTampering">[7]assump!$G$121:$L$121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"V2005-03-31"</definedName>
    <definedName name="NvsAutoDrillOk">"VY"</definedName>
    <definedName name="NvsElapsedTime" localSheetId="14">0.00166666667064419</definedName>
    <definedName name="NvsElapsedTime">0.00336805554979946</definedName>
    <definedName name="NvsEndTime" localSheetId="14">38271.288912037</definedName>
    <definedName name="NvsEndTime">38454.2889583333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"%,X,RZF..nvision,CZF.."</definedName>
    <definedName name="NvsPanelEffdt">"V2000-01-01"</definedName>
    <definedName name="NvsPanelSetid">"VSHARE"</definedName>
    <definedName name="NvsReqBU">"VATMPL"</definedName>
    <definedName name="NvsReqBUOnly">"VY"</definedName>
    <definedName name="NvsTransLed">"VN"</definedName>
    <definedName name="NvsTreeASD">"V2005-03-31"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SCENARIO">"BD_SCENARIO_TBL"</definedName>
    <definedName name="NvsValTbl.STATISTICS_CODE">"STAT_TBL"</definedName>
    <definedName name="NvsValTbl.TU_EC">"TU_EC_TBL"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1FACTOR">'[5]WP 40-1'!$F$43</definedName>
    <definedName name="OMData">#REF!</definedName>
    <definedName name="OMLGSBud">#REF!</definedName>
    <definedName name="OMTLABud">#REF!</definedName>
    <definedName name="One">#REF!</definedName>
    <definedName name="OpCo_Factor">[34]Scenarios!#REF!</definedName>
    <definedName name="OPEB05">#REF!</definedName>
    <definedName name="OPEB06">#REF!</definedName>
    <definedName name="otp_bb">'[10]OTP BB'!$C$6:$BV$47</definedName>
    <definedName name="otp_eb">'[10]OTP EB'!$B$6:$BT$47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[39]P05ratebase3!#REF!</definedName>
    <definedName name="PAGE_6">#REF!</definedName>
    <definedName name="PAGE_6_1">[39]P06gascost!#REF!</definedName>
    <definedName name="PAGE_7">#REF!</definedName>
    <definedName name="PAGE_7_1">[39]P07gascost2!#REF!</definedName>
    <definedName name="PAGE_8">#REF!</definedName>
    <definedName name="PAGE_8_1">[39]P08storage!#REF!</definedName>
    <definedName name="PAGE_9">#REF!</definedName>
    <definedName name="PAGE_9_1">[39]P09storage2!#REF!</definedName>
    <definedName name="PD">#REF!</definedName>
    <definedName name="PDB">#REF!</definedName>
    <definedName name="PDR">#REF!</definedName>
    <definedName name="PDW">#REF!</definedName>
    <definedName name="PFACTOR">'[5]WP 40-1'!$F$46</definedName>
    <definedName name="pis">'[40]Basis Adj - Cap Software'!$C$29:$H$43</definedName>
    <definedName name="Planit_Data_Entry" localSheetId="14">#REF!</definedName>
    <definedName name="Planit_Data_Entry">#REF!</definedName>
    <definedName name="pp_cost">'[10]PP Cost '!$B$14:$G$38</definedName>
    <definedName name="pp_cwip_cost">'[10]PP Cost '!$J$14:$O$37</definedName>
    <definedName name="pp_res">'[10]PP Res '!$B$16:$H$43</definedName>
    <definedName name="pp_res_cwip">'[10]PP Res '!$K$16:$R$42</definedName>
    <definedName name="ppdoo" hidden="1">{#N/A,#N/A,FALSE,"COVER.XLS";#N/A,#N/A,FALSE,"STDBS.XLS";#N/A,#N/A,FALSE,"STDPL.XLS";#N/A,#N/A,FALSE,"NOTES.XLS"}</definedName>
    <definedName name="PRIME">#REF!</definedName>
    <definedName name="PRINT">#REF!</definedName>
    <definedName name="Print_All">#REF!</definedName>
    <definedName name="_xlnm.Print_Area" localSheetId="93">'202001 Bk Depr'!$A$1:$R$39</definedName>
    <definedName name="_xlnm.Print_Area" localSheetId="68">'202101 Bk Depr'!$A$1:$R$39</definedName>
    <definedName name="_xlnm.Print_Area" localSheetId="69">'202102 Bk Depr'!$A$1:$R$39</definedName>
    <definedName name="_xlnm.Print_Area" localSheetId="70">'202103 Bk Depr'!$A$1:$R$39</definedName>
    <definedName name="_xlnm.Print_Area" localSheetId="71">'202104 Bk Depr'!$A$1:$R$39</definedName>
    <definedName name="_xlnm.Print_Area" localSheetId="72">'202105 Bk Depr'!$A$1:$R$39</definedName>
    <definedName name="_xlnm.Print_Area" localSheetId="73">'202106 Bk Depr'!$A$1:$R$39</definedName>
    <definedName name="_xlnm.Print_Area" localSheetId="74">'202107 Bk Depr'!$A$1:$R$39</definedName>
    <definedName name="_xlnm.Print_Area" localSheetId="75">'202108 Bk Depr'!$A$1:$R$39</definedName>
    <definedName name="_xlnm.Print_Area" localSheetId="76">'202109 Bk Depr'!$A$1:$R$39</definedName>
    <definedName name="_xlnm.Print_Area" localSheetId="77">'202110 Bk Depr'!$A$1:$R$39</definedName>
    <definedName name="_xlnm.Print_Area" localSheetId="78">'202111 Bk Depr'!$A$1:$R$39</definedName>
    <definedName name="_xlnm.Print_Area" localSheetId="79">'202112 Bk Depr'!$A$1:$R$39</definedName>
    <definedName name="_xlnm.Print_Area" localSheetId="42">'2022 XM OU'!$A$1:$L$35</definedName>
    <definedName name="_xlnm.Print_Area" localSheetId="49">'202201 Bk Depr'!$A$1:$R$39</definedName>
    <definedName name="_xlnm.Print_Area" localSheetId="50">'202202 Bk Depr'!$A$1:$R$39</definedName>
    <definedName name="_xlnm.Print_Area" localSheetId="51">'202203 Bk Depr'!$A$1:$R$39</definedName>
    <definedName name="_xlnm.Print_Area" localSheetId="52">'202204 Bk Depr'!$A$1:$R$39</definedName>
    <definedName name="_xlnm.Print_Area" localSheetId="53">'202205 Bk Depr'!$A$1:$R$39</definedName>
    <definedName name="_xlnm.Print_Area" localSheetId="54">'202206 Bk Depr'!$A$1:$R$39</definedName>
    <definedName name="_xlnm.Print_Area" localSheetId="55">'202207 Bk Depr'!$A$1:$R$39</definedName>
    <definedName name="_xlnm.Print_Area" localSheetId="56">'202208 Bk Depr'!$A$1:$R$39</definedName>
    <definedName name="_xlnm.Print_Area" localSheetId="57">'202209 Bk Depr'!$A$1:$R$39</definedName>
    <definedName name="_xlnm.Print_Area" localSheetId="58">'202210 Bk Depr'!$A$1:$R$39</definedName>
    <definedName name="_xlnm.Print_Area" localSheetId="59">'202211 Bk Depr'!$A$1:$R$39</definedName>
    <definedName name="_xlnm.Print_Area" localSheetId="60">'202212 Bk Depr'!$A$1:$R$39</definedName>
    <definedName name="_xlnm.Print_Area" localSheetId="28">'202301 Bk Depr'!$A$1:$R$36</definedName>
    <definedName name="_xlnm.Print_Area" localSheetId="29">'202302 Bk Depr'!$A$1:$R$36</definedName>
    <definedName name="_xlnm.Print_Area" localSheetId="30">'202303 Bk Depr'!$A$1:$R$36</definedName>
    <definedName name="_xlnm.Print_Area" localSheetId="31">'202304 Bk Depr'!$A$1:$R$36</definedName>
    <definedName name="_xlnm.Print_Area" localSheetId="32">'202305 Bk Depr'!$A$1:$R$36</definedName>
    <definedName name="_xlnm.Print_Area" localSheetId="33">'202306 Bk Depr'!$A$1:$R$36</definedName>
    <definedName name="_xlnm.Print_Area" localSheetId="34">'202307 Bk Depr'!$A$1:$R$36</definedName>
    <definedName name="_xlnm.Print_Area" localSheetId="35">'202308 Bk Depr'!$A$1:$R$36</definedName>
    <definedName name="_xlnm.Print_Area" localSheetId="36">'202309 Bk Depr'!$A$1:$R$36</definedName>
    <definedName name="_xlnm.Print_Area" localSheetId="37">'202310 Bk Depr'!$A$1:$R$36</definedName>
    <definedName name="_xlnm.Print_Area" localSheetId="38">'202311 Bk Depr'!$A$1:$R$36</definedName>
    <definedName name="_xlnm.Print_Area" localSheetId="39">'202312 Bk Depr'!$A$1:$R$36</definedName>
    <definedName name="_xlnm.Print_Area" localSheetId="67">'Cap&amp;OpEx 2021'!$A$1:$O$41</definedName>
    <definedName name="_xlnm.Print_Area" localSheetId="45">'Cap&amp;OpEx 2022'!$A$1:$O$40</definedName>
    <definedName name="_xlnm.Print_Area" localSheetId="22">'Cap&amp;OpEx 2023'!$A$1:$O$34</definedName>
    <definedName name="_xlnm.Print_Area" localSheetId="13">'Cap&amp;OpEx 2024'!$A$1:$O$34</definedName>
    <definedName name="_xlnm.Print_Area" localSheetId="157">'Capital Budget 2017'!$A$1:$S$77</definedName>
    <definedName name="_xlnm.Print_Area" localSheetId="3">'Class Allocation'!$A$1:$I$22</definedName>
    <definedName name="_xlnm.Print_Area" localSheetId="14">'Depreciation 2024'!$A$1:$Q$25</definedName>
    <definedName name="_xlnm.Print_Area" localSheetId="1">'Exhibit 1'!$C$2:$I$29</definedName>
    <definedName name="_xlnm.Print_Area" localSheetId="2">'Exhibit 2'!$C$2:$I$29</definedName>
    <definedName name="_xlnm.Print_Area" localSheetId="4">'Exhibit 3'!$C$2:$I$29</definedName>
    <definedName name="_xlnm.Print_Area" localSheetId="9">'Exhibit 4'!$C$2:$I$29</definedName>
    <definedName name="_xlnm.Print_Area" localSheetId="7">'Net Assets'!$A$1:$J$28</definedName>
    <definedName name="_xlnm.Print_Area" localSheetId="8">OpEx!$A$1:$F$23</definedName>
    <definedName name="_xlnm.Print_Area" localSheetId="5">'OU Collection'!$A$1:$G$23</definedName>
    <definedName name="_xlnm.Print_Area" localSheetId="147">'Rev Req 2017-Distr'!$A$1:$Q$31</definedName>
    <definedName name="_xlnm.Print_Area" localSheetId="148">'Rev Req 2017-Trans'!$A$1:$Q$31</definedName>
    <definedName name="_xlnm.Print_Area" localSheetId="129">'Rev Req 2018-Distr'!$A$1:$Q$35</definedName>
    <definedName name="_xlnm.Print_Area" localSheetId="130">'Rev Req 2018-Trans'!$A$1:$Q$35</definedName>
    <definedName name="_xlnm.Print_Area" localSheetId="111">'Rev Req 2019-Distr'!$A$1:$Q$35</definedName>
    <definedName name="_xlnm.Print_Area" localSheetId="112">'Rev Req 2019-Trans'!$A$1:$Q$35</definedName>
    <definedName name="_xlnm.Print_Area" localSheetId="89">'Rev Req 2020-Distr'!$A$1:$Q$35</definedName>
    <definedName name="_xlnm.Print_Area" localSheetId="90">'Rev Req 2020-Trans'!$A$1:$Q$35</definedName>
    <definedName name="_xlnm.Print_Area" localSheetId="65">'Rev Req 2021-Distr'!$A$1:$T$35</definedName>
    <definedName name="_xlnm.Print_Area" localSheetId="66">'Rev Req 2021-Trans'!$A$1:$T$35</definedName>
    <definedName name="_xlnm.Print_Area" localSheetId="44">'Rev Req 2022-Distr'!$A$1:$Q$34</definedName>
    <definedName name="_xlnm.Print_Area" localSheetId="21">'Rev Req 2023-Distr'!$A$1:$Q$34</definedName>
    <definedName name="_xlnm.Print_Area" localSheetId="11">'Rev Req 2024-Distr'!$A$1:$Q$36</definedName>
    <definedName name="_xlnm.Print_Area" localSheetId="6">RevReq!$A$1:$K$28</definedName>
    <definedName name="_xlnm.Print_Area" localSheetId="144">'Tax Depr 2018'!$A$1:$T$49</definedName>
    <definedName name="_xlnm.Print_Area" localSheetId="126">'Tax Depr 2019'!$A$1:$U$50</definedName>
    <definedName name="_xlnm.Print_Area" localSheetId="105">'Tax Depr 2020-Dist'!$A$1:$W$94</definedName>
    <definedName name="_xlnm.Print_Area" localSheetId="106">'Tax Depr 2020-Trans'!$A$1:$T$87</definedName>
    <definedName name="_xlnm.Print_Area" localSheetId="80">'Tax Depr 2021-Dist'!$A$1:$Y$105</definedName>
    <definedName name="_xlnm.Print_Area" localSheetId="81">'Tax Depr 2021-Trans'!$A$1:$U$89</definedName>
    <definedName name="_xlnm.Print_Area" localSheetId="46">'Tax Depr 2022 - Dist'!$A$1:$AA$100</definedName>
    <definedName name="_xlnm.Print_Area" localSheetId="26">'Tax Depr 2023'!$A$1:$AB$90</definedName>
    <definedName name="_xlnm.Print_Area" localSheetId="15">'Tax Depr 2024'!$A$1:$AC$92</definedName>
    <definedName name="_xlnm.Print_Area">#REF!</definedName>
    <definedName name="Print_Area_MI" localSheetId="14">#REF!</definedName>
    <definedName name="Print_Area_MI">#REF!</definedName>
    <definedName name="_xlnm.Print_Titles" localSheetId="3">'Class Allocation'!$B:$B</definedName>
    <definedName name="_xlnm.Print_Titles" localSheetId="14">'Depreciation 2024'!$1:$5</definedName>
    <definedName name="_xlnm.Print_Titles" localSheetId="46">'Tax Depr 2022 - Dist'!$1:$6</definedName>
    <definedName name="_xlnm.Print_Titles" localSheetId="26">'Tax Depr 2023'!$1:$6</definedName>
    <definedName name="_xlnm.Print_Titles" localSheetId="15">'Tax Depr 2024'!$1:$6</definedName>
    <definedName name="Print_Titles_MI" localSheetId="14">#REF!</definedName>
    <definedName name="Print_Titles_MI">#REF!</definedName>
    <definedName name="proceeds">'[41]Proceeds (Proj Query)'!$O$10:$U$28</definedName>
    <definedName name="PROPERTY" localSheetId="14">#REF!</definedName>
    <definedName name="PROPERTY">#REF!</definedName>
    <definedName name="py_act">#REF!</definedName>
    <definedName name="pyact">[29]Graph!#REF!</definedName>
    <definedName name="rate">'[16]Rate Division'!$A$3:$I$101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c_1">'[22]40-C'!$C$7</definedName>
    <definedName name="RC_10">'[22]40-C'!$C$34</definedName>
    <definedName name="rc_11">'[22]40-C'!$C$37</definedName>
    <definedName name="RC_13">'[22]40-C'!$C$43</definedName>
    <definedName name="RC_2">'[22]40-C'!$C$10</definedName>
    <definedName name="RC_3">'[22]40-C'!$C$13</definedName>
    <definedName name="RC_4">'[22]40-C'!$C$16</definedName>
    <definedName name="RC_5">'[22]40-C'!$C$19</definedName>
    <definedName name="RC_6">'[22]40-C'!$C$22</definedName>
    <definedName name="RC_7">'[22]40-C'!$C$25</definedName>
    <definedName name="RC_8">'[22]40-C'!$C$28</definedName>
    <definedName name="RC_9">'[22]40-C'!$C$31</definedName>
    <definedName name="_xlnm.Recorder">#REF!</definedName>
    <definedName name="REGRESSION">#REF!</definedName>
    <definedName name="ReptItemsTableAll" localSheetId="3">[42]Data!$O$85:$BK$134</definedName>
    <definedName name="ReptItemsTableAll">[42]Data!$O$85:$BK$134</definedName>
    <definedName name="RevCas1AllInp" localSheetId="3">[27]Input!#REF!,[27]Input!#REF!,[27]Input!#REF!,[27]Input!#REF!,[27]Input!#REF!,[27]Input!#REF!,[27]Input!#REF!,[27]Input!#REF!,[27]Input!#REF!,[27]Input!#REF!,[27]Input!#REF!</definedName>
    <definedName name="RevCas1AllInp" localSheetId="108">#REF!,#REF!,#REF!,#REF!,#REF!,#REF!,#REF!,#REF!,#REF!,#REF!,#REF!</definedName>
    <definedName name="RevCas1AllInp" localSheetId="1">#REF!,#REF!,#REF!,#REF!,#REF!,#REF!,#REF!,#REF!,#REF!,#REF!,#REF!</definedName>
    <definedName name="RevCas1AllInp" localSheetId="2">#REF!,#REF!,#REF!,#REF!,#REF!,#REF!,#REF!,#REF!,#REF!,#REF!,#REF!</definedName>
    <definedName name="RevCas1AllInp" localSheetId="4">#REF!,#REF!,#REF!,#REF!,#REF!,#REF!,#REF!,#REF!,#REF!,#REF!,#REF!</definedName>
    <definedName name="RevCas1AllInp" localSheetId="9">#REF!,#REF!,#REF!,#REF!,#REF!,#REF!,#REF!,#REF!,#REF!,#REF!,#REF!</definedName>
    <definedName name="RevCas1AllInp" localSheetId="7">#REF!,#REF!,#REF!,#REF!,#REF!,#REF!,#REF!,#REF!,#REF!,#REF!,#REF!</definedName>
    <definedName name="RevCas1AllInp" localSheetId="8">#REF!,#REF!,#REF!,#REF!,#REF!,#REF!,#REF!,#REF!,#REF!,#REF!,#REF!</definedName>
    <definedName name="RevCas1AllInp">#REF!,#REF!,#REF!,#REF!,#REF!,#REF!,#REF!,#REF!,#REF!,#REF!,#REF!</definedName>
    <definedName name="RevCas1AmortAmt1">[28]Input!$K$110</definedName>
    <definedName name="RevCas1AmortAmt2">[28]Input!$K$112</definedName>
    <definedName name="RevCas1AmortAmt3">[28]Input!$K$114</definedName>
    <definedName name="RevCas1AmortPer1">[28]Input!$Q$110</definedName>
    <definedName name="RevCas1AmortPer2">[28]Input!$Q$112</definedName>
    <definedName name="RevCas1AmortPer3">[28]Input!$Q$114</definedName>
    <definedName name="RevCas1Bal">[28]Input!$G$110</definedName>
    <definedName name="RevCas2AllInp" localSheetId="3">[27]Input!#REF!,[27]Input!#REF!,[27]Input!#REF!,[27]Input!#REF!,[27]Input!#REF!,[27]Input!#REF!,[27]Input!#REF!,[27]Input!#REF!,[27]Input!#REF!,[27]Input!#REF!,[27]Input!#REF!</definedName>
    <definedName name="RevCas2AllInp" localSheetId="108">#REF!,#REF!,#REF!,#REF!,#REF!,#REF!,#REF!,#REF!,#REF!,#REF!,#REF!</definedName>
    <definedName name="RevCas2AllInp" localSheetId="1">#REF!,#REF!,#REF!,#REF!,#REF!,#REF!,#REF!,#REF!,#REF!,#REF!,#REF!</definedName>
    <definedName name="RevCas2AllInp" localSheetId="2">#REF!,#REF!,#REF!,#REF!,#REF!,#REF!,#REF!,#REF!,#REF!,#REF!,#REF!</definedName>
    <definedName name="RevCas2AllInp" localSheetId="4">#REF!,#REF!,#REF!,#REF!,#REF!,#REF!,#REF!,#REF!,#REF!,#REF!,#REF!</definedName>
    <definedName name="RevCas2AllInp" localSheetId="9">#REF!,#REF!,#REF!,#REF!,#REF!,#REF!,#REF!,#REF!,#REF!,#REF!,#REF!</definedName>
    <definedName name="RevCas2AllInp" localSheetId="7">#REF!,#REF!,#REF!,#REF!,#REF!,#REF!,#REF!,#REF!,#REF!,#REF!,#REF!</definedName>
    <definedName name="RevCas2AllInp" localSheetId="8">#REF!,#REF!,#REF!,#REF!,#REF!,#REF!,#REF!,#REF!,#REF!,#REF!,#REF!</definedName>
    <definedName name="RevCas2AllInp">#REF!,#REF!,#REF!,#REF!,#REF!,#REF!,#REF!,#REF!,#REF!,#REF!,#REF!</definedName>
    <definedName name="RevCas2AmortAmt1">[28]Input!$K$124</definedName>
    <definedName name="RevCas2AmortAmt2" localSheetId="108">#REF!</definedName>
    <definedName name="RevCas2AmortAmt2" localSheetId="1">#REF!</definedName>
    <definedName name="RevCas2AmortAmt2" localSheetId="2">#REF!</definedName>
    <definedName name="RevCas2AmortAmt2" localSheetId="4">#REF!</definedName>
    <definedName name="RevCas2AmortAmt2" localSheetId="9">#REF!</definedName>
    <definedName name="RevCas2AmortAmt2">#REF!</definedName>
    <definedName name="RevCas2AmortAmt3">[28]Input!$K$128</definedName>
    <definedName name="RevCas2AmortPer1">[28]Input!$Q$124</definedName>
    <definedName name="RevCas2AmortPer2" localSheetId="108">#REF!</definedName>
    <definedName name="RevCas2AmortPer2" localSheetId="1">#REF!</definedName>
    <definedName name="RevCas2AmortPer2" localSheetId="2">#REF!</definedName>
    <definedName name="RevCas2AmortPer2" localSheetId="4">#REF!</definedName>
    <definedName name="RevCas2AmortPer2" localSheetId="9">#REF!</definedName>
    <definedName name="RevCas2AmortPer2">#REF!</definedName>
    <definedName name="RevCas2AmortPer3">[28]Input!$Q$128</definedName>
    <definedName name="RevCas2Bal">[28]Input!$G$124</definedName>
    <definedName name="RevCas3AllInp" localSheetId="3">[27]Input!#REF!,[27]Input!#REF!,[27]Input!#REF!,[27]Input!#REF!,[27]Input!#REF!,[27]Input!#REF!,[27]Input!#REF!,[27]Input!#REF!,[27]Input!#REF!,[27]Input!#REF!,[27]Input!#REF!</definedName>
    <definedName name="RevCas3AllInp" localSheetId="108">#REF!,#REF!,#REF!,#REF!,#REF!,#REF!,#REF!,#REF!,#REF!,#REF!,#REF!</definedName>
    <definedName name="RevCas3AllInp" localSheetId="1">#REF!,#REF!,#REF!,#REF!,#REF!,#REF!,#REF!,#REF!,#REF!,#REF!,#REF!</definedName>
    <definedName name="RevCas3AllInp" localSheetId="2">#REF!,#REF!,#REF!,#REF!,#REF!,#REF!,#REF!,#REF!,#REF!,#REF!,#REF!</definedName>
    <definedName name="RevCas3AllInp" localSheetId="4">#REF!,#REF!,#REF!,#REF!,#REF!,#REF!,#REF!,#REF!,#REF!,#REF!,#REF!</definedName>
    <definedName name="RevCas3AllInp" localSheetId="9">#REF!,#REF!,#REF!,#REF!,#REF!,#REF!,#REF!,#REF!,#REF!,#REF!,#REF!</definedName>
    <definedName name="RevCas3AllInp" localSheetId="7">#REF!,#REF!,#REF!,#REF!,#REF!,#REF!,#REF!,#REF!,#REF!,#REF!,#REF!</definedName>
    <definedName name="RevCas3AllInp" localSheetId="8">#REF!,#REF!,#REF!,#REF!,#REF!,#REF!,#REF!,#REF!,#REF!,#REF!,#REF!</definedName>
    <definedName name="RevCas3AllInp">#REF!,#REF!,#REF!,#REF!,#REF!,#REF!,#REF!,#REF!,#REF!,#REF!,#REF!</definedName>
    <definedName name="RevCas3AmortAmt1" localSheetId="108">#REF!</definedName>
    <definedName name="RevCas3AmortAmt1" localSheetId="1">#REF!</definedName>
    <definedName name="RevCas3AmortAmt1" localSheetId="2">#REF!</definedName>
    <definedName name="RevCas3AmortAmt1" localSheetId="4">#REF!</definedName>
    <definedName name="RevCas3AmortAmt1" localSheetId="9">#REF!</definedName>
    <definedName name="RevCas3AmortAmt1">#REF!</definedName>
    <definedName name="RevCas3AmortAmt2" localSheetId="108">#REF!</definedName>
    <definedName name="RevCas3AmortAmt2" localSheetId="1">#REF!</definedName>
    <definedName name="RevCas3AmortAmt2" localSheetId="2">#REF!</definedName>
    <definedName name="RevCas3AmortAmt2" localSheetId="4">#REF!</definedName>
    <definedName name="RevCas3AmortAmt2" localSheetId="9">#REF!</definedName>
    <definedName name="RevCas3AmortAmt2">#REF!</definedName>
    <definedName name="RevCas3AmortPer1" localSheetId="108">#REF!</definedName>
    <definedName name="RevCas3AmortPer1" localSheetId="1">#REF!</definedName>
    <definedName name="RevCas3AmortPer1" localSheetId="2">#REF!</definedName>
    <definedName name="RevCas3AmortPer1" localSheetId="4">#REF!</definedName>
    <definedName name="RevCas3AmortPer1" localSheetId="9">#REF!</definedName>
    <definedName name="RevCas3AmortPer1">#REF!</definedName>
    <definedName name="RevCas3AmortPer2" localSheetId="108">#REF!</definedName>
    <definedName name="RevCas3AmortPer2" localSheetId="1">#REF!</definedName>
    <definedName name="RevCas3AmortPer2" localSheetId="2">#REF!</definedName>
    <definedName name="RevCas3AmortPer2" localSheetId="4">#REF!</definedName>
    <definedName name="RevCas3AmortPer2" localSheetId="9">#REF!</definedName>
    <definedName name="RevCas3AmortPer2">#REF!</definedName>
    <definedName name="RevCas3Bal" localSheetId="108">#REF!</definedName>
    <definedName name="RevCas3Bal" localSheetId="1">#REF!</definedName>
    <definedName name="RevCas3Bal" localSheetId="2">#REF!</definedName>
    <definedName name="RevCas3Bal" localSheetId="4">#REF!</definedName>
    <definedName name="RevCas3Bal" localSheetId="9">#REF!</definedName>
    <definedName name="RevCas3Bal">#REF!</definedName>
    <definedName name="RevCas4AllInp" localSheetId="3">[27]Input!#REF!,[27]Input!#REF!,[27]Input!#REF!,[27]Input!#REF!,[27]Input!#REF!,[27]Input!#REF!,[27]Input!#REF!,[27]Input!#REF!,[27]Input!#REF!,[27]Input!#REF!,[27]Input!#REF!</definedName>
    <definedName name="RevCas4AllInp" localSheetId="108">#REF!,#REF!,#REF!,#REF!,#REF!,#REF!,#REF!,#REF!,#REF!,#REF!,#REF!</definedName>
    <definedName name="RevCas4AllInp" localSheetId="1">#REF!,#REF!,#REF!,#REF!,#REF!,#REF!,#REF!,#REF!,#REF!,#REF!,#REF!</definedName>
    <definedName name="RevCas4AllInp" localSheetId="2">#REF!,#REF!,#REF!,#REF!,#REF!,#REF!,#REF!,#REF!,#REF!,#REF!,#REF!</definedName>
    <definedName name="RevCas4AllInp" localSheetId="4">#REF!,#REF!,#REF!,#REF!,#REF!,#REF!,#REF!,#REF!,#REF!,#REF!,#REF!</definedName>
    <definedName name="RevCas4AllInp" localSheetId="9">#REF!,#REF!,#REF!,#REF!,#REF!,#REF!,#REF!,#REF!,#REF!,#REF!,#REF!</definedName>
    <definedName name="RevCas4AllInp" localSheetId="7">#REF!,#REF!,#REF!,#REF!,#REF!,#REF!,#REF!,#REF!,#REF!,#REF!,#REF!</definedName>
    <definedName name="RevCas4AllInp" localSheetId="8">#REF!,#REF!,#REF!,#REF!,#REF!,#REF!,#REF!,#REF!,#REF!,#REF!,#REF!</definedName>
    <definedName name="RevCas4AllInp">#REF!,#REF!,#REF!,#REF!,#REF!,#REF!,#REF!,#REF!,#REF!,#REF!,#REF!</definedName>
    <definedName name="RevCas4AmortAmt1">[28]Input!$K$152</definedName>
    <definedName name="RevCas4AmortPer1">[28]Input!$Q$152</definedName>
    <definedName name="RevCas5AllInp" localSheetId="3">[27]Input!#REF!,[27]Input!#REF!,[27]Input!#REF!,[27]Input!#REF!,[27]Input!#REF!,[27]Input!#REF!,[27]Input!#REF!,[27]Input!#REF!,[27]Input!#REF!,[27]Input!#REF!,[27]Input!#REF!</definedName>
    <definedName name="RevCas5AllInp" localSheetId="108">#REF!,#REF!,#REF!,#REF!,#REF!,#REF!,#REF!,#REF!,#REF!,#REF!,#REF!</definedName>
    <definedName name="RevCas5AllInp" localSheetId="1">#REF!,#REF!,#REF!,#REF!,#REF!,#REF!,#REF!,#REF!,#REF!,#REF!,#REF!</definedName>
    <definedName name="RevCas5AllInp" localSheetId="2">#REF!,#REF!,#REF!,#REF!,#REF!,#REF!,#REF!,#REF!,#REF!,#REF!,#REF!</definedName>
    <definedName name="RevCas5AllInp" localSheetId="4">#REF!,#REF!,#REF!,#REF!,#REF!,#REF!,#REF!,#REF!,#REF!,#REF!,#REF!</definedName>
    <definedName name="RevCas5AllInp" localSheetId="9">#REF!,#REF!,#REF!,#REF!,#REF!,#REF!,#REF!,#REF!,#REF!,#REF!,#REF!</definedName>
    <definedName name="RevCas5AllInp" localSheetId="7">#REF!,#REF!,#REF!,#REF!,#REF!,#REF!,#REF!,#REF!,#REF!,#REF!,#REF!</definedName>
    <definedName name="RevCas5AllInp" localSheetId="8">#REF!,#REF!,#REF!,#REF!,#REF!,#REF!,#REF!,#REF!,#REF!,#REF!,#REF!</definedName>
    <definedName name="RevCas5AllInp">#REF!,#REF!,#REF!,#REF!,#REF!,#REF!,#REF!,#REF!,#REF!,#REF!,#REF!</definedName>
    <definedName name="RevCas5AmortPer2">[28]Input!$Q$168</definedName>
    <definedName name="RevConvFactor">'[19]Schedule VI'!$G$21</definedName>
    <definedName name="rf_cwip">'[10]Book RF - PPE Report ATM'!$A$77:$Z$100</definedName>
    <definedName name="rf_pis">'[10]Book RF - PPE Report ATM'!$A$9:$Y$33</definedName>
    <definedName name="rf_pis_accum">'[10]Book RF - PPE Report ATM'!$A$41:$Y$62</definedName>
    <definedName name="rf_rwip">'[10]Book RF - PPE Report ATM'!$A$108:$X$132</definedName>
    <definedName name="ROEXP">'[20]DATA INPUT'!$C$77</definedName>
    <definedName name="ROPLANT">'[20]DATA INPUT'!$C$73</definedName>
    <definedName name="rpt_all">'[13]TXU model'!$B$3:$L$44,'[13]TXU model'!#REF!,'[13]TXU model'!$B$46:$L$100,'[13]TXU model'!$B$104:$L$113,'[13]TXU model'!#REF!,'[13]TXU model'!$N$3:$X$44,'[13]TXU model'!#REF!,'[13]TXU model'!$N$46:$X$100,'[13]TXU model'!$N$104:$X$113,'[13]TXU model'!#REF!,'[13]TXU model'!$Z$3:$AH$44</definedName>
    <definedName name="rpt_CorePipeline">[7]consol!$T$3:$AA$44,[7]consol!#REF!,[7]consol!$T$46:$AA$100,[7]consol!$T$103:$AA$114</definedName>
    <definedName name="rpt_DistributionSystems">[7]consol!$K$3:$R$44,[7]consol!#REF!,[7]consol!$K$46:$R$100,[7]consol!$K$103:$R$114</definedName>
    <definedName name="rpt_Network">'[13]TXU model'!$Z$3:$AH$44,'[13]TXU model'!#REF!,'[13]TXU model'!$Z$46:$AH$100</definedName>
    <definedName name="rpt_Property_Additions">'[13]TXU model'!$G$383:$L$409,'[13]TXU model'!#REF!,'[13]TXU model'!#REF!</definedName>
    <definedName name="rpt_Rev">'[13]TXU model'!$G$117:$L$164,'[13]TXU model'!#REF!,'[13]TXU model'!#REF!</definedName>
    <definedName name="rpt_TXUDistribution">'[13]TXU model'!$B$3:$L$44,'[13]TXU model'!#REF!,'[13]TXU model'!$B$46:$L$100,'[13]TXU model'!$B$104:$L$113,'[13]TXU model'!$B$117:$L$169,'[13]TXU model'!$B$235:$L$252,'[13]TXU model'!$B$254:$L$300,'[13]TXU model'!$B$303:$L$341,'[13]TXU model'!$B$343:$L$381,'[13]TXU model'!$B$383:$L$409</definedName>
    <definedName name="rpt_TXUGAS">[7]consol!$B$3:$I$44,[7]consol!#REF!,[7]consol!$B$46:$I$100,[7]consol!$B$103:$I$114</definedName>
    <definedName name="rpt_TXUPipeline">'[13]TXU model'!$N$3:$X$44,'[13]TXU model'!#REF!,'[13]TXU model'!$N$46:$X$100,'[13]TXU model'!$N$104:$X$113,'[13]TXU model'!$N$117:$X$135,'[13]TXU model'!$N$171:$X$214,'[13]TXU model'!$N$254:$X$300,'[13]TXU model'!$N$303:$X$341,'[13]TXU model'!$N$343:$X$381,'[13]TXU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RU_1">'[22]40-C'!$D$7</definedName>
    <definedName name="RU_10">'[22]40-C'!$D$34</definedName>
    <definedName name="RU_11">'[22]40-C'!$D$37</definedName>
    <definedName name="RU_13">'[22]40-C'!$D$43</definedName>
    <definedName name="RU_2">'[22]40-C'!$D$10</definedName>
    <definedName name="RU_3">'[22]40-C'!$D$13</definedName>
    <definedName name="RU_4">'[22]40-C'!$D$16</definedName>
    <definedName name="RU_5">'[22]40-C'!$D$19</definedName>
    <definedName name="RU_6">'[22]40-C'!$D$22</definedName>
    <definedName name="RU_7">'[22]40-C'!$D$25</definedName>
    <definedName name="RU_8">'[22]40-C'!$D$28</definedName>
    <definedName name="RU_9">'[22]40-C'!$D$31</definedName>
    <definedName name="s" hidden="1">#REF!</definedName>
    <definedName name="sal_table">#REF!</definedName>
    <definedName name="SALES">#REF!</definedName>
    <definedName name="SAPBEXhrIndnt" hidden="1">"Wide"</definedName>
    <definedName name="SAPsysID" hidden="1">"708C5W7SBKP804JT78WJ0JNKI"</definedName>
    <definedName name="SAPwbID" hidden="1">"ARS"</definedName>
    <definedName name="schm_div">'[14]AIC - Sch M'!$E$49:$G$95</definedName>
    <definedName name="SEBP05">#REF!</definedName>
    <definedName name="SEBP06">#REF!</definedName>
    <definedName name="segment" localSheetId="14">[43]Grouping!$A$4:$G$69</definedName>
    <definedName name="segment">[44]Macro!$M$1:$N$15</definedName>
    <definedName name="Seven">#REF!</definedName>
    <definedName name="SFACTOR">'[5]WP 40-1'!$F$52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heet1_FooterType" hidden="1">"NONE"</definedName>
    <definedName name="Sheet2_FooterType" hidden="1">"NONE"</definedName>
    <definedName name="Six">#REF!</definedName>
    <definedName name="SmallDate">#REF!</definedName>
    <definedName name="Spread_Method">'[21]Tech Serv Mgr Data Entry'!$E$34:$Q$40</definedName>
    <definedName name="SS2005INFL">'[35]WP B9-1'!#REF!</definedName>
    <definedName name="SS2006INFL">'[35]WP B9-1'!#REF!</definedName>
    <definedName name="SSComposite">[5]FACTORS!$E$32</definedName>
    <definedName name="SSCOMPOSITE_PROFORMA">[5]FACTORS!$I$32</definedName>
    <definedName name="SSCUSTOMER" localSheetId="14">[5]FACTORS!$E$33</definedName>
    <definedName name="SSCUSTOMER">'[20]DATA INPUT'!$C$48</definedName>
    <definedName name="SSCUSTOMER_PROFORMA">[5]FACTORS!$I$33</definedName>
    <definedName name="SSEXP_MVG">[36]Input!$D$43</definedName>
    <definedName name="SSEXP_PROFORMA">'[45]DATA INPUT'!$D$45</definedName>
    <definedName name="SSEXPENSE">'[20]DATA INPUT'!$C$46</definedName>
    <definedName name="SSPLANT">'[20]DATA INPUT'!$C$45</definedName>
    <definedName name="SSUActBilled">#REF!</definedName>
    <definedName name="SSUAlo">'[46]SSU-Billings'!$A$22:$L$22</definedName>
    <definedName name="SSUBillings">[47]SSUAllocationTable!$D$8:$Y$52</definedName>
    <definedName name="StartBalance" localSheetId="3">[27]Startup!$N$8</definedName>
    <definedName name="StartBalance" localSheetId="108">#REF!</definedName>
    <definedName name="StartBalance" localSheetId="1">#REF!</definedName>
    <definedName name="StartBalance" localSheetId="2">#REF!</definedName>
    <definedName name="StartBalance" localSheetId="4">#REF!</definedName>
    <definedName name="StartBalance" localSheetId="9">#REF!</definedName>
    <definedName name="StartBalance">#REF!</definedName>
    <definedName name="StartBalanceG1">[48]Startup!$N$10</definedName>
    <definedName name="StartBillMonth" localSheetId="3">[27]Startup!$N$5</definedName>
    <definedName name="StartBillMonth" localSheetId="108">#REF!</definedName>
    <definedName name="StartBillMonth" localSheetId="1">#REF!</definedName>
    <definedName name="StartBillMonth" localSheetId="2">#REF!</definedName>
    <definedName name="StartBillMonth" localSheetId="4">#REF!</definedName>
    <definedName name="StartBillMonth" localSheetId="9">#REF!</definedName>
    <definedName name="StartBillMonth">#REF!</definedName>
    <definedName name="STATE">[5]FACTORS!$C$11</definedName>
    <definedName name="Statetax">'[35]WP B9-1'!#REF!</definedName>
    <definedName name="Status">[49]Notes!$A$46:$A$47</definedName>
    <definedName name="STD">'[19]Schedule VII'!$I$13</definedName>
    <definedName name="Summary">#REF!</definedName>
    <definedName name="Swvu.ANALYSIS._.1." hidden="1">#REF!</definedName>
    <definedName name="Swvu.ANALYSIS._.2." hidden="1">#REF!</definedName>
    <definedName name="Swvu.grid._.lines." hidden="1">[9]JE!#REF!</definedName>
    <definedName name="Swvu.OPERATING._.EXPENSES." hidden="1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Name">"Dummy"</definedName>
    <definedName name="TABLEV">#REF!</definedName>
    <definedName name="TABLEVI">#REF!</definedName>
    <definedName name="Tariff_Bulk_Trans">[7]assump!$G$107:$L$107</definedName>
    <definedName name="Tariff_C">[7]assump!$G$93:$L$93</definedName>
    <definedName name="Tariff_Call">[7]assump!$G$96:$L$96</definedName>
    <definedName name="Tariff_Check">[7]assump!$G$97:$L$97</definedName>
    <definedName name="Tariff_Connect">[7]assump!$G$95:$L$95</definedName>
    <definedName name="Tariff_Ind">[7]assump!$G$94:$L$94</definedName>
    <definedName name="Tariff_Ind_PL">[7]assump!$G$106:$L$106</definedName>
    <definedName name="Tariff_Network_Trans">[7]assump!$G$108:$L$108</definedName>
    <definedName name="Tariff_R">[7]assump!$G$92:$L$92</definedName>
    <definedName name="Tariff_Read">[7]assump!$G$98:$L$98</definedName>
    <definedName name="Tariff_Tamper">[7]assump!$G$99:$L$99</definedName>
    <definedName name="task">#REF!</definedName>
    <definedName name="tax_cwip">'[10]Tax CWIP_RWIP'!$B$8:$V$28</definedName>
    <definedName name="tax_cwip_bb">'[16]Rollforward - Tax CWIP_RWIP'!$B$43:$G$103</definedName>
    <definedName name="TAX_FED">#REF!</definedName>
    <definedName name="tax_rwip_bb">'[16]Rollforward - Tax CWIP_RWIP'!$N$43:$Q$87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ba">'[17]Basis Adj'!$A$11:$O$71</definedName>
    <definedName name="TblGrant2q">#REF!</definedName>
    <definedName name="TblGrantData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a">#REF!</definedName>
    <definedName name="testb">#REF!</definedName>
    <definedName name="testc">#REF!</definedName>
    <definedName name="testd">#REF!</definedName>
    <definedName name="testh">#REF!</definedName>
    <definedName name="TESTHKEY">#REF!</definedName>
    <definedName name="tesths">#REF!</definedName>
    <definedName name="testing" hidden="1">{#N/A,"Anonymous",FALSE,"30 30k Table";#N/A,#N/A,FALSE,"30 50k Table";#N/A,#N/A,FALSE,"40 100k Table"}</definedName>
    <definedName name="TESTKEYS">#REF!</definedName>
    <definedName name="TESTVKEY">#REF!</definedName>
    <definedName name="TESTYEAR" localSheetId="14">[50]FACTORS!$C$6</definedName>
    <definedName name="TESTYEAR">'[20]DATA INPUT'!$C$9</definedName>
    <definedName name="TextRefCopyRangeCount" hidden="1">30</definedName>
    <definedName name="Therms">#REF!</definedName>
    <definedName name="Three">#REF!</definedName>
    <definedName name="Tickmarks" localSheetId="3">#REF!</definedName>
    <definedName name="Tickmarks" localSheetId="108">#REF!</definedName>
    <definedName name="Tickmarks" localSheetId="1">#REF!</definedName>
    <definedName name="Tickmarks" localSheetId="2">#REF!</definedName>
    <definedName name="Tickmarks" localSheetId="4">#REF!</definedName>
    <definedName name="Tickmarks" localSheetId="9">#REF!</definedName>
    <definedName name="Tickmarks" localSheetId="7">#REF!</definedName>
    <definedName name="Tickmarks" localSheetId="8">#REF!</definedName>
    <definedName name="Tickmarks">#REF!</definedName>
    <definedName name="TLIG_1080" localSheetId="14">#REF!</definedName>
    <definedName name="TLIG_1080">#REF!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l_Customers">#REF!</definedName>
    <definedName name="Total_Volume">#REF!</definedName>
    <definedName name="TOTAL1">'[22]40-C'!$B$6</definedName>
    <definedName name="TOTAL10">'[22]40-C'!$B$33</definedName>
    <definedName name="TOTAL11">'[22]40-C'!$B$36</definedName>
    <definedName name="TOTAL12">'[22]40-C'!$B$39</definedName>
    <definedName name="TOTAL13">'[22]40-C'!$B$42</definedName>
    <definedName name="TOTAL2">'[22]40-C'!$B$9</definedName>
    <definedName name="TOTAL3">'[22]40-C'!$B$12</definedName>
    <definedName name="TOTAL4">'[22]40-C'!$B$15</definedName>
    <definedName name="TOTAL5">'[22]40-C'!$B$18</definedName>
    <definedName name="TOTAL6">'[22]40-C'!$B$21</definedName>
    <definedName name="TOTAL7">'[22]40-C'!$B$24</definedName>
    <definedName name="TOTAL8">'[22]40-C'!$B$27</definedName>
    <definedName name="TOTAL9">'[22]40-C'!$B$30</definedName>
    <definedName name="TP_Footer_Path" localSheetId="14" hidden="1">"C:\DOCUME~1\kingca\LOCALS~1\Temp\C.NOTEDATA\"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localSheetId="14" hidden="1">"Kingca"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S_LA_1080">#REF!</definedName>
    <definedName name="TRANS_LA_1110" localSheetId="14">#REF!</definedName>
    <definedName name="TRANS_LA_1110">#REF!</definedName>
    <definedName name="transfer" localSheetId="14">'[1]adjustment 3'!$O$4:$O$371</definedName>
    <definedName name="transfer">'[2]adjustment 3'!$O$4:$O$371</definedName>
    <definedName name="TransItemsTableAll">[32]Data!$O$137:$CJ$192</definedName>
    <definedName name="Two">#REF!</definedName>
    <definedName name="tx_rule">'[10]Tx Rule 8209'!$C$11:$N$25</definedName>
    <definedName name="UCG_1080" localSheetId="14">#REF!</definedName>
    <definedName name="UCG_1080">#REF!</definedName>
    <definedName name="UCG_1110" localSheetId="14">#REF!</definedName>
    <definedName name="UCG_1110">#REF!</definedName>
    <definedName name="uncoll">#REF!</definedName>
    <definedName name="uncollectibles">[5]FACTORS!$C$13</definedName>
    <definedName name="Uniform">#REF!</definedName>
    <definedName name="Update_Base_Case">[34]Scenarios!#REF!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ethisone">#REF!</definedName>
    <definedName name="UUUU">'[51]Summary Factors'!$A$5:$CA$64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#REF!</definedName>
    <definedName name="VFACTOR" localSheetId="14">'[5]WP 40-1'!$F$58</definedName>
    <definedName name="VFACTOR">'[20]WP 30-1'!$F$56</definedName>
    <definedName name="VOL_A">#REF!</definedName>
    <definedName name="W_GAS">#REF!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hat" hidden="1">{"TOT_QTR_TO_PREV",#N/A,FALSE,"Site Sum"}</definedName>
    <definedName name="what1" hidden="1">{"TOT_QTR_TO_PREV",#N/A,FALSE,"Site Sum"}</definedName>
    <definedName name="what2" hidden="1">{"TOT_QTR_TO_PREV",#N/A,FALSE,"Site Sum"}</definedName>
    <definedName name="WINTER">#REF!</definedName>
    <definedName name="WKG_1080" localSheetId="14">#REF!</definedName>
    <definedName name="WKG_1080">#REF!</definedName>
    <definedName name="WKG_1110" localSheetId="14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enefits." localSheetId="14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ul._.Month._.End." hidden="1">{#N/A,#N/A,TRUE,"BS";#N/A,#N/A,TRUE,"IS";#N/A,#N/A,TRUE,"NOTES";#N/A,#N/A,TRUE,"UW"}</definedName>
    <definedName name="wrn.Initial." hidden="1">{#N/A,"Anonymous",FALSE,"30 30k Table";#N/A,#N/A,FALSE,"30 50k Table";#N/A,#N/A,FALSE,"40 100k Table"}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Percentage." hidden="1">{"Summary",#N/A,FALSE,"Options 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ore._.forms." hidden="1">{#N/A,#N/A,FALSE,"Score EP";#N/A,#N/A,FALSE,"Score STB";#N/A,#N/A,FALSE,"Score IMPL";#N/A,#N/A,FALSE,"Score RoS";#N/A,#N/A,FALSE,"Score QoL";#N/A,#N/A,FALSE,"Score FS"}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Table._.SBU._.1996_2002." hidden="1">{"SBU Numbers 1996_2002",#N/A,FALSE,"Strategic Business Lines"}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localSheetId="14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XFACTOR">'[5]WP 40-1'!$F$62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hidden="1">#REF!</definedName>
    <definedName name="Z_02C5980F_9CED_11D3_8584_00A0C9DF1035_.wvu.PrintArea" hidden="1">#REF!</definedName>
    <definedName name="Z_02C59811_9CED_11D3_8584_00A0C9DF1035_.wvu.PrintArea" hidden="1">#REF!</definedName>
    <definedName name="Z_02C59812_9CED_11D3_8584_00A0C9DF1035_.wvu.PrintArea" hidden="1">#REF!</definedName>
    <definedName name="Z_02C59813_9CED_11D3_8584_00A0C9DF1035_.wvu.PrintArea" hidden="1">#REF!</definedName>
    <definedName name="Z_02C59814_9CED_11D3_8584_00A0C9DF1035_.wvu.PrintArea" hidden="1">#REF!</definedName>
    <definedName name="Z_02C59816_9CED_11D3_8584_00A0C9DF1035_.wvu.PrintArea" hidden="1">#REF!</definedName>
    <definedName name="Z_02C59817_9CED_11D3_8584_00A0C9DF1035_.wvu.PrintArea" hidden="1">#REF!</definedName>
    <definedName name="Z_02C59818_9CED_11D3_8584_00A0C9DF1035_.wvu.PrintArea" hidden="1">#REF!</definedName>
    <definedName name="Z_02C59819_9CED_11D3_8584_00A0C9DF1035_.wvu.PrintArea" hidden="1">#REF!</definedName>
    <definedName name="Z_02C5981B_9CED_11D3_8584_00A0C9DF1035_.wvu.PrintArea" hidden="1">#REF!</definedName>
    <definedName name="Z_02C5981C_9CED_11D3_8584_00A0C9DF1035_.wvu.PrintArea" hidden="1">#REF!</definedName>
    <definedName name="Z_02C5981E_9CED_11D3_8584_00A0C9DF1035_.wvu.PrintArea" hidden="1">#REF!</definedName>
    <definedName name="Z_02C5981F_9CED_11D3_8584_00A0C9DF1035_.wvu.PrintArea" hidden="1">#REF!</definedName>
    <definedName name="Z_02C59821_9CED_11D3_8584_00A0C9DF1035_.wvu.PrintArea" hidden="1">#REF!</definedName>
    <definedName name="Z_02C59822_9CED_11D3_8584_00A0C9DF1035_.wvu.PrintArea" hidden="1">#REF!</definedName>
    <definedName name="Z_02C59823_9CED_11D3_8584_00A0C9DF1035_.wvu.PrintArea" hidden="1">#REF!</definedName>
    <definedName name="Z_02C59824_9CED_11D3_8584_00A0C9DF1035_.wvu.PrintArea" hidden="1">#REF!</definedName>
    <definedName name="Z_02C59826_9CED_11D3_8584_00A0C9DF1035_.wvu.PrintArea" hidden="1">#REF!</definedName>
    <definedName name="Z_02C59827_9CED_11D3_8584_00A0C9DF1035_.wvu.PrintArea" hidden="1">#REF!</definedName>
    <definedName name="Z_02C59828_9CED_11D3_8584_00A0C9DF1035_.wvu.PrintArea" hidden="1">#REF!</definedName>
    <definedName name="Z_02C59829_9CED_11D3_8584_00A0C9DF1035_.wvu.PrintArea" hidden="1">#REF!</definedName>
    <definedName name="Z_02C5982B_9CED_11D3_8584_00A0C9DF1035_.wvu.PrintArea" hidden="1">#REF!</definedName>
    <definedName name="Z_02C5982C_9CED_11D3_8584_00A0C9DF1035_.wvu.PrintArea" hidden="1">#REF!</definedName>
    <definedName name="Z_04C88C4B_71AF_11D3_ABF0_00A0C9DF1063_.wvu.PrintArea" hidden="1">#REF!</definedName>
    <definedName name="Z_04C88C4C_71AF_11D3_ABF0_00A0C9DF1063_.wvu.PrintArea" hidden="1">#REF!</definedName>
    <definedName name="Z_04C88C4E_71AF_11D3_ABF0_00A0C9DF1063_.wvu.PrintArea" hidden="1">#REF!</definedName>
    <definedName name="Z_04C88C4F_71AF_11D3_ABF0_00A0C9DF1063_.wvu.PrintArea" hidden="1">#REF!</definedName>
    <definedName name="Z_04C88C50_71AF_11D3_ABF0_00A0C9DF1063_.wvu.PrintArea" hidden="1">#REF!</definedName>
    <definedName name="Z_04C88C51_71AF_11D3_ABF0_00A0C9DF1063_.wvu.PrintArea" hidden="1">#REF!</definedName>
    <definedName name="Z_04C88C53_71AF_11D3_ABF0_00A0C9DF1063_.wvu.PrintArea" hidden="1">#REF!</definedName>
    <definedName name="Z_04C88C54_71AF_11D3_ABF0_00A0C9DF1063_.wvu.PrintArea" hidden="1">#REF!</definedName>
    <definedName name="Z_04C88C55_71AF_11D3_ABF0_00A0C9DF1063_.wvu.PrintArea" hidden="1">#REF!</definedName>
    <definedName name="Z_04C88C56_71AF_11D3_ABF0_00A0C9DF1063_.wvu.PrintArea" hidden="1">#REF!</definedName>
    <definedName name="Z_04C88C58_71AF_11D3_ABF0_00A0C9DF1063_.wvu.PrintArea" hidden="1">#REF!</definedName>
    <definedName name="Z_04C88C59_71AF_11D3_ABF0_00A0C9DF1063_.wvu.PrintArea" hidden="1">#REF!</definedName>
    <definedName name="Z_04C88C5B_71AF_11D3_ABF0_00A0C9DF1063_.wvu.PrintArea" hidden="1">#REF!</definedName>
    <definedName name="Z_04C88C5C_71AF_11D3_ABF0_00A0C9DF1063_.wvu.PrintArea" hidden="1">#REF!</definedName>
    <definedName name="Z_04C88C5E_71AF_11D3_ABF0_00A0C9DF1063_.wvu.PrintArea" hidden="1">#REF!</definedName>
    <definedName name="Z_04C88C5F_71AF_11D3_ABF0_00A0C9DF1063_.wvu.PrintArea" hidden="1">#REF!</definedName>
    <definedName name="Z_04C88C60_71AF_11D3_ABF0_00A0C9DF1063_.wvu.PrintArea" hidden="1">#REF!</definedName>
    <definedName name="Z_04C88C61_71AF_11D3_ABF0_00A0C9DF1063_.wvu.PrintArea" hidden="1">#REF!</definedName>
    <definedName name="Z_04C88C63_71AF_11D3_ABF0_00A0C9DF1063_.wvu.PrintArea" hidden="1">#REF!</definedName>
    <definedName name="Z_04C88C64_71AF_11D3_ABF0_00A0C9DF1063_.wvu.PrintArea" hidden="1">#REF!</definedName>
    <definedName name="Z_04C88C65_71AF_11D3_ABF0_00A0C9DF1063_.wvu.PrintArea" hidden="1">#REF!</definedName>
    <definedName name="Z_04C88C66_71AF_11D3_ABF0_00A0C9DF1063_.wvu.PrintArea" hidden="1">#REF!</definedName>
    <definedName name="Z_04C88C68_71AF_11D3_ABF0_00A0C9DF1063_.wvu.PrintArea" hidden="1">#REF!</definedName>
    <definedName name="Z_04C88C69_71AF_11D3_ABF0_00A0C9DF1063_.wvu.PrintArea" hidden="1">#REF!</definedName>
    <definedName name="Z_0F6496EA_CA81_11D3_ABFE_00A0C9DF1063_.wvu.PrintArea" hidden="1">#REF!</definedName>
    <definedName name="Z_0F6496EB_CA81_11D3_ABFE_00A0C9DF1063_.wvu.PrintArea" hidden="1">#REF!</definedName>
    <definedName name="Z_0F6496ED_CA81_11D3_ABFE_00A0C9DF1063_.wvu.PrintArea" hidden="1">#REF!</definedName>
    <definedName name="Z_0F6496EE_CA81_11D3_ABFE_00A0C9DF1063_.wvu.PrintArea" hidden="1">#REF!</definedName>
    <definedName name="Z_0F6496EF_CA81_11D3_ABFE_00A0C9DF1063_.wvu.PrintArea" hidden="1">#REF!</definedName>
    <definedName name="Z_0F6496F0_CA81_11D3_ABFE_00A0C9DF1063_.wvu.PrintArea" hidden="1">#REF!</definedName>
    <definedName name="Z_0F6496F2_CA81_11D3_ABFE_00A0C9DF1063_.wvu.PrintArea" hidden="1">#REF!</definedName>
    <definedName name="Z_0F6496F3_CA81_11D3_ABFE_00A0C9DF1063_.wvu.PrintArea" hidden="1">#REF!</definedName>
    <definedName name="Z_0F6496F4_CA81_11D3_ABFE_00A0C9DF1063_.wvu.PrintArea" hidden="1">#REF!</definedName>
    <definedName name="Z_0F6496F5_CA81_11D3_ABFE_00A0C9DF1063_.wvu.PrintArea" hidden="1">#REF!</definedName>
    <definedName name="Z_0F6496F7_CA81_11D3_ABFE_00A0C9DF1063_.wvu.PrintArea" hidden="1">#REF!</definedName>
    <definedName name="Z_0F6496F8_CA81_11D3_ABFE_00A0C9DF1063_.wvu.PrintArea" hidden="1">#REF!</definedName>
    <definedName name="Z_0F6496FA_CA81_11D3_ABFE_00A0C9DF1063_.wvu.PrintArea" hidden="1">#REF!</definedName>
    <definedName name="Z_0F6496FB_CA81_11D3_ABFE_00A0C9DF1063_.wvu.PrintArea" hidden="1">#REF!</definedName>
    <definedName name="Z_0F6496FD_CA81_11D3_ABFE_00A0C9DF1063_.wvu.PrintArea" hidden="1">#REF!</definedName>
    <definedName name="Z_0F6496FE_CA81_11D3_ABFE_00A0C9DF1063_.wvu.PrintArea" hidden="1">#REF!</definedName>
    <definedName name="Z_0F6496FF_CA81_11D3_ABFE_00A0C9DF1063_.wvu.PrintArea" hidden="1">#REF!</definedName>
    <definedName name="Z_0F649700_CA81_11D3_ABFE_00A0C9DF1063_.wvu.PrintArea" hidden="1">#REF!</definedName>
    <definedName name="Z_0F649702_CA81_11D3_ABFE_00A0C9DF1063_.wvu.PrintArea" hidden="1">#REF!</definedName>
    <definedName name="Z_0F649703_CA81_11D3_ABFE_00A0C9DF1063_.wvu.PrintArea" hidden="1">#REF!</definedName>
    <definedName name="Z_0F649704_CA81_11D3_ABFE_00A0C9DF1063_.wvu.PrintArea" hidden="1">#REF!</definedName>
    <definedName name="Z_0F649705_CA81_11D3_ABFE_00A0C9DF1063_.wvu.PrintArea" hidden="1">#REF!</definedName>
    <definedName name="Z_0F649707_CA81_11D3_ABFE_00A0C9DF1063_.wvu.PrintArea" hidden="1">#REF!</definedName>
    <definedName name="Z_0F649708_CA81_11D3_ABFE_00A0C9DF1063_.wvu.PrintArea" hidden="1">#REF!</definedName>
    <definedName name="Z_181D420F_9B98_11D3_980A_00A0C9DF29C4_.wvu.PrintArea" hidden="1">#REF!</definedName>
    <definedName name="Z_181D4210_9B98_11D3_980A_00A0C9DF29C4_.wvu.PrintArea" hidden="1">#REF!</definedName>
    <definedName name="Z_181D4212_9B98_11D3_980A_00A0C9DF29C4_.wvu.PrintArea" hidden="1">#REF!</definedName>
    <definedName name="Z_181D4213_9B98_11D3_980A_00A0C9DF29C4_.wvu.PrintArea" hidden="1">#REF!</definedName>
    <definedName name="Z_181D4214_9B98_11D3_980A_00A0C9DF29C4_.wvu.PrintArea" hidden="1">#REF!</definedName>
    <definedName name="Z_181D4215_9B98_11D3_980A_00A0C9DF29C4_.wvu.PrintArea" hidden="1">#REF!</definedName>
    <definedName name="Z_181D4217_9B98_11D3_980A_00A0C9DF29C4_.wvu.PrintArea" hidden="1">#REF!</definedName>
    <definedName name="Z_181D4218_9B98_11D3_980A_00A0C9DF29C4_.wvu.PrintArea" hidden="1">#REF!</definedName>
    <definedName name="Z_181D4219_9B98_11D3_980A_00A0C9DF29C4_.wvu.PrintArea" hidden="1">#REF!</definedName>
    <definedName name="Z_181D421A_9B98_11D3_980A_00A0C9DF29C4_.wvu.PrintArea" hidden="1">#REF!</definedName>
    <definedName name="Z_181D421C_9B98_11D3_980A_00A0C9DF29C4_.wvu.PrintArea" hidden="1">#REF!</definedName>
    <definedName name="Z_181D421D_9B98_11D3_980A_00A0C9DF29C4_.wvu.PrintArea" hidden="1">#REF!</definedName>
    <definedName name="Z_181D421F_9B98_11D3_980A_00A0C9DF29C4_.wvu.PrintArea" hidden="1">#REF!</definedName>
    <definedName name="Z_181D4220_9B98_11D3_980A_00A0C9DF29C4_.wvu.PrintArea" hidden="1">#REF!</definedName>
    <definedName name="Z_181D4222_9B98_11D3_980A_00A0C9DF29C4_.wvu.PrintArea" hidden="1">#REF!</definedName>
    <definedName name="Z_181D4223_9B98_11D3_980A_00A0C9DF29C4_.wvu.PrintArea" hidden="1">#REF!</definedName>
    <definedName name="Z_181D4224_9B98_11D3_980A_00A0C9DF29C4_.wvu.PrintArea" hidden="1">#REF!</definedName>
    <definedName name="Z_181D4225_9B98_11D3_980A_00A0C9DF29C4_.wvu.PrintArea" hidden="1">#REF!</definedName>
    <definedName name="Z_181D4227_9B98_11D3_980A_00A0C9DF29C4_.wvu.PrintArea" hidden="1">#REF!</definedName>
    <definedName name="Z_181D4228_9B98_11D3_980A_00A0C9DF29C4_.wvu.PrintArea" hidden="1">#REF!</definedName>
    <definedName name="Z_181D4229_9B98_11D3_980A_00A0C9DF29C4_.wvu.PrintArea" hidden="1">#REF!</definedName>
    <definedName name="Z_181D422A_9B98_11D3_980A_00A0C9DF29C4_.wvu.PrintArea" hidden="1">#REF!</definedName>
    <definedName name="Z_181D422C_9B98_11D3_980A_00A0C9DF29C4_.wvu.PrintArea" hidden="1">#REF!</definedName>
    <definedName name="Z_181D422D_9B98_11D3_980A_00A0C9DF29C4_.wvu.PrintArea" hidden="1">#REF!</definedName>
    <definedName name="Z_1BB02CF2_D326_11D3_9812_00A0C9DF29C4_.wvu.PrintArea" hidden="1">#REF!</definedName>
    <definedName name="Z_1BB02CF3_D326_11D3_9812_00A0C9DF29C4_.wvu.PrintArea" hidden="1">#REF!</definedName>
    <definedName name="Z_1BB02CF5_D326_11D3_9812_00A0C9DF29C4_.wvu.PrintArea" hidden="1">#REF!</definedName>
    <definedName name="Z_1BB02CF6_D326_11D3_9812_00A0C9DF29C4_.wvu.PrintArea" hidden="1">#REF!</definedName>
    <definedName name="Z_1BB02CF7_D326_11D3_9812_00A0C9DF29C4_.wvu.PrintArea" hidden="1">#REF!</definedName>
    <definedName name="Z_1BB02CF8_D326_11D3_9812_00A0C9DF29C4_.wvu.PrintArea" hidden="1">#REF!</definedName>
    <definedName name="Z_1BB02CFA_D326_11D3_9812_00A0C9DF29C4_.wvu.PrintArea" hidden="1">#REF!</definedName>
    <definedName name="Z_1BB02CFB_D326_11D3_9812_00A0C9DF29C4_.wvu.PrintArea" hidden="1">#REF!</definedName>
    <definedName name="Z_1BB02CFC_D326_11D3_9812_00A0C9DF29C4_.wvu.PrintArea" hidden="1">#REF!</definedName>
    <definedName name="Z_1BB02CFD_D326_11D3_9812_00A0C9DF29C4_.wvu.PrintArea" hidden="1">#REF!</definedName>
    <definedName name="Z_1BB02CFF_D326_11D3_9812_00A0C9DF29C4_.wvu.PrintArea" hidden="1">#REF!</definedName>
    <definedName name="Z_1BB02D00_D326_11D3_9812_00A0C9DF29C4_.wvu.PrintArea" hidden="1">#REF!</definedName>
    <definedName name="Z_1BB02D02_D326_11D3_9812_00A0C9DF29C4_.wvu.PrintArea" hidden="1">#REF!</definedName>
    <definedName name="Z_1BB02D03_D326_11D3_9812_00A0C9DF29C4_.wvu.PrintArea" hidden="1">#REF!</definedName>
    <definedName name="Z_1BB02D05_D326_11D3_9812_00A0C9DF29C4_.wvu.PrintArea" hidden="1">#REF!</definedName>
    <definedName name="Z_1BB02D06_D326_11D3_9812_00A0C9DF29C4_.wvu.PrintArea" hidden="1">#REF!</definedName>
    <definedName name="Z_1BB02D07_D326_11D3_9812_00A0C9DF29C4_.wvu.PrintArea" hidden="1">#REF!</definedName>
    <definedName name="Z_1BB02D08_D326_11D3_9812_00A0C9DF29C4_.wvu.PrintArea" hidden="1">#REF!</definedName>
    <definedName name="Z_1BB02D0A_D326_11D3_9812_00A0C9DF29C4_.wvu.PrintArea" hidden="1">#REF!</definedName>
    <definedName name="Z_1BB02D0B_D326_11D3_9812_00A0C9DF29C4_.wvu.PrintArea" hidden="1">#REF!</definedName>
    <definedName name="Z_1BB02D0C_D326_11D3_9812_00A0C9DF29C4_.wvu.PrintArea" hidden="1">#REF!</definedName>
    <definedName name="Z_1BB02D0D_D326_11D3_9812_00A0C9DF29C4_.wvu.PrintArea" hidden="1">#REF!</definedName>
    <definedName name="Z_1BB02D0F_D326_11D3_9812_00A0C9DF29C4_.wvu.PrintArea" hidden="1">#REF!</definedName>
    <definedName name="Z_1BB02D10_D326_11D3_9812_00A0C9DF29C4_.wvu.PrintArea" hidden="1">#REF!</definedName>
    <definedName name="Z_1D18DB46_65F5_11D3_9DAB_00A0C9DF29FD_.wvu.PrintArea" hidden="1">#REF!</definedName>
    <definedName name="Z_1D18DB47_65F5_11D3_9DAB_00A0C9DF29FD_.wvu.PrintArea" hidden="1">#REF!</definedName>
    <definedName name="Z_1D18DB49_65F5_11D3_9DAB_00A0C9DF29FD_.wvu.PrintArea" hidden="1">#REF!</definedName>
    <definedName name="Z_1D18DB4A_65F5_11D3_9DAB_00A0C9DF29FD_.wvu.PrintArea" hidden="1">#REF!</definedName>
    <definedName name="Z_1D18DB4B_65F5_11D3_9DAB_00A0C9DF29FD_.wvu.PrintArea" hidden="1">#REF!</definedName>
    <definedName name="Z_1D18DB4C_65F5_11D3_9DAB_00A0C9DF29FD_.wvu.PrintArea" hidden="1">#REF!</definedName>
    <definedName name="Z_1D18DB4E_65F5_11D3_9DAB_00A0C9DF29FD_.wvu.PrintArea" hidden="1">#REF!</definedName>
    <definedName name="Z_1D18DB4F_65F5_11D3_9DAB_00A0C9DF29FD_.wvu.PrintArea" hidden="1">#REF!</definedName>
    <definedName name="Z_1D18DB50_65F5_11D3_9DAB_00A0C9DF29FD_.wvu.PrintArea" hidden="1">#REF!</definedName>
    <definedName name="Z_1D18DB51_65F5_11D3_9DAB_00A0C9DF29FD_.wvu.PrintArea" hidden="1">#REF!</definedName>
    <definedName name="Z_1D18DB53_65F5_11D3_9DAB_00A0C9DF29FD_.wvu.PrintArea" hidden="1">#REF!</definedName>
    <definedName name="Z_1D18DB54_65F5_11D3_9DAB_00A0C9DF29FD_.wvu.PrintArea" hidden="1">#REF!</definedName>
    <definedName name="Z_1D18DB56_65F5_11D3_9DAB_00A0C9DF29FD_.wvu.PrintArea" hidden="1">#REF!</definedName>
    <definedName name="Z_1D18DB57_65F5_11D3_9DAB_00A0C9DF29FD_.wvu.PrintArea" hidden="1">#REF!</definedName>
    <definedName name="Z_1D18DB59_65F5_11D3_9DAB_00A0C9DF29FD_.wvu.PrintArea" hidden="1">#REF!</definedName>
    <definedName name="Z_1D18DB5A_65F5_11D3_9DAB_00A0C9DF29FD_.wvu.PrintArea" hidden="1">#REF!</definedName>
    <definedName name="Z_1D18DB5B_65F5_11D3_9DAB_00A0C9DF29FD_.wvu.PrintArea" hidden="1">#REF!</definedName>
    <definedName name="Z_1D18DB5C_65F5_11D3_9DAB_00A0C9DF29FD_.wvu.PrintArea" hidden="1">#REF!</definedName>
    <definedName name="Z_1D18DB5E_65F5_11D3_9DAB_00A0C9DF29FD_.wvu.PrintArea" hidden="1">#REF!</definedName>
    <definedName name="Z_1D18DB5F_65F5_11D3_9DAB_00A0C9DF29FD_.wvu.PrintArea" hidden="1">#REF!</definedName>
    <definedName name="Z_1D18DB60_65F5_11D3_9DAB_00A0C9DF29FD_.wvu.PrintArea" hidden="1">#REF!</definedName>
    <definedName name="Z_1D18DB61_65F5_11D3_9DAB_00A0C9DF29FD_.wvu.PrintArea" hidden="1">#REF!</definedName>
    <definedName name="Z_1D18DB63_65F5_11D3_9DAB_00A0C9DF29FD_.wvu.PrintArea" hidden="1">#REF!</definedName>
    <definedName name="Z_1D18DB64_65F5_11D3_9DAB_00A0C9DF29FD_.wvu.PrintArea" hidden="1">#REF!</definedName>
    <definedName name="Z_1EE9C873_3396_11D3_97FD_00A0C9DF29C4_.wvu.PrintArea" hidden="1">#REF!</definedName>
    <definedName name="Z_1EE9C874_3396_11D3_97FD_00A0C9DF29C4_.wvu.PrintArea" hidden="1">#REF!</definedName>
    <definedName name="Z_1EE9C876_3396_11D3_97FD_00A0C9DF29C4_.wvu.PrintArea" hidden="1">#REF!</definedName>
    <definedName name="Z_1EE9C877_3396_11D3_97FD_00A0C9DF29C4_.wvu.PrintArea" hidden="1">#REF!</definedName>
    <definedName name="Z_1EE9C878_3396_11D3_97FD_00A0C9DF29C4_.wvu.PrintArea" hidden="1">#REF!</definedName>
    <definedName name="Z_1EE9C879_3396_11D3_97FD_00A0C9DF29C4_.wvu.PrintArea" hidden="1">#REF!</definedName>
    <definedName name="Z_1EE9C87B_3396_11D3_97FD_00A0C9DF29C4_.wvu.PrintArea" hidden="1">#REF!</definedName>
    <definedName name="Z_1EE9C87C_3396_11D3_97FD_00A0C9DF29C4_.wvu.PrintArea" hidden="1">#REF!</definedName>
    <definedName name="Z_1EE9C87D_3396_11D3_97FD_00A0C9DF29C4_.wvu.PrintArea" hidden="1">#REF!</definedName>
    <definedName name="Z_1EE9C87E_3396_11D3_97FD_00A0C9DF29C4_.wvu.PrintArea" hidden="1">#REF!</definedName>
    <definedName name="Z_1EE9C880_3396_11D3_97FD_00A0C9DF29C4_.wvu.PrintArea" hidden="1">#REF!</definedName>
    <definedName name="Z_1EE9C881_3396_11D3_97FD_00A0C9DF29C4_.wvu.PrintArea" hidden="1">#REF!</definedName>
    <definedName name="Z_1EE9C883_3396_11D3_97FD_00A0C9DF29C4_.wvu.PrintArea" hidden="1">#REF!</definedName>
    <definedName name="Z_1EE9C884_3396_11D3_97FD_00A0C9DF29C4_.wvu.PrintArea" hidden="1">#REF!</definedName>
    <definedName name="Z_1EE9C886_3396_11D3_97FD_00A0C9DF29C4_.wvu.PrintArea" hidden="1">#REF!</definedName>
    <definedName name="Z_1EE9C887_3396_11D3_97FD_00A0C9DF29C4_.wvu.PrintArea" hidden="1">#REF!</definedName>
    <definedName name="Z_1EE9C888_3396_11D3_97FD_00A0C9DF29C4_.wvu.PrintArea" hidden="1">#REF!</definedName>
    <definedName name="Z_1EE9C889_3396_11D3_97FD_00A0C9DF29C4_.wvu.PrintArea" hidden="1">#REF!</definedName>
    <definedName name="Z_1EE9C88B_3396_11D3_97FD_00A0C9DF29C4_.wvu.PrintArea" hidden="1">#REF!</definedName>
    <definedName name="Z_1EE9C88C_3396_11D3_97FD_00A0C9DF29C4_.wvu.PrintArea" hidden="1">#REF!</definedName>
    <definedName name="Z_1EE9C88D_3396_11D3_97FD_00A0C9DF29C4_.wvu.PrintArea" hidden="1">#REF!</definedName>
    <definedName name="Z_1EE9C88E_3396_11D3_97FD_00A0C9DF29C4_.wvu.PrintArea" hidden="1">#REF!</definedName>
    <definedName name="Z_1EE9C890_3396_11D3_97FD_00A0C9DF29C4_.wvu.PrintArea" hidden="1">#REF!</definedName>
    <definedName name="Z_1EE9C891_3396_11D3_97FD_00A0C9DF29C4_.wvu.PrintArea" hidden="1">#REF!</definedName>
    <definedName name="Z_221BFF00_8F97_4909_A3F2_2B41E136B126_.wvu.PrintArea" localSheetId="3" hidden="1">'Class Allocation'!$A$1:$I$13</definedName>
    <definedName name="Z_221BFF00_8F97_4909_A3F2_2B41E136B126_.wvu.PrintTitles" localSheetId="3" hidden="1">'Class Allocation'!$B:$B</definedName>
    <definedName name="Z_23F18827_7997_11D6_8750_00508BD3B3BA_.wvu.Cols" localSheetId="14" hidden="1">#REF!,#REF!</definedName>
    <definedName name="Z_23F18827_7997_11D6_8750_00508BD3B3BA_.wvu.Cols" hidden="1">#REF!,#REF!</definedName>
    <definedName name="Z_23F18827_7997_11D6_8750_00508BD3B3BA_.wvu.PrintArea" localSheetId="14" hidden="1">#REF!</definedName>
    <definedName name="Z_23F18827_7997_11D6_8750_00508BD3B3BA_.wvu.PrintArea" hidden="1">#REF!</definedName>
    <definedName name="Z_254F9381_AE38_11D3_9DB4_00A0C9DF29FD_.wvu.PrintArea" hidden="1">#REF!</definedName>
    <definedName name="Z_254F9382_AE38_11D3_9DB4_00A0C9DF29FD_.wvu.PrintArea" hidden="1">#REF!</definedName>
    <definedName name="Z_254F9384_AE38_11D3_9DB4_00A0C9DF29FD_.wvu.PrintArea" hidden="1">#REF!</definedName>
    <definedName name="Z_254F9385_AE38_11D3_9DB4_00A0C9DF29FD_.wvu.PrintArea" hidden="1">#REF!</definedName>
    <definedName name="Z_254F9386_AE38_11D3_9DB4_00A0C9DF29FD_.wvu.PrintArea" hidden="1">#REF!</definedName>
    <definedName name="Z_254F9387_AE38_11D3_9DB4_00A0C9DF29FD_.wvu.PrintArea" hidden="1">#REF!</definedName>
    <definedName name="Z_254F9389_AE38_11D3_9DB4_00A0C9DF29FD_.wvu.PrintArea" hidden="1">#REF!</definedName>
    <definedName name="Z_254F938A_AE38_11D3_9DB4_00A0C9DF29FD_.wvu.PrintArea" hidden="1">#REF!</definedName>
    <definedName name="Z_254F938B_AE38_11D3_9DB4_00A0C9DF29FD_.wvu.PrintArea" hidden="1">#REF!</definedName>
    <definedName name="Z_254F938C_AE38_11D3_9DB4_00A0C9DF29FD_.wvu.PrintArea" hidden="1">#REF!</definedName>
    <definedName name="Z_254F938E_AE38_11D3_9DB4_00A0C9DF29FD_.wvu.PrintArea" hidden="1">#REF!</definedName>
    <definedName name="Z_254F938F_AE38_11D3_9DB4_00A0C9DF29FD_.wvu.PrintArea" hidden="1">#REF!</definedName>
    <definedName name="Z_254F9391_AE38_11D3_9DB4_00A0C9DF29FD_.wvu.PrintArea" hidden="1">#REF!</definedName>
    <definedName name="Z_254F9392_AE38_11D3_9DB4_00A0C9DF29FD_.wvu.PrintArea" hidden="1">#REF!</definedName>
    <definedName name="Z_254F9394_AE38_11D3_9DB4_00A0C9DF29FD_.wvu.PrintArea" hidden="1">#REF!</definedName>
    <definedName name="Z_254F9395_AE38_11D3_9DB4_00A0C9DF29FD_.wvu.PrintArea" hidden="1">#REF!</definedName>
    <definedName name="Z_254F9396_AE38_11D3_9DB4_00A0C9DF29FD_.wvu.PrintArea" hidden="1">#REF!</definedName>
    <definedName name="Z_254F9397_AE38_11D3_9DB4_00A0C9DF29FD_.wvu.PrintArea" hidden="1">#REF!</definedName>
    <definedName name="Z_254F9399_AE38_11D3_9DB4_00A0C9DF29FD_.wvu.PrintArea" hidden="1">#REF!</definedName>
    <definedName name="Z_254F939A_AE38_11D3_9DB4_00A0C9DF29FD_.wvu.PrintArea" hidden="1">#REF!</definedName>
    <definedName name="Z_254F939B_AE38_11D3_9DB4_00A0C9DF29FD_.wvu.PrintArea" hidden="1">#REF!</definedName>
    <definedName name="Z_254F939C_AE38_11D3_9DB4_00A0C9DF29FD_.wvu.PrintArea" hidden="1">#REF!</definedName>
    <definedName name="Z_254F939E_AE38_11D3_9DB4_00A0C9DF29FD_.wvu.PrintArea" hidden="1">#REF!</definedName>
    <definedName name="Z_254F939F_AE38_11D3_9DB4_00A0C9DF29FD_.wvu.PrintArea" hidden="1">#REF!</definedName>
    <definedName name="Z_273BF518_8099_11D3_9808_00A0C9DF29C4_.wvu.PrintArea" hidden="1">#REF!</definedName>
    <definedName name="Z_273BF519_8099_11D3_9808_00A0C9DF29C4_.wvu.PrintArea" hidden="1">#REF!</definedName>
    <definedName name="Z_273BF51B_8099_11D3_9808_00A0C9DF29C4_.wvu.PrintArea" hidden="1">#REF!</definedName>
    <definedName name="Z_273BF51C_8099_11D3_9808_00A0C9DF29C4_.wvu.PrintArea" hidden="1">#REF!</definedName>
    <definedName name="Z_273BF51D_8099_11D3_9808_00A0C9DF29C4_.wvu.PrintArea" hidden="1">#REF!</definedName>
    <definedName name="Z_273BF51E_8099_11D3_9808_00A0C9DF29C4_.wvu.PrintArea" hidden="1">#REF!</definedName>
    <definedName name="Z_273BF520_8099_11D3_9808_00A0C9DF29C4_.wvu.PrintArea" hidden="1">#REF!</definedName>
    <definedName name="Z_273BF521_8099_11D3_9808_00A0C9DF29C4_.wvu.PrintArea" hidden="1">#REF!</definedName>
    <definedName name="Z_273BF522_8099_11D3_9808_00A0C9DF29C4_.wvu.PrintArea" hidden="1">#REF!</definedName>
    <definedName name="Z_273BF523_8099_11D3_9808_00A0C9DF29C4_.wvu.PrintArea" hidden="1">#REF!</definedName>
    <definedName name="Z_273BF525_8099_11D3_9808_00A0C9DF29C4_.wvu.PrintArea" hidden="1">#REF!</definedName>
    <definedName name="Z_273BF526_8099_11D3_9808_00A0C9DF29C4_.wvu.PrintArea" hidden="1">#REF!</definedName>
    <definedName name="Z_273BF528_8099_11D3_9808_00A0C9DF29C4_.wvu.PrintArea" hidden="1">#REF!</definedName>
    <definedName name="Z_273BF529_8099_11D3_9808_00A0C9DF29C4_.wvu.PrintArea" hidden="1">#REF!</definedName>
    <definedName name="Z_273BF52B_8099_11D3_9808_00A0C9DF29C4_.wvu.PrintArea" hidden="1">#REF!</definedName>
    <definedName name="Z_273BF52C_8099_11D3_9808_00A0C9DF29C4_.wvu.PrintArea" hidden="1">#REF!</definedName>
    <definedName name="Z_273BF52D_8099_11D3_9808_00A0C9DF29C4_.wvu.PrintArea" hidden="1">#REF!</definedName>
    <definedName name="Z_273BF52E_8099_11D3_9808_00A0C9DF29C4_.wvu.PrintArea" hidden="1">#REF!</definedName>
    <definedName name="Z_273BF530_8099_11D3_9808_00A0C9DF29C4_.wvu.PrintArea" hidden="1">#REF!</definedName>
    <definedName name="Z_273BF531_8099_11D3_9808_00A0C9DF29C4_.wvu.PrintArea" hidden="1">#REF!</definedName>
    <definedName name="Z_273BF532_8099_11D3_9808_00A0C9DF29C4_.wvu.PrintArea" hidden="1">#REF!</definedName>
    <definedName name="Z_273BF533_8099_11D3_9808_00A0C9DF29C4_.wvu.PrintArea" hidden="1">#REF!</definedName>
    <definedName name="Z_273BF535_8099_11D3_9808_00A0C9DF29C4_.wvu.PrintArea" hidden="1">#REF!</definedName>
    <definedName name="Z_273BF536_8099_11D3_9808_00A0C9DF29C4_.wvu.PrintArea" hidden="1">#REF!</definedName>
    <definedName name="Z_2A4AFF2A_09F9_11D3_88AD_0080C84A5D47_.wvu.PrintArea" hidden="1">#REF!</definedName>
    <definedName name="Z_2A4AFF2B_09F9_11D3_88AD_0080C84A5D47_.wvu.PrintArea" hidden="1">#REF!</definedName>
    <definedName name="Z_2A4AFF2D_09F9_11D3_88AD_0080C84A5D47_.wvu.PrintArea" hidden="1">#REF!</definedName>
    <definedName name="Z_2A4AFF2E_09F9_11D3_88AD_0080C84A5D47_.wvu.PrintArea" hidden="1">#REF!</definedName>
    <definedName name="Z_2A4AFF2F_09F9_11D3_88AD_0080C84A5D47_.wvu.PrintArea" hidden="1">#REF!</definedName>
    <definedName name="Z_2A4AFF30_09F9_11D3_88AD_0080C84A5D47_.wvu.PrintArea" hidden="1">#REF!</definedName>
    <definedName name="Z_2A4AFF32_09F9_11D3_88AD_0080C84A5D47_.wvu.PrintArea" hidden="1">#REF!</definedName>
    <definedName name="Z_2A4AFF33_09F9_11D3_88AD_0080C84A5D47_.wvu.PrintArea" hidden="1">#REF!</definedName>
    <definedName name="Z_2A4AFF34_09F9_11D3_88AD_0080C84A5D47_.wvu.PrintArea" hidden="1">#REF!</definedName>
    <definedName name="Z_2A4AFF35_09F9_11D3_88AD_0080C84A5D47_.wvu.PrintArea" hidden="1">#REF!</definedName>
    <definedName name="Z_2A4AFF37_09F9_11D3_88AD_0080C84A5D47_.wvu.PrintArea" hidden="1">#REF!</definedName>
    <definedName name="Z_2A4AFF38_09F9_11D3_88AD_0080C84A5D47_.wvu.PrintArea" hidden="1">#REF!</definedName>
    <definedName name="Z_2A4AFF3A_09F9_11D3_88AD_0080C84A5D47_.wvu.PrintArea" hidden="1">#REF!</definedName>
    <definedName name="Z_2A4AFF3B_09F9_11D3_88AD_0080C84A5D47_.wvu.PrintArea" hidden="1">#REF!</definedName>
    <definedName name="Z_2A4AFF3D_09F9_11D3_88AD_0080C84A5D47_.wvu.PrintArea" hidden="1">#REF!</definedName>
    <definedName name="Z_2A4AFF3E_09F9_11D3_88AD_0080C84A5D47_.wvu.PrintArea" hidden="1">#REF!</definedName>
    <definedName name="Z_2A4AFF3F_09F9_11D3_88AD_0080C84A5D47_.wvu.PrintArea" hidden="1">#REF!</definedName>
    <definedName name="Z_2A4AFF40_09F9_11D3_88AD_0080C84A5D47_.wvu.PrintArea" hidden="1">#REF!</definedName>
    <definedName name="Z_2A4AFF42_09F9_11D3_88AD_0080C84A5D47_.wvu.PrintArea" hidden="1">#REF!</definedName>
    <definedName name="Z_2A4AFF43_09F9_11D3_88AD_0080C84A5D47_.wvu.PrintArea" hidden="1">#REF!</definedName>
    <definedName name="Z_2A4AFF44_09F9_11D3_88AD_0080C84A5D47_.wvu.PrintArea" hidden="1">#REF!</definedName>
    <definedName name="Z_2A4AFF45_09F9_11D3_88AD_0080C84A5D47_.wvu.PrintArea" hidden="1">#REF!</definedName>
    <definedName name="Z_2A4AFF47_09F9_11D3_88AD_0080C84A5D47_.wvu.PrintArea" hidden="1">#REF!</definedName>
    <definedName name="Z_2A4AFF48_09F9_11D3_88AD_0080C84A5D47_.wvu.PrintArea" hidden="1">#REF!</definedName>
    <definedName name="Z_2B885854_9DB4_11D3_8584_00A0C9DF1035_.wvu.PrintArea" hidden="1">#REF!</definedName>
    <definedName name="Z_2B885855_9DB4_11D3_8584_00A0C9DF1035_.wvu.PrintArea" hidden="1">#REF!</definedName>
    <definedName name="Z_2B885857_9DB4_11D3_8584_00A0C9DF1035_.wvu.PrintArea" hidden="1">#REF!</definedName>
    <definedName name="Z_2B885858_9DB4_11D3_8584_00A0C9DF1035_.wvu.PrintArea" hidden="1">#REF!</definedName>
    <definedName name="Z_2B885859_9DB4_11D3_8584_00A0C9DF1035_.wvu.PrintArea" hidden="1">#REF!</definedName>
    <definedName name="Z_2B88585A_9DB4_11D3_8584_00A0C9DF1035_.wvu.PrintArea" hidden="1">#REF!</definedName>
    <definedName name="Z_2B88585C_9DB4_11D3_8584_00A0C9DF1035_.wvu.PrintArea" hidden="1">#REF!</definedName>
    <definedName name="Z_2B88585D_9DB4_11D3_8584_00A0C9DF1035_.wvu.PrintArea" hidden="1">#REF!</definedName>
    <definedName name="Z_2B88585E_9DB4_11D3_8584_00A0C9DF1035_.wvu.PrintArea" hidden="1">#REF!</definedName>
    <definedName name="Z_2B88585F_9DB4_11D3_8584_00A0C9DF1035_.wvu.PrintArea" hidden="1">#REF!</definedName>
    <definedName name="Z_2B885861_9DB4_11D3_8584_00A0C9DF1035_.wvu.PrintArea" hidden="1">#REF!</definedName>
    <definedName name="Z_2B885862_9DB4_11D3_8584_00A0C9DF1035_.wvu.PrintArea" hidden="1">#REF!</definedName>
    <definedName name="Z_2B885864_9DB4_11D3_8584_00A0C9DF1035_.wvu.PrintArea" hidden="1">#REF!</definedName>
    <definedName name="Z_2B885865_9DB4_11D3_8584_00A0C9DF1035_.wvu.PrintArea" hidden="1">#REF!</definedName>
    <definedName name="Z_2B885867_9DB4_11D3_8584_00A0C9DF1035_.wvu.PrintArea" hidden="1">#REF!</definedName>
    <definedName name="Z_2B885868_9DB4_11D3_8584_00A0C9DF1035_.wvu.PrintArea" hidden="1">#REF!</definedName>
    <definedName name="Z_2B885869_9DB4_11D3_8584_00A0C9DF1035_.wvu.PrintArea" hidden="1">#REF!</definedName>
    <definedName name="Z_2B88586A_9DB4_11D3_8584_00A0C9DF1035_.wvu.PrintArea" hidden="1">#REF!</definedName>
    <definedName name="Z_2B88586C_9DB4_11D3_8584_00A0C9DF1035_.wvu.PrintArea" hidden="1">#REF!</definedName>
    <definedName name="Z_2B88586D_9DB4_11D3_8584_00A0C9DF1035_.wvu.PrintArea" hidden="1">#REF!</definedName>
    <definedName name="Z_2B88586E_9DB4_11D3_8584_00A0C9DF1035_.wvu.PrintArea" hidden="1">#REF!</definedName>
    <definedName name="Z_2B88586F_9DB4_11D3_8584_00A0C9DF1035_.wvu.PrintArea" hidden="1">#REF!</definedName>
    <definedName name="Z_2B885871_9DB4_11D3_8584_00A0C9DF1035_.wvu.PrintArea" hidden="1">#REF!</definedName>
    <definedName name="Z_2B885872_9DB4_11D3_8584_00A0C9DF1035_.wvu.PrintArea" hidden="1">#REF!</definedName>
    <definedName name="Z_2C11EDF9_5561_11D3_9DA5_00A0C9DF29FD_.wvu.PrintArea" hidden="1">#REF!</definedName>
    <definedName name="Z_2C11EDFA_5561_11D3_9DA5_00A0C9DF29FD_.wvu.PrintArea" hidden="1">#REF!</definedName>
    <definedName name="Z_2C11EDFC_5561_11D3_9DA5_00A0C9DF29FD_.wvu.PrintArea" hidden="1">#REF!</definedName>
    <definedName name="Z_2C11EDFD_5561_11D3_9DA5_00A0C9DF29FD_.wvu.PrintArea" hidden="1">#REF!</definedName>
    <definedName name="Z_2C11EDFE_5561_11D3_9DA5_00A0C9DF29FD_.wvu.PrintArea" hidden="1">#REF!</definedName>
    <definedName name="Z_2C11EDFF_5561_11D3_9DA5_00A0C9DF29FD_.wvu.PrintArea" hidden="1">#REF!</definedName>
    <definedName name="Z_2C11EE01_5561_11D3_9DA5_00A0C9DF29FD_.wvu.PrintArea" hidden="1">#REF!</definedName>
    <definedName name="Z_2C11EE02_5561_11D3_9DA5_00A0C9DF29FD_.wvu.PrintArea" hidden="1">#REF!</definedName>
    <definedName name="Z_2C11EE03_5561_11D3_9DA5_00A0C9DF29FD_.wvu.PrintArea" hidden="1">#REF!</definedName>
    <definedName name="Z_2C11EE04_5561_11D3_9DA5_00A0C9DF29FD_.wvu.PrintArea" hidden="1">#REF!</definedName>
    <definedName name="Z_2C11EE06_5561_11D3_9DA5_00A0C9DF29FD_.wvu.PrintArea" hidden="1">#REF!</definedName>
    <definedName name="Z_2C11EE07_5561_11D3_9DA5_00A0C9DF29FD_.wvu.PrintArea" hidden="1">#REF!</definedName>
    <definedName name="Z_2C11EE09_5561_11D3_9DA5_00A0C9DF29FD_.wvu.PrintArea" hidden="1">#REF!</definedName>
    <definedName name="Z_2C11EE0A_5561_11D3_9DA5_00A0C9DF29FD_.wvu.PrintArea" hidden="1">#REF!</definedName>
    <definedName name="Z_2C11EE0C_5561_11D3_9DA5_00A0C9DF29FD_.wvu.PrintArea" hidden="1">#REF!</definedName>
    <definedName name="Z_2C11EE0D_5561_11D3_9DA5_00A0C9DF29FD_.wvu.PrintArea" hidden="1">#REF!</definedName>
    <definedName name="Z_2C11EE0E_5561_11D3_9DA5_00A0C9DF29FD_.wvu.PrintArea" hidden="1">#REF!</definedName>
    <definedName name="Z_2C11EE0F_5561_11D3_9DA5_00A0C9DF29FD_.wvu.PrintArea" hidden="1">#REF!</definedName>
    <definedName name="Z_2C11EE11_5561_11D3_9DA5_00A0C9DF29FD_.wvu.PrintArea" hidden="1">#REF!</definedName>
    <definedName name="Z_2C11EE12_5561_11D3_9DA5_00A0C9DF29FD_.wvu.PrintArea" hidden="1">#REF!</definedName>
    <definedName name="Z_2C11EE13_5561_11D3_9DA5_00A0C9DF29FD_.wvu.PrintArea" hidden="1">#REF!</definedName>
    <definedName name="Z_2C11EE14_5561_11D3_9DA5_00A0C9DF29FD_.wvu.PrintArea" hidden="1">#REF!</definedName>
    <definedName name="Z_2C11EE16_5561_11D3_9DA5_00A0C9DF29FD_.wvu.PrintArea" hidden="1">#REF!</definedName>
    <definedName name="Z_2C11EE17_5561_11D3_9DA5_00A0C9DF29FD_.wvu.PrintArea" hidden="1">#REF!</definedName>
    <definedName name="Z_321AEF13_A729_11D3_980D_00A0C9DF29C4_.wvu.PrintArea" hidden="1">#REF!</definedName>
    <definedName name="Z_321AEF14_A729_11D3_980D_00A0C9DF29C4_.wvu.PrintArea" hidden="1">#REF!</definedName>
    <definedName name="Z_321AEF16_A729_11D3_980D_00A0C9DF29C4_.wvu.PrintArea" hidden="1">#REF!</definedName>
    <definedName name="Z_321AEF17_A729_11D3_980D_00A0C9DF29C4_.wvu.PrintArea" hidden="1">#REF!</definedName>
    <definedName name="Z_321AEF18_A729_11D3_980D_00A0C9DF29C4_.wvu.PrintArea" hidden="1">#REF!</definedName>
    <definedName name="Z_321AEF19_A729_11D3_980D_00A0C9DF29C4_.wvu.PrintArea" hidden="1">#REF!</definedName>
    <definedName name="Z_321AEF1B_A729_11D3_980D_00A0C9DF29C4_.wvu.PrintArea" hidden="1">#REF!</definedName>
    <definedName name="Z_321AEF1C_A729_11D3_980D_00A0C9DF29C4_.wvu.PrintArea" hidden="1">#REF!</definedName>
    <definedName name="Z_321AEF1D_A729_11D3_980D_00A0C9DF29C4_.wvu.PrintArea" hidden="1">#REF!</definedName>
    <definedName name="Z_321AEF1E_A729_11D3_980D_00A0C9DF29C4_.wvu.PrintArea" hidden="1">#REF!</definedName>
    <definedName name="Z_321AEF20_A729_11D3_980D_00A0C9DF29C4_.wvu.PrintArea" hidden="1">#REF!</definedName>
    <definedName name="Z_321AEF21_A729_11D3_980D_00A0C9DF29C4_.wvu.PrintArea" hidden="1">#REF!</definedName>
    <definedName name="Z_321AEF23_A729_11D3_980D_00A0C9DF29C4_.wvu.PrintArea" hidden="1">#REF!</definedName>
    <definedName name="Z_321AEF24_A729_11D3_980D_00A0C9DF29C4_.wvu.PrintArea" hidden="1">#REF!</definedName>
    <definedName name="Z_321AEF26_A729_11D3_980D_00A0C9DF29C4_.wvu.PrintArea" hidden="1">#REF!</definedName>
    <definedName name="Z_321AEF27_A729_11D3_980D_00A0C9DF29C4_.wvu.PrintArea" hidden="1">#REF!</definedName>
    <definedName name="Z_321AEF28_A729_11D3_980D_00A0C9DF29C4_.wvu.PrintArea" hidden="1">#REF!</definedName>
    <definedName name="Z_321AEF29_A729_11D3_980D_00A0C9DF29C4_.wvu.PrintArea" hidden="1">#REF!</definedName>
    <definedName name="Z_321AEF2B_A729_11D3_980D_00A0C9DF29C4_.wvu.PrintArea" hidden="1">#REF!</definedName>
    <definedName name="Z_321AEF2C_A729_11D3_980D_00A0C9DF29C4_.wvu.PrintArea" hidden="1">#REF!</definedName>
    <definedName name="Z_321AEF2D_A729_11D3_980D_00A0C9DF29C4_.wvu.PrintArea" hidden="1">#REF!</definedName>
    <definedName name="Z_321AEF2E_A729_11D3_980D_00A0C9DF29C4_.wvu.PrintArea" hidden="1">#REF!</definedName>
    <definedName name="Z_321AEF30_A729_11D3_980D_00A0C9DF29C4_.wvu.PrintArea" hidden="1">#REF!</definedName>
    <definedName name="Z_321AEF31_A729_11D3_980D_00A0C9DF29C4_.wvu.PrintArea" hidden="1">#REF!</definedName>
    <definedName name="Z_321AEFBD_A729_11D3_980D_00A0C9DF29C4_.wvu.PrintArea" hidden="1">#REF!</definedName>
    <definedName name="Z_321AEFBE_A729_11D3_980D_00A0C9DF29C4_.wvu.PrintArea" hidden="1">#REF!</definedName>
    <definedName name="Z_321AEFC0_A729_11D3_980D_00A0C9DF29C4_.wvu.PrintArea" hidden="1">#REF!</definedName>
    <definedName name="Z_321AEFC1_A729_11D3_980D_00A0C9DF29C4_.wvu.PrintArea" hidden="1">#REF!</definedName>
    <definedName name="Z_321AEFC2_A729_11D3_980D_00A0C9DF29C4_.wvu.PrintArea" hidden="1">#REF!</definedName>
    <definedName name="Z_321AEFC3_A729_11D3_980D_00A0C9DF29C4_.wvu.PrintArea" hidden="1">#REF!</definedName>
    <definedName name="Z_321AEFC5_A729_11D3_980D_00A0C9DF29C4_.wvu.PrintArea" hidden="1">#REF!</definedName>
    <definedName name="Z_321AEFC6_A729_11D3_980D_00A0C9DF29C4_.wvu.PrintArea" hidden="1">#REF!</definedName>
    <definedName name="Z_321AEFC7_A729_11D3_980D_00A0C9DF29C4_.wvu.PrintArea" hidden="1">#REF!</definedName>
    <definedName name="Z_321AEFC8_A729_11D3_980D_00A0C9DF29C4_.wvu.PrintArea" hidden="1">#REF!</definedName>
    <definedName name="Z_321AEFCA_A729_11D3_980D_00A0C9DF29C4_.wvu.PrintArea" hidden="1">#REF!</definedName>
    <definedName name="Z_321AEFCB_A729_11D3_980D_00A0C9DF29C4_.wvu.PrintArea" hidden="1">#REF!</definedName>
    <definedName name="Z_321AEFCD_A729_11D3_980D_00A0C9DF29C4_.wvu.PrintArea" hidden="1">#REF!</definedName>
    <definedName name="Z_321AEFCE_A729_11D3_980D_00A0C9DF29C4_.wvu.PrintArea" hidden="1">#REF!</definedName>
    <definedName name="Z_321AEFD0_A729_11D3_980D_00A0C9DF29C4_.wvu.PrintArea" hidden="1">#REF!</definedName>
    <definedName name="Z_321AEFD1_A729_11D3_980D_00A0C9DF29C4_.wvu.PrintArea" hidden="1">#REF!</definedName>
    <definedName name="Z_321AEFD2_A729_11D3_980D_00A0C9DF29C4_.wvu.PrintArea" hidden="1">#REF!</definedName>
    <definedName name="Z_321AEFD3_A729_11D3_980D_00A0C9DF29C4_.wvu.PrintArea" hidden="1">#REF!</definedName>
    <definedName name="Z_321AEFD5_A729_11D3_980D_00A0C9DF29C4_.wvu.PrintArea" hidden="1">#REF!</definedName>
    <definedName name="Z_321AEFD6_A729_11D3_980D_00A0C9DF29C4_.wvu.PrintArea" hidden="1">#REF!</definedName>
    <definedName name="Z_321AEFD7_A729_11D3_980D_00A0C9DF29C4_.wvu.PrintArea" hidden="1">#REF!</definedName>
    <definedName name="Z_321AEFD8_A729_11D3_980D_00A0C9DF29C4_.wvu.PrintArea" hidden="1">#REF!</definedName>
    <definedName name="Z_321AEFDA_A729_11D3_980D_00A0C9DF29C4_.wvu.PrintArea" hidden="1">#REF!</definedName>
    <definedName name="Z_321AEFDB_A729_11D3_980D_00A0C9DF29C4_.wvu.PrintArea" hidden="1">#REF!</definedName>
    <definedName name="Z_39BD05C5_DE27_11D3_9813_00A0C9DF29C4_.wvu.PrintArea" hidden="1">#REF!</definedName>
    <definedName name="Z_39BD05C6_DE27_11D3_9813_00A0C9DF29C4_.wvu.PrintArea" hidden="1">#REF!</definedName>
    <definedName name="Z_39BD05C8_DE27_11D3_9813_00A0C9DF29C4_.wvu.PrintArea" hidden="1">#REF!</definedName>
    <definedName name="Z_39BD05C9_DE27_11D3_9813_00A0C9DF29C4_.wvu.PrintArea" hidden="1">#REF!</definedName>
    <definedName name="Z_39BD05CA_DE27_11D3_9813_00A0C9DF29C4_.wvu.PrintArea" hidden="1">#REF!</definedName>
    <definedName name="Z_39BD05CB_DE27_11D3_9813_00A0C9DF29C4_.wvu.PrintArea" hidden="1">#REF!</definedName>
    <definedName name="Z_39BD05CD_DE27_11D3_9813_00A0C9DF29C4_.wvu.PrintArea" hidden="1">#REF!</definedName>
    <definedName name="Z_39BD05CE_DE27_11D3_9813_00A0C9DF29C4_.wvu.PrintArea" hidden="1">#REF!</definedName>
    <definedName name="Z_39BD05CF_DE27_11D3_9813_00A0C9DF29C4_.wvu.PrintArea" hidden="1">#REF!</definedName>
    <definedName name="Z_39BD05D0_DE27_11D3_9813_00A0C9DF29C4_.wvu.PrintArea" hidden="1">#REF!</definedName>
    <definedName name="Z_39BD05D2_DE27_11D3_9813_00A0C9DF29C4_.wvu.PrintArea" hidden="1">#REF!</definedName>
    <definedName name="Z_39BD05D3_DE27_11D3_9813_00A0C9DF29C4_.wvu.PrintArea" hidden="1">#REF!</definedName>
    <definedName name="Z_39BD05D5_DE27_11D3_9813_00A0C9DF29C4_.wvu.PrintArea" hidden="1">#REF!</definedName>
    <definedName name="Z_39BD05D6_DE27_11D3_9813_00A0C9DF29C4_.wvu.PrintArea" hidden="1">#REF!</definedName>
    <definedName name="Z_39BD05D8_DE27_11D3_9813_00A0C9DF29C4_.wvu.PrintArea" hidden="1">#REF!</definedName>
    <definedName name="Z_39BD05D9_DE27_11D3_9813_00A0C9DF29C4_.wvu.PrintArea" hidden="1">#REF!</definedName>
    <definedName name="Z_39BD05DA_DE27_11D3_9813_00A0C9DF29C4_.wvu.PrintArea" hidden="1">#REF!</definedName>
    <definedName name="Z_39BD05DB_DE27_11D3_9813_00A0C9DF29C4_.wvu.PrintArea" hidden="1">#REF!</definedName>
    <definedName name="Z_39BD05DD_DE27_11D3_9813_00A0C9DF29C4_.wvu.PrintArea" hidden="1">#REF!</definedName>
    <definedName name="Z_39BD05DE_DE27_11D3_9813_00A0C9DF29C4_.wvu.PrintArea" hidden="1">#REF!</definedName>
    <definedName name="Z_39BD05DF_DE27_11D3_9813_00A0C9DF29C4_.wvu.PrintArea" hidden="1">#REF!</definedName>
    <definedName name="Z_39BD05E0_DE27_11D3_9813_00A0C9DF29C4_.wvu.PrintArea" hidden="1">#REF!</definedName>
    <definedName name="Z_39BD05E2_DE27_11D3_9813_00A0C9DF29C4_.wvu.PrintArea" hidden="1">#REF!</definedName>
    <definedName name="Z_39BD05E3_DE27_11D3_9813_00A0C9DF29C4_.wvu.PrintArea" hidden="1">#REF!</definedName>
    <definedName name="Z_4369C1C2_0865_11D3_88AD_0080C84A5D47_.wvu.PrintArea" hidden="1">#REF!</definedName>
    <definedName name="Z_4369C1C3_0865_11D3_88AD_0080C84A5D47_.wvu.PrintArea" hidden="1">#REF!</definedName>
    <definedName name="Z_4369C1C5_0865_11D3_88AD_0080C84A5D47_.wvu.PrintArea" hidden="1">#REF!</definedName>
    <definedName name="Z_4369C1C6_0865_11D3_88AD_0080C84A5D47_.wvu.PrintArea" hidden="1">#REF!</definedName>
    <definedName name="Z_4369C1C7_0865_11D3_88AD_0080C84A5D47_.wvu.PrintArea" hidden="1">#REF!</definedName>
    <definedName name="Z_4369C1C8_0865_11D3_88AD_0080C84A5D47_.wvu.PrintArea" hidden="1">#REF!</definedName>
    <definedName name="Z_4369C1CA_0865_11D3_88AD_0080C84A5D47_.wvu.PrintArea" hidden="1">#REF!</definedName>
    <definedName name="Z_4369C1CB_0865_11D3_88AD_0080C84A5D47_.wvu.PrintArea" hidden="1">#REF!</definedName>
    <definedName name="Z_4369C1CC_0865_11D3_88AD_0080C84A5D47_.wvu.PrintArea" hidden="1">#REF!</definedName>
    <definedName name="Z_4369C1CD_0865_11D3_88AD_0080C84A5D47_.wvu.PrintArea" hidden="1">#REF!</definedName>
    <definedName name="Z_4369C1CF_0865_11D3_88AD_0080C84A5D47_.wvu.PrintArea" hidden="1">#REF!</definedName>
    <definedName name="Z_4369C1D0_0865_11D3_88AD_0080C84A5D47_.wvu.PrintArea" hidden="1">#REF!</definedName>
    <definedName name="Z_4369C1D2_0865_11D3_88AD_0080C84A5D47_.wvu.PrintArea" hidden="1">#REF!</definedName>
    <definedName name="Z_4369C1D3_0865_11D3_88AD_0080C84A5D47_.wvu.PrintArea" hidden="1">#REF!</definedName>
    <definedName name="Z_4369C1D5_0865_11D3_88AD_0080C84A5D47_.wvu.PrintArea" hidden="1">#REF!</definedName>
    <definedName name="Z_4369C1D6_0865_11D3_88AD_0080C84A5D47_.wvu.PrintArea" hidden="1">#REF!</definedName>
    <definedName name="Z_4369C1D7_0865_11D3_88AD_0080C84A5D47_.wvu.PrintArea" hidden="1">#REF!</definedName>
    <definedName name="Z_4369C1D8_0865_11D3_88AD_0080C84A5D47_.wvu.PrintArea" hidden="1">#REF!</definedName>
    <definedName name="Z_4369C1DA_0865_11D3_88AD_0080C84A5D47_.wvu.PrintArea" hidden="1">#REF!</definedName>
    <definedName name="Z_4369C1DB_0865_11D3_88AD_0080C84A5D47_.wvu.PrintArea" hidden="1">#REF!</definedName>
    <definedName name="Z_4369C1DC_0865_11D3_88AD_0080C84A5D47_.wvu.PrintArea" hidden="1">#REF!</definedName>
    <definedName name="Z_4369C1DD_0865_11D3_88AD_0080C84A5D47_.wvu.PrintArea" hidden="1">#REF!</definedName>
    <definedName name="Z_4369C1DF_0865_11D3_88AD_0080C84A5D47_.wvu.PrintArea" hidden="1">#REF!</definedName>
    <definedName name="Z_4369C1E0_0865_11D3_88AD_0080C84A5D47_.wvu.PrintArea" hidden="1">#REF!</definedName>
    <definedName name="Z_4369C1FD_0865_11D3_88AD_0080C84A5D47_.wvu.PrintArea" hidden="1">#REF!</definedName>
    <definedName name="Z_4369C1FE_0865_11D3_88AD_0080C84A5D47_.wvu.PrintArea" hidden="1">#REF!</definedName>
    <definedName name="Z_4369C200_0865_11D3_88AD_0080C84A5D47_.wvu.PrintArea" hidden="1">#REF!</definedName>
    <definedName name="Z_4369C201_0865_11D3_88AD_0080C84A5D47_.wvu.PrintArea" hidden="1">#REF!</definedName>
    <definedName name="Z_4369C202_0865_11D3_88AD_0080C84A5D47_.wvu.PrintArea" hidden="1">#REF!</definedName>
    <definedName name="Z_4369C203_0865_11D3_88AD_0080C84A5D47_.wvu.PrintArea" hidden="1">#REF!</definedName>
    <definedName name="Z_4369C205_0865_11D3_88AD_0080C84A5D47_.wvu.PrintArea" hidden="1">#REF!</definedName>
    <definedName name="Z_4369C206_0865_11D3_88AD_0080C84A5D47_.wvu.PrintArea" hidden="1">#REF!</definedName>
    <definedName name="Z_4369C207_0865_11D3_88AD_0080C84A5D47_.wvu.PrintArea" hidden="1">#REF!</definedName>
    <definedName name="Z_4369C208_0865_11D3_88AD_0080C84A5D47_.wvu.PrintArea" hidden="1">#REF!</definedName>
    <definedName name="Z_4369C20A_0865_11D3_88AD_0080C84A5D47_.wvu.PrintArea" hidden="1">#REF!</definedName>
    <definedName name="Z_4369C20B_0865_11D3_88AD_0080C84A5D47_.wvu.PrintArea" hidden="1">#REF!</definedName>
    <definedName name="Z_4369C20D_0865_11D3_88AD_0080C84A5D47_.wvu.PrintArea" hidden="1">#REF!</definedName>
    <definedName name="Z_4369C20E_0865_11D3_88AD_0080C84A5D47_.wvu.PrintArea" hidden="1">#REF!</definedName>
    <definedName name="Z_4369C210_0865_11D3_88AD_0080C84A5D47_.wvu.PrintArea" hidden="1">#REF!</definedName>
    <definedName name="Z_4369C211_0865_11D3_88AD_0080C84A5D47_.wvu.PrintArea" hidden="1">#REF!</definedName>
    <definedName name="Z_4369C212_0865_11D3_88AD_0080C84A5D47_.wvu.PrintArea" hidden="1">#REF!</definedName>
    <definedName name="Z_4369C213_0865_11D3_88AD_0080C84A5D47_.wvu.PrintArea" hidden="1">#REF!</definedName>
    <definedName name="Z_4369C215_0865_11D3_88AD_0080C84A5D47_.wvu.PrintArea" hidden="1">#REF!</definedName>
    <definedName name="Z_4369C216_0865_11D3_88AD_0080C84A5D47_.wvu.PrintArea" hidden="1">#REF!</definedName>
    <definedName name="Z_4369C217_0865_11D3_88AD_0080C84A5D47_.wvu.PrintArea" hidden="1">#REF!</definedName>
    <definedName name="Z_4369C218_0865_11D3_88AD_0080C84A5D47_.wvu.PrintArea" hidden="1">#REF!</definedName>
    <definedName name="Z_4369C21A_0865_11D3_88AD_0080C84A5D47_.wvu.PrintArea" hidden="1">#REF!</definedName>
    <definedName name="Z_4369C21B_0865_11D3_88AD_0080C84A5D47_.wvu.PrintArea" hidden="1">#REF!</definedName>
    <definedName name="Z_473C207F_0F72_11D3_97F6_00A0C9DF29C4_.wvu.PrintArea" hidden="1">#REF!</definedName>
    <definedName name="Z_473C2080_0F72_11D3_97F6_00A0C9DF29C4_.wvu.PrintArea" hidden="1">#REF!</definedName>
    <definedName name="Z_473C2082_0F72_11D3_97F6_00A0C9DF29C4_.wvu.PrintArea" hidden="1">#REF!</definedName>
    <definedName name="Z_473C2083_0F72_11D3_97F6_00A0C9DF29C4_.wvu.PrintArea" hidden="1">#REF!</definedName>
    <definedName name="Z_473C2084_0F72_11D3_97F6_00A0C9DF29C4_.wvu.PrintArea" hidden="1">#REF!</definedName>
    <definedName name="Z_473C2085_0F72_11D3_97F6_00A0C9DF29C4_.wvu.PrintArea" hidden="1">#REF!</definedName>
    <definedName name="Z_473C2087_0F72_11D3_97F6_00A0C9DF29C4_.wvu.PrintArea" hidden="1">#REF!</definedName>
    <definedName name="Z_473C2088_0F72_11D3_97F6_00A0C9DF29C4_.wvu.PrintArea" hidden="1">#REF!</definedName>
    <definedName name="Z_473C2089_0F72_11D3_97F6_00A0C9DF29C4_.wvu.PrintArea" hidden="1">#REF!</definedName>
    <definedName name="Z_473C208A_0F72_11D3_97F6_00A0C9DF29C4_.wvu.PrintArea" hidden="1">#REF!</definedName>
    <definedName name="Z_473C208C_0F72_11D3_97F6_00A0C9DF29C4_.wvu.PrintArea" hidden="1">#REF!</definedName>
    <definedName name="Z_473C208D_0F72_11D3_97F6_00A0C9DF29C4_.wvu.PrintArea" hidden="1">#REF!</definedName>
    <definedName name="Z_473C208F_0F72_11D3_97F6_00A0C9DF29C4_.wvu.PrintArea" hidden="1">#REF!</definedName>
    <definedName name="Z_473C2090_0F72_11D3_97F6_00A0C9DF29C4_.wvu.PrintArea" hidden="1">#REF!</definedName>
    <definedName name="Z_473C2092_0F72_11D3_97F6_00A0C9DF29C4_.wvu.PrintArea" hidden="1">#REF!</definedName>
    <definedName name="Z_473C2093_0F72_11D3_97F6_00A0C9DF29C4_.wvu.PrintArea" hidden="1">#REF!</definedName>
    <definedName name="Z_473C2094_0F72_11D3_97F6_00A0C9DF29C4_.wvu.PrintArea" hidden="1">#REF!</definedName>
    <definedName name="Z_473C2095_0F72_11D3_97F6_00A0C9DF29C4_.wvu.PrintArea" hidden="1">#REF!</definedName>
    <definedName name="Z_473C2097_0F72_11D3_97F6_00A0C9DF29C4_.wvu.PrintArea" hidden="1">#REF!</definedName>
    <definedName name="Z_473C2098_0F72_11D3_97F6_00A0C9DF29C4_.wvu.PrintArea" hidden="1">#REF!</definedName>
    <definedName name="Z_473C2099_0F72_11D3_97F6_00A0C9DF29C4_.wvu.PrintArea" hidden="1">#REF!</definedName>
    <definedName name="Z_473C209A_0F72_11D3_97F6_00A0C9DF29C4_.wvu.PrintArea" hidden="1">#REF!</definedName>
    <definedName name="Z_473C209C_0F72_11D3_97F6_00A0C9DF29C4_.wvu.PrintArea" hidden="1">#REF!</definedName>
    <definedName name="Z_473C209D_0F72_11D3_97F6_00A0C9DF29C4_.wvu.PrintArea" hidden="1">#REF!</definedName>
    <definedName name="Z_4DD326A3_87AA_11D3_ABF4_00A0C9DF1063_.wvu.PrintArea" hidden="1">#REF!</definedName>
    <definedName name="Z_4DD326A4_87AA_11D3_ABF4_00A0C9DF1063_.wvu.PrintArea" hidden="1">#REF!</definedName>
    <definedName name="Z_4DD326A6_87AA_11D3_ABF4_00A0C9DF1063_.wvu.PrintArea" hidden="1">#REF!</definedName>
    <definedName name="Z_4DD326A7_87AA_11D3_ABF4_00A0C9DF1063_.wvu.PrintArea" hidden="1">#REF!</definedName>
    <definedName name="Z_4DD326A8_87AA_11D3_ABF4_00A0C9DF1063_.wvu.PrintArea" hidden="1">#REF!</definedName>
    <definedName name="Z_4DD326A9_87AA_11D3_ABF4_00A0C9DF1063_.wvu.PrintArea" hidden="1">#REF!</definedName>
    <definedName name="Z_4DD326AB_87AA_11D3_ABF4_00A0C9DF1063_.wvu.PrintArea" hidden="1">#REF!</definedName>
    <definedName name="Z_4DD326AC_87AA_11D3_ABF4_00A0C9DF1063_.wvu.PrintArea" hidden="1">#REF!</definedName>
    <definedName name="Z_4DD326AD_87AA_11D3_ABF4_00A0C9DF1063_.wvu.PrintArea" hidden="1">#REF!</definedName>
    <definedName name="Z_4DD326AE_87AA_11D3_ABF4_00A0C9DF1063_.wvu.PrintArea" hidden="1">#REF!</definedName>
    <definedName name="Z_4DD326B0_87AA_11D3_ABF4_00A0C9DF1063_.wvu.PrintArea" hidden="1">#REF!</definedName>
    <definedName name="Z_4DD326B1_87AA_11D3_ABF4_00A0C9DF1063_.wvu.PrintArea" hidden="1">#REF!</definedName>
    <definedName name="Z_4DD326B3_87AA_11D3_ABF4_00A0C9DF1063_.wvu.PrintArea" hidden="1">#REF!</definedName>
    <definedName name="Z_4DD326B4_87AA_11D3_ABF4_00A0C9DF1063_.wvu.PrintArea" hidden="1">#REF!</definedName>
    <definedName name="Z_4DD326B6_87AA_11D3_ABF4_00A0C9DF1063_.wvu.PrintArea" hidden="1">#REF!</definedName>
    <definedName name="Z_4DD326B7_87AA_11D3_ABF4_00A0C9DF1063_.wvu.PrintArea" hidden="1">#REF!</definedName>
    <definedName name="Z_4DD326B8_87AA_11D3_ABF4_00A0C9DF1063_.wvu.PrintArea" hidden="1">#REF!</definedName>
    <definedName name="Z_4DD326B9_87AA_11D3_ABF4_00A0C9DF1063_.wvu.PrintArea" hidden="1">#REF!</definedName>
    <definedName name="Z_4DD326BB_87AA_11D3_ABF4_00A0C9DF1063_.wvu.PrintArea" hidden="1">#REF!</definedName>
    <definedName name="Z_4DD326BC_87AA_11D3_ABF4_00A0C9DF1063_.wvu.PrintArea" hidden="1">#REF!</definedName>
    <definedName name="Z_4DD326BD_87AA_11D3_ABF4_00A0C9DF1063_.wvu.PrintArea" hidden="1">#REF!</definedName>
    <definedName name="Z_4DD326BE_87AA_11D3_ABF4_00A0C9DF1063_.wvu.PrintArea" hidden="1">#REF!</definedName>
    <definedName name="Z_4DD326C0_87AA_11D3_ABF4_00A0C9DF1063_.wvu.PrintArea" hidden="1">#REF!</definedName>
    <definedName name="Z_4DD326C1_87AA_11D3_ABF4_00A0C9DF1063_.wvu.PrintArea" hidden="1">#REF!</definedName>
    <definedName name="Z_554BC936_C826_11D3_ABFC_00A0C9DF1063_.wvu.PrintArea" hidden="1">#REF!</definedName>
    <definedName name="Z_554BC937_C826_11D3_ABFC_00A0C9DF1063_.wvu.PrintArea" hidden="1">#REF!</definedName>
    <definedName name="Z_554BC939_C826_11D3_ABFC_00A0C9DF1063_.wvu.PrintArea" hidden="1">#REF!</definedName>
    <definedName name="Z_554BC93A_C826_11D3_ABFC_00A0C9DF1063_.wvu.PrintArea" hidden="1">#REF!</definedName>
    <definedName name="Z_554BC93B_C826_11D3_ABFC_00A0C9DF1063_.wvu.PrintArea" hidden="1">#REF!</definedName>
    <definedName name="Z_554BC93C_C826_11D3_ABFC_00A0C9DF1063_.wvu.PrintArea" hidden="1">#REF!</definedName>
    <definedName name="Z_554BC93E_C826_11D3_ABFC_00A0C9DF1063_.wvu.PrintArea" hidden="1">#REF!</definedName>
    <definedName name="Z_554BC93F_C826_11D3_ABFC_00A0C9DF1063_.wvu.PrintArea" hidden="1">#REF!</definedName>
    <definedName name="Z_554BC940_C826_11D3_ABFC_00A0C9DF1063_.wvu.PrintArea" hidden="1">#REF!</definedName>
    <definedName name="Z_554BC941_C826_11D3_ABFC_00A0C9DF1063_.wvu.PrintArea" hidden="1">#REF!</definedName>
    <definedName name="Z_554BC943_C826_11D3_ABFC_00A0C9DF1063_.wvu.PrintArea" hidden="1">#REF!</definedName>
    <definedName name="Z_554BC944_C826_11D3_ABFC_00A0C9DF1063_.wvu.PrintArea" hidden="1">#REF!</definedName>
    <definedName name="Z_554BC946_C826_11D3_ABFC_00A0C9DF1063_.wvu.PrintArea" hidden="1">#REF!</definedName>
    <definedName name="Z_554BC947_C826_11D3_ABFC_00A0C9DF1063_.wvu.PrintArea" hidden="1">#REF!</definedName>
    <definedName name="Z_554BC949_C826_11D3_ABFC_00A0C9DF1063_.wvu.PrintArea" hidden="1">#REF!</definedName>
    <definedName name="Z_554BC94A_C826_11D3_ABFC_00A0C9DF1063_.wvu.PrintArea" hidden="1">#REF!</definedName>
    <definedName name="Z_554BC94B_C826_11D3_ABFC_00A0C9DF1063_.wvu.PrintArea" hidden="1">#REF!</definedName>
    <definedName name="Z_554BC94C_C826_11D3_ABFC_00A0C9DF1063_.wvu.PrintArea" hidden="1">#REF!</definedName>
    <definedName name="Z_554BC94E_C826_11D3_ABFC_00A0C9DF1063_.wvu.PrintArea" hidden="1">#REF!</definedName>
    <definedName name="Z_554BC94F_C826_11D3_ABFC_00A0C9DF1063_.wvu.PrintArea" hidden="1">#REF!</definedName>
    <definedName name="Z_554BC950_C826_11D3_ABFC_00A0C9DF1063_.wvu.PrintArea" hidden="1">#REF!</definedName>
    <definedName name="Z_554BC951_C826_11D3_ABFC_00A0C9DF1063_.wvu.PrintArea" hidden="1">#REF!</definedName>
    <definedName name="Z_554BC953_C826_11D3_ABFC_00A0C9DF1063_.wvu.PrintArea" hidden="1">#REF!</definedName>
    <definedName name="Z_554BC954_C826_11D3_ABFC_00A0C9DF1063_.wvu.PrintArea" hidden="1">#REF!</definedName>
    <definedName name="Z_554BC95E_C826_11D3_ABFC_00A0C9DF1063_.wvu.PrintArea" hidden="1">#REF!</definedName>
    <definedName name="Z_554BC95F_C826_11D3_ABFC_00A0C9DF1063_.wvu.PrintArea" hidden="1">#REF!</definedName>
    <definedName name="Z_554BC961_C826_11D3_ABFC_00A0C9DF1063_.wvu.PrintArea" hidden="1">#REF!</definedName>
    <definedName name="Z_554BC962_C826_11D3_ABFC_00A0C9DF1063_.wvu.PrintArea" hidden="1">#REF!</definedName>
    <definedName name="Z_554BC963_C826_11D3_ABFC_00A0C9DF1063_.wvu.PrintArea" hidden="1">#REF!</definedName>
    <definedName name="Z_554BC964_C826_11D3_ABFC_00A0C9DF1063_.wvu.PrintArea" hidden="1">#REF!</definedName>
    <definedName name="Z_554BC966_C826_11D3_ABFC_00A0C9DF1063_.wvu.PrintArea" hidden="1">#REF!</definedName>
    <definedName name="Z_554BC967_C826_11D3_ABFC_00A0C9DF1063_.wvu.PrintArea" hidden="1">#REF!</definedName>
    <definedName name="Z_554BC968_C826_11D3_ABFC_00A0C9DF1063_.wvu.PrintArea" hidden="1">#REF!</definedName>
    <definedName name="Z_554BC969_C826_11D3_ABFC_00A0C9DF1063_.wvu.PrintArea" hidden="1">#REF!</definedName>
    <definedName name="Z_554BC96B_C826_11D3_ABFC_00A0C9DF1063_.wvu.PrintArea" hidden="1">#REF!</definedName>
    <definedName name="Z_554BC96C_C826_11D3_ABFC_00A0C9DF1063_.wvu.PrintArea" hidden="1">#REF!</definedName>
    <definedName name="Z_554BC96E_C826_11D3_ABFC_00A0C9DF1063_.wvu.PrintArea" hidden="1">#REF!</definedName>
    <definedName name="Z_554BC96F_C826_11D3_ABFC_00A0C9DF1063_.wvu.PrintArea" hidden="1">#REF!</definedName>
    <definedName name="Z_554BC971_C826_11D3_ABFC_00A0C9DF1063_.wvu.PrintArea" hidden="1">#REF!</definedName>
    <definedName name="Z_554BC972_C826_11D3_ABFC_00A0C9DF1063_.wvu.PrintArea" hidden="1">#REF!</definedName>
    <definedName name="Z_554BC973_C826_11D3_ABFC_00A0C9DF1063_.wvu.PrintArea" hidden="1">#REF!</definedName>
    <definedName name="Z_554BC974_C826_11D3_ABFC_00A0C9DF1063_.wvu.PrintArea" hidden="1">#REF!</definedName>
    <definedName name="Z_554BC976_C826_11D3_ABFC_00A0C9DF1063_.wvu.PrintArea" hidden="1">#REF!</definedName>
    <definedName name="Z_554BC977_C826_11D3_ABFC_00A0C9DF1063_.wvu.PrintArea" hidden="1">#REF!</definedName>
    <definedName name="Z_554BC978_C826_11D3_ABFC_00A0C9DF1063_.wvu.PrintArea" hidden="1">#REF!</definedName>
    <definedName name="Z_554BC979_C826_11D3_ABFC_00A0C9DF1063_.wvu.PrintArea" hidden="1">#REF!</definedName>
    <definedName name="Z_554BC97B_C826_11D3_ABFC_00A0C9DF1063_.wvu.PrintArea" hidden="1">#REF!</definedName>
    <definedName name="Z_554BC97C_C826_11D3_ABFC_00A0C9DF1063_.wvu.PrintArea" hidden="1">#REF!</definedName>
    <definedName name="Z_67BC4B83_092D_11D3_88AD_0080C84A5D47_.wvu.PrintArea" hidden="1">#REF!</definedName>
    <definedName name="Z_67BC4B84_092D_11D3_88AD_0080C84A5D47_.wvu.PrintArea" hidden="1">#REF!</definedName>
    <definedName name="Z_67BC4B86_092D_11D3_88AD_0080C84A5D47_.wvu.PrintArea" hidden="1">#REF!</definedName>
    <definedName name="Z_67BC4B87_092D_11D3_88AD_0080C84A5D47_.wvu.PrintArea" hidden="1">#REF!</definedName>
    <definedName name="Z_67BC4B88_092D_11D3_88AD_0080C84A5D47_.wvu.PrintArea" hidden="1">#REF!</definedName>
    <definedName name="Z_67BC4B89_092D_11D3_88AD_0080C84A5D47_.wvu.PrintArea" hidden="1">#REF!</definedName>
    <definedName name="Z_67BC4B8B_092D_11D3_88AD_0080C84A5D47_.wvu.PrintArea" hidden="1">#REF!</definedName>
    <definedName name="Z_67BC4B8C_092D_11D3_88AD_0080C84A5D47_.wvu.PrintArea" hidden="1">#REF!</definedName>
    <definedName name="Z_67BC4B8D_092D_11D3_88AD_0080C84A5D47_.wvu.PrintArea" hidden="1">#REF!</definedName>
    <definedName name="Z_67BC4B8E_092D_11D3_88AD_0080C84A5D47_.wvu.PrintArea" hidden="1">#REF!</definedName>
    <definedName name="Z_67BC4B90_092D_11D3_88AD_0080C84A5D47_.wvu.PrintArea" hidden="1">#REF!</definedName>
    <definedName name="Z_67BC4B91_092D_11D3_88AD_0080C84A5D47_.wvu.PrintArea" hidden="1">#REF!</definedName>
    <definedName name="Z_67BC4B93_092D_11D3_88AD_0080C84A5D47_.wvu.PrintArea" hidden="1">#REF!</definedName>
    <definedName name="Z_67BC4B94_092D_11D3_88AD_0080C84A5D47_.wvu.PrintArea" hidden="1">#REF!</definedName>
    <definedName name="Z_67BC4B96_092D_11D3_88AD_0080C84A5D47_.wvu.PrintArea" hidden="1">#REF!</definedName>
    <definedName name="Z_67BC4B97_092D_11D3_88AD_0080C84A5D47_.wvu.PrintArea" hidden="1">#REF!</definedName>
    <definedName name="Z_67BC4B98_092D_11D3_88AD_0080C84A5D47_.wvu.PrintArea" hidden="1">#REF!</definedName>
    <definedName name="Z_67BC4B99_092D_11D3_88AD_0080C84A5D47_.wvu.PrintArea" hidden="1">#REF!</definedName>
    <definedName name="Z_67BC4B9B_092D_11D3_88AD_0080C84A5D47_.wvu.PrintArea" hidden="1">#REF!</definedName>
    <definedName name="Z_67BC4B9C_092D_11D3_88AD_0080C84A5D47_.wvu.PrintArea" hidden="1">#REF!</definedName>
    <definedName name="Z_67BC4B9D_092D_11D3_88AD_0080C84A5D47_.wvu.PrintArea" hidden="1">#REF!</definedName>
    <definedName name="Z_67BC4B9E_092D_11D3_88AD_0080C84A5D47_.wvu.PrintArea" hidden="1">#REF!</definedName>
    <definedName name="Z_67BC4BA0_092D_11D3_88AD_0080C84A5D47_.wvu.PrintArea" hidden="1">#REF!</definedName>
    <definedName name="Z_67BC4BA1_092D_11D3_88AD_0080C84A5D47_.wvu.PrintArea" hidden="1">#REF!</definedName>
    <definedName name="Z_67BC4BAF_092D_11D3_88AD_0080C84A5D47_.wvu.PrintArea" hidden="1">#REF!</definedName>
    <definedName name="Z_67BC4BB0_092D_11D3_88AD_0080C84A5D47_.wvu.PrintArea" hidden="1">#REF!</definedName>
    <definedName name="Z_67BC4BB2_092D_11D3_88AD_0080C84A5D47_.wvu.PrintArea" hidden="1">#REF!</definedName>
    <definedName name="Z_67BC4BB3_092D_11D3_88AD_0080C84A5D47_.wvu.PrintArea" hidden="1">#REF!</definedName>
    <definedName name="Z_67BC4BB4_092D_11D3_88AD_0080C84A5D47_.wvu.PrintArea" hidden="1">#REF!</definedName>
    <definedName name="Z_67BC4BB5_092D_11D3_88AD_0080C84A5D47_.wvu.PrintArea" hidden="1">#REF!</definedName>
    <definedName name="Z_67BC4BB7_092D_11D3_88AD_0080C84A5D47_.wvu.PrintArea" hidden="1">#REF!</definedName>
    <definedName name="Z_67BC4BB8_092D_11D3_88AD_0080C84A5D47_.wvu.PrintArea" hidden="1">#REF!</definedName>
    <definedName name="Z_67BC4BB9_092D_11D3_88AD_0080C84A5D47_.wvu.PrintArea" hidden="1">#REF!</definedName>
    <definedName name="Z_67BC4BBA_092D_11D3_88AD_0080C84A5D47_.wvu.PrintArea" hidden="1">#REF!</definedName>
    <definedName name="Z_67BC4BBC_092D_11D3_88AD_0080C84A5D47_.wvu.PrintArea" hidden="1">#REF!</definedName>
    <definedName name="Z_67BC4BBD_092D_11D3_88AD_0080C84A5D47_.wvu.PrintArea" hidden="1">#REF!</definedName>
    <definedName name="Z_67BC4BBF_092D_11D3_88AD_0080C84A5D47_.wvu.PrintArea" hidden="1">#REF!</definedName>
    <definedName name="Z_67BC4BC0_092D_11D3_88AD_0080C84A5D47_.wvu.PrintArea" hidden="1">#REF!</definedName>
    <definedName name="Z_67BC4BC2_092D_11D3_88AD_0080C84A5D47_.wvu.PrintArea" hidden="1">#REF!</definedName>
    <definedName name="Z_67BC4BC3_092D_11D3_88AD_0080C84A5D47_.wvu.PrintArea" hidden="1">#REF!</definedName>
    <definedName name="Z_67BC4BC4_092D_11D3_88AD_0080C84A5D47_.wvu.PrintArea" hidden="1">#REF!</definedName>
    <definedName name="Z_67BC4BC5_092D_11D3_88AD_0080C84A5D47_.wvu.PrintArea" hidden="1">#REF!</definedName>
    <definedName name="Z_67BC4BC7_092D_11D3_88AD_0080C84A5D47_.wvu.PrintArea" hidden="1">#REF!</definedName>
    <definedName name="Z_67BC4BC8_092D_11D3_88AD_0080C84A5D47_.wvu.PrintArea" hidden="1">#REF!</definedName>
    <definedName name="Z_67BC4BC9_092D_11D3_88AD_0080C84A5D47_.wvu.PrintArea" hidden="1">#REF!</definedName>
    <definedName name="Z_67BC4BCA_092D_11D3_88AD_0080C84A5D47_.wvu.PrintArea" hidden="1">#REF!</definedName>
    <definedName name="Z_67BC4BCC_092D_11D3_88AD_0080C84A5D47_.wvu.PrintArea" hidden="1">#REF!</definedName>
    <definedName name="Z_67BC4BCD_092D_11D3_88AD_0080C84A5D47_.wvu.PrintArea" hidden="1">#REF!</definedName>
    <definedName name="Z_71977450_6063_11D3_9DA6_00A0C9DF29FD_.wvu.PrintArea" hidden="1">#REF!</definedName>
    <definedName name="Z_71977451_6063_11D3_9DA6_00A0C9DF29FD_.wvu.PrintArea" hidden="1">#REF!</definedName>
    <definedName name="Z_71977453_6063_11D3_9DA6_00A0C9DF29FD_.wvu.PrintArea" hidden="1">#REF!</definedName>
    <definedName name="Z_71977454_6063_11D3_9DA6_00A0C9DF29FD_.wvu.PrintArea" hidden="1">#REF!</definedName>
    <definedName name="Z_71977455_6063_11D3_9DA6_00A0C9DF29FD_.wvu.PrintArea" hidden="1">#REF!</definedName>
    <definedName name="Z_71977456_6063_11D3_9DA6_00A0C9DF29FD_.wvu.PrintArea" hidden="1">#REF!</definedName>
    <definedName name="Z_71977458_6063_11D3_9DA6_00A0C9DF29FD_.wvu.PrintArea" hidden="1">#REF!</definedName>
    <definedName name="Z_71977459_6063_11D3_9DA6_00A0C9DF29FD_.wvu.PrintArea" hidden="1">#REF!</definedName>
    <definedName name="Z_7197745A_6063_11D3_9DA6_00A0C9DF29FD_.wvu.PrintArea" hidden="1">#REF!</definedName>
    <definedName name="Z_7197745B_6063_11D3_9DA6_00A0C9DF29FD_.wvu.PrintArea" hidden="1">#REF!</definedName>
    <definedName name="Z_7197745D_6063_11D3_9DA6_00A0C9DF29FD_.wvu.PrintArea" hidden="1">#REF!</definedName>
    <definedName name="Z_7197745E_6063_11D3_9DA6_00A0C9DF29FD_.wvu.PrintArea" hidden="1">#REF!</definedName>
    <definedName name="Z_71977460_6063_11D3_9DA6_00A0C9DF29FD_.wvu.PrintArea" hidden="1">#REF!</definedName>
    <definedName name="Z_71977461_6063_11D3_9DA6_00A0C9DF29FD_.wvu.PrintArea" hidden="1">#REF!</definedName>
    <definedName name="Z_71977463_6063_11D3_9DA6_00A0C9DF29FD_.wvu.PrintArea" hidden="1">#REF!</definedName>
    <definedName name="Z_71977464_6063_11D3_9DA6_00A0C9DF29FD_.wvu.PrintArea" hidden="1">#REF!</definedName>
    <definedName name="Z_71977465_6063_11D3_9DA6_00A0C9DF29FD_.wvu.PrintArea" hidden="1">#REF!</definedName>
    <definedName name="Z_71977466_6063_11D3_9DA6_00A0C9DF29FD_.wvu.PrintArea" hidden="1">#REF!</definedName>
    <definedName name="Z_71977468_6063_11D3_9DA6_00A0C9DF29FD_.wvu.PrintArea" hidden="1">#REF!</definedName>
    <definedName name="Z_71977469_6063_11D3_9DA6_00A0C9DF29FD_.wvu.PrintArea" hidden="1">#REF!</definedName>
    <definedName name="Z_7197746A_6063_11D3_9DA6_00A0C9DF29FD_.wvu.PrintArea" hidden="1">#REF!</definedName>
    <definedName name="Z_7197746B_6063_11D3_9DA6_00A0C9DF29FD_.wvu.PrintArea" hidden="1">#REF!</definedName>
    <definedName name="Z_7197746D_6063_11D3_9DA6_00A0C9DF29FD_.wvu.PrintArea" hidden="1">#REF!</definedName>
    <definedName name="Z_7197746E_6063_11D3_9DA6_00A0C9DF29FD_.wvu.PrintArea" hidden="1">#REF!</definedName>
    <definedName name="Z_76AA5B36_8615_11D3_ABF3_00A0C9DF1063_.wvu.PrintArea" hidden="1">#REF!</definedName>
    <definedName name="Z_76AA5B37_8615_11D3_ABF3_00A0C9DF1063_.wvu.PrintArea" hidden="1">#REF!</definedName>
    <definedName name="Z_76AA5B39_8615_11D3_ABF3_00A0C9DF1063_.wvu.PrintArea" hidden="1">#REF!</definedName>
    <definedName name="Z_76AA5B3A_8615_11D3_ABF3_00A0C9DF1063_.wvu.PrintArea" hidden="1">#REF!</definedName>
    <definedName name="Z_76AA5B3B_8615_11D3_ABF3_00A0C9DF1063_.wvu.PrintArea" hidden="1">#REF!</definedName>
    <definedName name="Z_76AA5B3C_8615_11D3_ABF3_00A0C9DF1063_.wvu.PrintArea" hidden="1">#REF!</definedName>
    <definedName name="Z_76AA5B3E_8615_11D3_ABF3_00A0C9DF1063_.wvu.PrintArea" hidden="1">#REF!</definedName>
    <definedName name="Z_76AA5B3F_8615_11D3_ABF3_00A0C9DF1063_.wvu.PrintArea" hidden="1">#REF!</definedName>
    <definedName name="Z_76AA5B40_8615_11D3_ABF3_00A0C9DF1063_.wvu.PrintArea" hidden="1">#REF!</definedName>
    <definedName name="Z_76AA5B41_8615_11D3_ABF3_00A0C9DF1063_.wvu.PrintArea" hidden="1">#REF!</definedName>
    <definedName name="Z_76AA5B43_8615_11D3_ABF3_00A0C9DF1063_.wvu.PrintArea" hidden="1">#REF!</definedName>
    <definedName name="Z_76AA5B44_8615_11D3_ABF3_00A0C9DF1063_.wvu.PrintArea" hidden="1">#REF!</definedName>
    <definedName name="Z_76AA5B46_8615_11D3_ABF3_00A0C9DF1063_.wvu.PrintArea" hidden="1">#REF!</definedName>
    <definedName name="Z_76AA5B47_8615_11D3_ABF3_00A0C9DF1063_.wvu.PrintArea" hidden="1">#REF!</definedName>
    <definedName name="Z_76AA5B49_8615_11D3_ABF3_00A0C9DF1063_.wvu.PrintArea" hidden="1">#REF!</definedName>
    <definedName name="Z_76AA5B4A_8615_11D3_ABF3_00A0C9DF1063_.wvu.PrintArea" hidden="1">#REF!</definedName>
    <definedName name="Z_76AA5B4B_8615_11D3_ABF3_00A0C9DF1063_.wvu.PrintArea" hidden="1">#REF!</definedName>
    <definedName name="Z_76AA5B4C_8615_11D3_ABF3_00A0C9DF1063_.wvu.PrintArea" hidden="1">#REF!</definedName>
    <definedName name="Z_76AA5B4E_8615_11D3_ABF3_00A0C9DF1063_.wvu.PrintArea" hidden="1">#REF!</definedName>
    <definedName name="Z_76AA5B4F_8615_11D3_ABF3_00A0C9DF1063_.wvu.PrintArea" hidden="1">#REF!</definedName>
    <definedName name="Z_76AA5B50_8615_11D3_ABF3_00A0C9DF1063_.wvu.PrintArea" hidden="1">#REF!</definedName>
    <definedName name="Z_76AA5B51_8615_11D3_ABF3_00A0C9DF1063_.wvu.PrintArea" hidden="1">#REF!</definedName>
    <definedName name="Z_76AA5B53_8615_11D3_ABF3_00A0C9DF1063_.wvu.PrintArea" hidden="1">#REF!</definedName>
    <definedName name="Z_76AA5B54_8615_11D3_ABF3_00A0C9DF1063_.wvu.PrintArea" hidden="1">#REF!</definedName>
    <definedName name="Z_78F39282_0DE2_11D3_97F6_00A0C9DF29C4_.wvu.PrintArea" hidden="1">#REF!</definedName>
    <definedName name="Z_78F39283_0DE2_11D3_97F6_00A0C9DF29C4_.wvu.PrintArea" hidden="1">#REF!</definedName>
    <definedName name="Z_78F39285_0DE2_11D3_97F6_00A0C9DF29C4_.wvu.PrintArea" hidden="1">#REF!</definedName>
    <definedName name="Z_78F39286_0DE2_11D3_97F6_00A0C9DF29C4_.wvu.PrintArea" hidden="1">#REF!</definedName>
    <definedName name="Z_78F39287_0DE2_11D3_97F6_00A0C9DF29C4_.wvu.PrintArea" hidden="1">#REF!</definedName>
    <definedName name="Z_78F39288_0DE2_11D3_97F6_00A0C9DF29C4_.wvu.PrintArea" hidden="1">#REF!</definedName>
    <definedName name="Z_78F3928A_0DE2_11D3_97F6_00A0C9DF29C4_.wvu.PrintArea" hidden="1">#REF!</definedName>
    <definedName name="Z_78F3928B_0DE2_11D3_97F6_00A0C9DF29C4_.wvu.PrintArea" hidden="1">#REF!</definedName>
    <definedName name="Z_78F3928C_0DE2_11D3_97F6_00A0C9DF29C4_.wvu.PrintArea" hidden="1">#REF!</definedName>
    <definedName name="Z_78F3928D_0DE2_11D3_97F6_00A0C9DF29C4_.wvu.PrintArea" hidden="1">#REF!</definedName>
    <definedName name="Z_78F3928F_0DE2_11D3_97F6_00A0C9DF29C4_.wvu.PrintArea" hidden="1">#REF!</definedName>
    <definedName name="Z_78F39290_0DE2_11D3_97F6_00A0C9DF29C4_.wvu.PrintArea" hidden="1">#REF!</definedName>
    <definedName name="Z_78F39292_0DE2_11D3_97F6_00A0C9DF29C4_.wvu.PrintArea" hidden="1">#REF!</definedName>
    <definedName name="Z_78F39293_0DE2_11D3_97F6_00A0C9DF29C4_.wvu.PrintArea" hidden="1">#REF!</definedName>
    <definedName name="Z_78F39295_0DE2_11D3_97F6_00A0C9DF29C4_.wvu.PrintArea" hidden="1">#REF!</definedName>
    <definedName name="Z_78F39296_0DE2_11D3_97F6_00A0C9DF29C4_.wvu.PrintArea" hidden="1">#REF!</definedName>
    <definedName name="Z_78F39297_0DE2_11D3_97F6_00A0C9DF29C4_.wvu.PrintArea" hidden="1">#REF!</definedName>
    <definedName name="Z_78F39298_0DE2_11D3_97F6_00A0C9DF29C4_.wvu.PrintArea" hidden="1">#REF!</definedName>
    <definedName name="Z_78F3929A_0DE2_11D3_97F6_00A0C9DF29C4_.wvu.PrintArea" hidden="1">#REF!</definedName>
    <definedName name="Z_78F3929B_0DE2_11D3_97F6_00A0C9DF29C4_.wvu.PrintArea" hidden="1">#REF!</definedName>
    <definedName name="Z_78F3929C_0DE2_11D3_97F6_00A0C9DF29C4_.wvu.PrintArea" hidden="1">#REF!</definedName>
    <definedName name="Z_78F3929D_0DE2_11D3_97F6_00A0C9DF29C4_.wvu.PrintArea" hidden="1">#REF!</definedName>
    <definedName name="Z_78F3929F_0DE2_11D3_97F6_00A0C9DF29C4_.wvu.PrintArea" hidden="1">#REF!</definedName>
    <definedName name="Z_78F392A0_0DE2_11D3_97F6_00A0C9DF29C4_.wvu.PrintArea" hidden="1">#REF!</definedName>
    <definedName name="Z_797E0CC1_6F4E_11D3_ABEF_00A0C9DF1063_.wvu.PrintArea" hidden="1">#REF!</definedName>
    <definedName name="Z_797E0CC2_6F4E_11D3_ABEF_00A0C9DF1063_.wvu.PrintArea" hidden="1">#REF!</definedName>
    <definedName name="Z_797E0CC4_6F4E_11D3_ABEF_00A0C9DF1063_.wvu.PrintArea" hidden="1">#REF!</definedName>
    <definedName name="Z_797E0CC5_6F4E_11D3_ABEF_00A0C9DF1063_.wvu.PrintArea" hidden="1">#REF!</definedName>
    <definedName name="Z_797E0CC6_6F4E_11D3_ABEF_00A0C9DF1063_.wvu.PrintArea" hidden="1">#REF!</definedName>
    <definedName name="Z_797E0CC7_6F4E_11D3_ABEF_00A0C9DF1063_.wvu.PrintArea" hidden="1">#REF!</definedName>
    <definedName name="Z_797E0CC9_6F4E_11D3_ABEF_00A0C9DF1063_.wvu.PrintArea" hidden="1">#REF!</definedName>
    <definedName name="Z_797E0CCA_6F4E_11D3_ABEF_00A0C9DF1063_.wvu.PrintArea" hidden="1">#REF!</definedName>
    <definedName name="Z_797E0CCB_6F4E_11D3_ABEF_00A0C9DF1063_.wvu.PrintArea" hidden="1">#REF!</definedName>
    <definedName name="Z_797E0CCC_6F4E_11D3_ABEF_00A0C9DF1063_.wvu.PrintArea" hidden="1">#REF!</definedName>
    <definedName name="Z_797E0CCE_6F4E_11D3_ABEF_00A0C9DF1063_.wvu.PrintArea" hidden="1">#REF!</definedName>
    <definedName name="Z_797E0CCF_6F4E_11D3_ABEF_00A0C9DF1063_.wvu.PrintArea" hidden="1">#REF!</definedName>
    <definedName name="Z_797E0CD1_6F4E_11D3_ABEF_00A0C9DF1063_.wvu.PrintArea" hidden="1">#REF!</definedName>
    <definedName name="Z_797E0CD2_6F4E_11D3_ABEF_00A0C9DF1063_.wvu.PrintArea" hidden="1">#REF!</definedName>
    <definedName name="Z_797E0CD4_6F4E_11D3_ABEF_00A0C9DF1063_.wvu.PrintArea" hidden="1">#REF!</definedName>
    <definedName name="Z_797E0CD5_6F4E_11D3_ABEF_00A0C9DF1063_.wvu.PrintArea" hidden="1">#REF!</definedName>
    <definedName name="Z_797E0CD6_6F4E_11D3_ABEF_00A0C9DF1063_.wvu.PrintArea" hidden="1">#REF!</definedName>
    <definedName name="Z_797E0CD7_6F4E_11D3_ABEF_00A0C9DF1063_.wvu.PrintArea" hidden="1">#REF!</definedName>
    <definedName name="Z_797E0CD9_6F4E_11D3_ABEF_00A0C9DF1063_.wvu.PrintArea" hidden="1">#REF!</definedName>
    <definedName name="Z_797E0CDA_6F4E_11D3_ABEF_00A0C9DF1063_.wvu.PrintArea" hidden="1">#REF!</definedName>
    <definedName name="Z_797E0CDB_6F4E_11D3_ABEF_00A0C9DF1063_.wvu.PrintArea" hidden="1">#REF!</definedName>
    <definedName name="Z_797E0CDC_6F4E_11D3_ABEF_00A0C9DF1063_.wvu.PrintArea" hidden="1">#REF!</definedName>
    <definedName name="Z_797E0CDE_6F4E_11D3_ABEF_00A0C9DF1063_.wvu.PrintArea" hidden="1">#REF!</definedName>
    <definedName name="Z_797E0CDF_6F4E_11D3_ABEF_00A0C9DF1063_.wvu.PrintArea" hidden="1">#REF!</definedName>
    <definedName name="Z_7B604A82_0D1B_11D3_ABDC_00A0C9DF1063_.wvu.PrintArea" hidden="1">#REF!</definedName>
    <definedName name="Z_7B604A83_0D1B_11D3_ABDC_00A0C9DF1063_.wvu.PrintArea" hidden="1">#REF!</definedName>
    <definedName name="Z_7B604A85_0D1B_11D3_ABDC_00A0C9DF1063_.wvu.PrintArea" hidden="1">#REF!</definedName>
    <definedName name="Z_7B604A86_0D1B_11D3_ABDC_00A0C9DF1063_.wvu.PrintArea" hidden="1">#REF!</definedName>
    <definedName name="Z_7B604A87_0D1B_11D3_ABDC_00A0C9DF1063_.wvu.PrintArea" hidden="1">#REF!</definedName>
    <definedName name="Z_7B604A88_0D1B_11D3_ABDC_00A0C9DF1063_.wvu.PrintArea" hidden="1">#REF!</definedName>
    <definedName name="Z_7B604A8A_0D1B_11D3_ABDC_00A0C9DF1063_.wvu.PrintArea" hidden="1">#REF!</definedName>
    <definedName name="Z_7B604A8B_0D1B_11D3_ABDC_00A0C9DF1063_.wvu.PrintArea" hidden="1">#REF!</definedName>
    <definedName name="Z_7B604A8C_0D1B_11D3_ABDC_00A0C9DF1063_.wvu.PrintArea" hidden="1">#REF!</definedName>
    <definedName name="Z_7B604A8D_0D1B_11D3_ABDC_00A0C9DF1063_.wvu.PrintArea" hidden="1">#REF!</definedName>
    <definedName name="Z_7B604A8F_0D1B_11D3_ABDC_00A0C9DF1063_.wvu.PrintArea" hidden="1">#REF!</definedName>
    <definedName name="Z_7B604A90_0D1B_11D3_ABDC_00A0C9DF1063_.wvu.PrintArea" hidden="1">#REF!</definedName>
    <definedName name="Z_7B604A92_0D1B_11D3_ABDC_00A0C9DF1063_.wvu.PrintArea" hidden="1">#REF!</definedName>
    <definedName name="Z_7B604A93_0D1B_11D3_ABDC_00A0C9DF1063_.wvu.PrintArea" hidden="1">#REF!</definedName>
    <definedName name="Z_7B604A95_0D1B_11D3_ABDC_00A0C9DF1063_.wvu.PrintArea" hidden="1">#REF!</definedName>
    <definedName name="Z_7B604A96_0D1B_11D3_ABDC_00A0C9DF1063_.wvu.PrintArea" hidden="1">#REF!</definedName>
    <definedName name="Z_7B604A97_0D1B_11D3_ABDC_00A0C9DF1063_.wvu.PrintArea" hidden="1">#REF!</definedName>
    <definedName name="Z_7B604A98_0D1B_11D3_ABDC_00A0C9DF1063_.wvu.PrintArea" hidden="1">#REF!</definedName>
    <definedName name="Z_7B604A9A_0D1B_11D3_ABDC_00A0C9DF1063_.wvu.PrintArea" hidden="1">#REF!</definedName>
    <definedName name="Z_7B604A9B_0D1B_11D3_ABDC_00A0C9DF1063_.wvu.PrintArea" hidden="1">#REF!</definedName>
    <definedName name="Z_7B604A9C_0D1B_11D3_ABDC_00A0C9DF1063_.wvu.PrintArea" hidden="1">#REF!</definedName>
    <definedName name="Z_7B604A9D_0D1B_11D3_ABDC_00A0C9DF1063_.wvu.PrintArea" hidden="1">#REF!</definedName>
    <definedName name="Z_7B604A9F_0D1B_11D3_ABDC_00A0C9DF1063_.wvu.PrintArea" hidden="1">#REF!</definedName>
    <definedName name="Z_7B604AA0_0D1B_11D3_ABDC_00A0C9DF1063_.wvu.PrintArea" hidden="1">#REF!</definedName>
    <definedName name="Z_7B604AAB_0D1B_11D3_ABDC_00A0C9DF1063_.wvu.PrintArea" hidden="1">#REF!</definedName>
    <definedName name="Z_7B604AAC_0D1B_11D3_ABDC_00A0C9DF1063_.wvu.PrintArea" hidden="1">#REF!</definedName>
    <definedName name="Z_7B604AAE_0D1B_11D3_ABDC_00A0C9DF1063_.wvu.PrintArea" hidden="1">#REF!</definedName>
    <definedName name="Z_7B604AAF_0D1B_11D3_ABDC_00A0C9DF1063_.wvu.PrintArea" hidden="1">#REF!</definedName>
    <definedName name="Z_7B604AB0_0D1B_11D3_ABDC_00A0C9DF1063_.wvu.PrintArea" hidden="1">#REF!</definedName>
    <definedName name="Z_7B604AB1_0D1B_11D3_ABDC_00A0C9DF1063_.wvu.PrintArea" hidden="1">#REF!</definedName>
    <definedName name="Z_7B604AB3_0D1B_11D3_ABDC_00A0C9DF1063_.wvu.PrintArea" hidden="1">#REF!</definedName>
    <definedName name="Z_7B604AB4_0D1B_11D3_ABDC_00A0C9DF1063_.wvu.PrintArea" hidden="1">#REF!</definedName>
    <definedName name="Z_7B604AB5_0D1B_11D3_ABDC_00A0C9DF1063_.wvu.PrintArea" hidden="1">#REF!</definedName>
    <definedName name="Z_7B604AB6_0D1B_11D3_ABDC_00A0C9DF1063_.wvu.PrintArea" hidden="1">#REF!</definedName>
    <definedName name="Z_7B604AB8_0D1B_11D3_ABDC_00A0C9DF1063_.wvu.PrintArea" hidden="1">#REF!</definedName>
    <definedName name="Z_7B604AB9_0D1B_11D3_ABDC_00A0C9DF1063_.wvu.PrintArea" hidden="1">#REF!</definedName>
    <definedName name="Z_7B604ABB_0D1B_11D3_ABDC_00A0C9DF1063_.wvu.PrintArea" hidden="1">#REF!</definedName>
    <definedName name="Z_7B604ABC_0D1B_11D3_ABDC_00A0C9DF1063_.wvu.PrintArea" hidden="1">#REF!</definedName>
    <definedName name="Z_7B604ABE_0D1B_11D3_ABDC_00A0C9DF1063_.wvu.PrintArea" hidden="1">#REF!</definedName>
    <definedName name="Z_7B604ABF_0D1B_11D3_ABDC_00A0C9DF1063_.wvu.PrintArea" hidden="1">#REF!</definedName>
    <definedName name="Z_7B604AC0_0D1B_11D3_ABDC_00A0C9DF1063_.wvu.PrintArea" hidden="1">#REF!</definedName>
    <definedName name="Z_7B604AC1_0D1B_11D3_ABDC_00A0C9DF1063_.wvu.PrintArea" hidden="1">#REF!</definedName>
    <definedName name="Z_7B604AC3_0D1B_11D3_ABDC_00A0C9DF1063_.wvu.PrintArea" hidden="1">#REF!</definedName>
    <definedName name="Z_7B604AC4_0D1B_11D3_ABDC_00A0C9DF1063_.wvu.PrintArea" hidden="1">#REF!</definedName>
    <definedName name="Z_7B604AC5_0D1B_11D3_ABDC_00A0C9DF1063_.wvu.PrintArea" hidden="1">#REF!</definedName>
    <definedName name="Z_7B604AC6_0D1B_11D3_ABDC_00A0C9DF1063_.wvu.PrintArea" hidden="1">#REF!</definedName>
    <definedName name="Z_7B604AC8_0D1B_11D3_ABDC_00A0C9DF1063_.wvu.PrintArea" hidden="1">#REF!</definedName>
    <definedName name="Z_7B604AC9_0D1B_11D3_ABDC_00A0C9DF1063_.wvu.PrintArea" hidden="1">#REF!</definedName>
    <definedName name="Z_7B604AD6_0D1B_11D3_ABDC_00A0C9DF1063_.wvu.PrintArea" hidden="1">#REF!</definedName>
    <definedName name="Z_7B604AD7_0D1B_11D3_ABDC_00A0C9DF1063_.wvu.PrintArea" hidden="1">#REF!</definedName>
    <definedName name="Z_7B604AD9_0D1B_11D3_ABDC_00A0C9DF1063_.wvu.PrintArea" hidden="1">#REF!</definedName>
    <definedName name="Z_7B604ADA_0D1B_11D3_ABDC_00A0C9DF1063_.wvu.PrintArea" hidden="1">#REF!</definedName>
    <definedName name="Z_7B604ADB_0D1B_11D3_ABDC_00A0C9DF1063_.wvu.PrintArea" hidden="1">#REF!</definedName>
    <definedName name="Z_7B604ADC_0D1B_11D3_ABDC_00A0C9DF1063_.wvu.PrintArea" hidden="1">#REF!</definedName>
    <definedName name="Z_7B604ADE_0D1B_11D3_ABDC_00A0C9DF1063_.wvu.PrintArea" hidden="1">#REF!</definedName>
    <definedName name="Z_7B604ADF_0D1B_11D3_ABDC_00A0C9DF1063_.wvu.PrintArea" hidden="1">#REF!</definedName>
    <definedName name="Z_7B604AE0_0D1B_11D3_ABDC_00A0C9DF1063_.wvu.PrintArea" hidden="1">#REF!</definedName>
    <definedName name="Z_7B604AE1_0D1B_11D3_ABDC_00A0C9DF1063_.wvu.PrintArea" hidden="1">#REF!</definedName>
    <definedName name="Z_7B604AE3_0D1B_11D3_ABDC_00A0C9DF1063_.wvu.PrintArea" hidden="1">#REF!</definedName>
    <definedName name="Z_7B604AE4_0D1B_11D3_ABDC_00A0C9DF1063_.wvu.PrintArea" hidden="1">#REF!</definedName>
    <definedName name="Z_7B604AE6_0D1B_11D3_ABDC_00A0C9DF1063_.wvu.PrintArea" hidden="1">#REF!</definedName>
    <definedName name="Z_7B604AE7_0D1B_11D3_ABDC_00A0C9DF1063_.wvu.PrintArea" hidden="1">#REF!</definedName>
    <definedName name="Z_7B604AE9_0D1B_11D3_ABDC_00A0C9DF1063_.wvu.PrintArea" hidden="1">#REF!</definedName>
    <definedName name="Z_7B604AEA_0D1B_11D3_ABDC_00A0C9DF1063_.wvu.PrintArea" hidden="1">#REF!</definedName>
    <definedName name="Z_7B604AEB_0D1B_11D3_ABDC_00A0C9DF1063_.wvu.PrintArea" hidden="1">#REF!</definedName>
    <definedName name="Z_7B604AEC_0D1B_11D3_ABDC_00A0C9DF1063_.wvu.PrintArea" hidden="1">#REF!</definedName>
    <definedName name="Z_7B604AEE_0D1B_11D3_ABDC_00A0C9DF1063_.wvu.PrintArea" hidden="1">#REF!</definedName>
    <definedName name="Z_7B604AEF_0D1B_11D3_ABDC_00A0C9DF1063_.wvu.PrintArea" hidden="1">#REF!</definedName>
    <definedName name="Z_7B604AF0_0D1B_11D3_ABDC_00A0C9DF1063_.wvu.PrintArea" hidden="1">#REF!</definedName>
    <definedName name="Z_7B604AF1_0D1B_11D3_ABDC_00A0C9DF1063_.wvu.PrintArea" hidden="1">#REF!</definedName>
    <definedName name="Z_7B604AF3_0D1B_11D3_ABDC_00A0C9DF1063_.wvu.PrintArea" hidden="1">#REF!</definedName>
    <definedName name="Z_7B604AF4_0D1B_11D3_ABDC_00A0C9DF1063_.wvu.PrintArea" hidden="1">#REF!</definedName>
    <definedName name="Z_7D5CD582_AF03_11D3_9DB4_00A0C9DF29FD_.wvu.PrintArea" hidden="1">#REF!</definedName>
    <definedName name="Z_7D5CD583_AF03_11D3_9DB4_00A0C9DF29FD_.wvu.PrintArea" hidden="1">#REF!</definedName>
    <definedName name="Z_7D5CD585_AF03_11D3_9DB4_00A0C9DF29FD_.wvu.PrintArea" hidden="1">#REF!</definedName>
    <definedName name="Z_7D5CD586_AF03_11D3_9DB4_00A0C9DF29FD_.wvu.PrintArea" hidden="1">#REF!</definedName>
    <definedName name="Z_7D5CD587_AF03_11D3_9DB4_00A0C9DF29FD_.wvu.PrintArea" hidden="1">#REF!</definedName>
    <definedName name="Z_7D5CD588_AF03_11D3_9DB4_00A0C9DF29FD_.wvu.PrintArea" hidden="1">#REF!</definedName>
    <definedName name="Z_7D5CD58A_AF03_11D3_9DB4_00A0C9DF29FD_.wvu.PrintArea" hidden="1">#REF!</definedName>
    <definedName name="Z_7D5CD58B_AF03_11D3_9DB4_00A0C9DF29FD_.wvu.PrintArea" hidden="1">#REF!</definedName>
    <definedName name="Z_7D5CD58C_AF03_11D3_9DB4_00A0C9DF29FD_.wvu.PrintArea" hidden="1">#REF!</definedName>
    <definedName name="Z_7D5CD58D_AF03_11D3_9DB4_00A0C9DF29FD_.wvu.PrintArea" hidden="1">#REF!</definedName>
    <definedName name="Z_7D5CD58F_AF03_11D3_9DB4_00A0C9DF29FD_.wvu.PrintArea" hidden="1">#REF!</definedName>
    <definedName name="Z_7D5CD590_AF03_11D3_9DB4_00A0C9DF29FD_.wvu.PrintArea" hidden="1">#REF!</definedName>
    <definedName name="Z_7D5CD592_AF03_11D3_9DB4_00A0C9DF29FD_.wvu.PrintArea" hidden="1">#REF!</definedName>
    <definedName name="Z_7D5CD593_AF03_11D3_9DB4_00A0C9DF29FD_.wvu.PrintArea" hidden="1">#REF!</definedName>
    <definedName name="Z_7D5CD595_AF03_11D3_9DB4_00A0C9DF29FD_.wvu.PrintArea" hidden="1">#REF!</definedName>
    <definedName name="Z_7D5CD596_AF03_11D3_9DB4_00A0C9DF29FD_.wvu.PrintArea" hidden="1">#REF!</definedName>
    <definedName name="Z_7D5CD597_AF03_11D3_9DB4_00A0C9DF29FD_.wvu.PrintArea" hidden="1">#REF!</definedName>
    <definedName name="Z_7D5CD598_AF03_11D3_9DB4_00A0C9DF29FD_.wvu.PrintArea" hidden="1">#REF!</definedName>
    <definedName name="Z_7D5CD59A_AF03_11D3_9DB4_00A0C9DF29FD_.wvu.PrintArea" hidden="1">#REF!</definedName>
    <definedName name="Z_7D5CD59B_AF03_11D3_9DB4_00A0C9DF29FD_.wvu.PrintArea" hidden="1">#REF!</definedName>
    <definedName name="Z_7D5CD59C_AF03_11D3_9DB4_00A0C9DF29FD_.wvu.PrintArea" hidden="1">#REF!</definedName>
    <definedName name="Z_7D5CD59D_AF03_11D3_9DB4_00A0C9DF29FD_.wvu.PrintArea" hidden="1">#REF!</definedName>
    <definedName name="Z_7D5CD59F_AF03_11D3_9DB4_00A0C9DF29FD_.wvu.PrintArea" hidden="1">#REF!</definedName>
    <definedName name="Z_7D5CD5A0_AF03_11D3_9DB4_00A0C9DF29FD_.wvu.PrintArea" hidden="1">#REF!</definedName>
    <definedName name="Z_81A955A2_B15B_11D3_8587_00A0C9DF1035_.wvu.PrintArea" hidden="1">#REF!</definedName>
    <definedName name="Z_81A955A3_B15B_11D3_8587_00A0C9DF1035_.wvu.PrintArea" hidden="1">#REF!</definedName>
    <definedName name="Z_81A955A5_B15B_11D3_8587_00A0C9DF1035_.wvu.PrintArea" hidden="1">#REF!</definedName>
    <definedName name="Z_81A955A6_B15B_11D3_8587_00A0C9DF1035_.wvu.PrintArea" hidden="1">#REF!</definedName>
    <definedName name="Z_81A955A7_B15B_11D3_8587_00A0C9DF1035_.wvu.PrintArea" hidden="1">#REF!</definedName>
    <definedName name="Z_81A955A8_B15B_11D3_8587_00A0C9DF1035_.wvu.PrintArea" hidden="1">#REF!</definedName>
    <definedName name="Z_81A955AA_B15B_11D3_8587_00A0C9DF1035_.wvu.PrintArea" hidden="1">#REF!</definedName>
    <definedName name="Z_81A955AB_B15B_11D3_8587_00A0C9DF1035_.wvu.PrintArea" hidden="1">#REF!</definedName>
    <definedName name="Z_81A955AC_B15B_11D3_8587_00A0C9DF1035_.wvu.PrintArea" hidden="1">#REF!</definedName>
    <definedName name="Z_81A955AD_B15B_11D3_8587_00A0C9DF1035_.wvu.PrintArea" hidden="1">#REF!</definedName>
    <definedName name="Z_81A955AF_B15B_11D3_8587_00A0C9DF1035_.wvu.PrintArea" hidden="1">#REF!</definedName>
    <definedName name="Z_81A955B0_B15B_11D3_8587_00A0C9DF1035_.wvu.PrintArea" hidden="1">#REF!</definedName>
    <definedName name="Z_81A955B2_B15B_11D3_8587_00A0C9DF1035_.wvu.PrintArea" hidden="1">#REF!</definedName>
    <definedName name="Z_81A955B3_B15B_11D3_8587_00A0C9DF1035_.wvu.PrintArea" hidden="1">#REF!</definedName>
    <definedName name="Z_81A955B5_B15B_11D3_8587_00A0C9DF1035_.wvu.PrintArea" hidden="1">#REF!</definedName>
    <definedName name="Z_81A955B6_B15B_11D3_8587_00A0C9DF1035_.wvu.PrintArea" hidden="1">#REF!</definedName>
    <definedName name="Z_81A955B7_B15B_11D3_8587_00A0C9DF1035_.wvu.PrintArea" hidden="1">#REF!</definedName>
    <definedName name="Z_81A955B8_B15B_11D3_8587_00A0C9DF1035_.wvu.PrintArea" hidden="1">#REF!</definedName>
    <definedName name="Z_81A955BA_B15B_11D3_8587_00A0C9DF1035_.wvu.PrintArea" hidden="1">#REF!</definedName>
    <definedName name="Z_81A955BB_B15B_11D3_8587_00A0C9DF1035_.wvu.PrintArea" hidden="1">#REF!</definedName>
    <definedName name="Z_81A955BC_B15B_11D3_8587_00A0C9DF1035_.wvu.PrintArea" hidden="1">#REF!</definedName>
    <definedName name="Z_81A955BD_B15B_11D3_8587_00A0C9DF1035_.wvu.PrintArea" hidden="1">#REF!</definedName>
    <definedName name="Z_81A955BF_B15B_11D3_8587_00A0C9DF1035_.wvu.PrintArea" hidden="1">#REF!</definedName>
    <definedName name="Z_81A955C0_B15B_11D3_8587_00A0C9DF1035_.wvu.PrintArea" hidden="1">#REF!</definedName>
    <definedName name="Z_85019DFF_A33B_11D3_9DB2_00A0C9DF29FD_.wvu.PrintArea" hidden="1">#REF!</definedName>
    <definedName name="Z_85019E00_A33B_11D3_9DB2_00A0C9DF29FD_.wvu.PrintArea" hidden="1">#REF!</definedName>
    <definedName name="Z_85019E02_A33B_11D3_9DB2_00A0C9DF29FD_.wvu.PrintArea" hidden="1">#REF!</definedName>
    <definedName name="Z_85019E03_A33B_11D3_9DB2_00A0C9DF29FD_.wvu.PrintArea" hidden="1">#REF!</definedName>
    <definedName name="Z_85019E04_A33B_11D3_9DB2_00A0C9DF29FD_.wvu.PrintArea" hidden="1">#REF!</definedName>
    <definedName name="Z_85019E05_A33B_11D3_9DB2_00A0C9DF29FD_.wvu.PrintArea" hidden="1">#REF!</definedName>
    <definedName name="Z_85019E07_A33B_11D3_9DB2_00A0C9DF29FD_.wvu.PrintArea" hidden="1">#REF!</definedName>
    <definedName name="Z_85019E08_A33B_11D3_9DB2_00A0C9DF29FD_.wvu.PrintArea" hidden="1">#REF!</definedName>
    <definedName name="Z_85019E09_A33B_11D3_9DB2_00A0C9DF29FD_.wvu.PrintArea" hidden="1">#REF!</definedName>
    <definedName name="Z_85019E0A_A33B_11D3_9DB2_00A0C9DF29FD_.wvu.PrintArea" hidden="1">#REF!</definedName>
    <definedName name="Z_85019E0C_A33B_11D3_9DB2_00A0C9DF29FD_.wvu.PrintArea" hidden="1">#REF!</definedName>
    <definedName name="Z_85019E0D_A33B_11D3_9DB2_00A0C9DF29FD_.wvu.PrintArea" hidden="1">#REF!</definedName>
    <definedName name="Z_85019E0F_A33B_11D3_9DB2_00A0C9DF29FD_.wvu.PrintArea" hidden="1">#REF!</definedName>
    <definedName name="Z_85019E10_A33B_11D3_9DB2_00A0C9DF29FD_.wvu.PrintArea" hidden="1">#REF!</definedName>
    <definedName name="Z_85019E12_A33B_11D3_9DB2_00A0C9DF29FD_.wvu.PrintArea" hidden="1">#REF!</definedName>
    <definedName name="Z_85019E13_A33B_11D3_9DB2_00A0C9DF29FD_.wvu.PrintArea" hidden="1">#REF!</definedName>
    <definedName name="Z_85019E14_A33B_11D3_9DB2_00A0C9DF29FD_.wvu.PrintArea" hidden="1">#REF!</definedName>
    <definedName name="Z_85019E15_A33B_11D3_9DB2_00A0C9DF29FD_.wvu.PrintArea" hidden="1">#REF!</definedName>
    <definedName name="Z_85019E17_A33B_11D3_9DB2_00A0C9DF29FD_.wvu.PrintArea" hidden="1">#REF!</definedName>
    <definedName name="Z_85019E18_A33B_11D3_9DB2_00A0C9DF29FD_.wvu.PrintArea" hidden="1">#REF!</definedName>
    <definedName name="Z_85019E19_A33B_11D3_9DB2_00A0C9DF29FD_.wvu.PrintArea" hidden="1">#REF!</definedName>
    <definedName name="Z_85019E1A_A33B_11D3_9DB2_00A0C9DF29FD_.wvu.PrintArea" hidden="1">#REF!</definedName>
    <definedName name="Z_85019E1C_A33B_11D3_9DB2_00A0C9DF29FD_.wvu.PrintArea" hidden="1">#REF!</definedName>
    <definedName name="Z_85019E1D_A33B_11D3_9DB2_00A0C9DF29FD_.wvu.PrintArea" hidden="1">#REF!</definedName>
    <definedName name="Z_895A36AF_C501_11D3_9810_00A0C9DF29C4_.wvu.PrintArea" hidden="1">#REF!</definedName>
    <definedName name="Z_895A36B0_C501_11D3_9810_00A0C9DF29C4_.wvu.PrintArea" hidden="1">#REF!</definedName>
    <definedName name="Z_895A36B2_C501_11D3_9810_00A0C9DF29C4_.wvu.PrintArea" hidden="1">#REF!</definedName>
    <definedName name="Z_895A36B3_C501_11D3_9810_00A0C9DF29C4_.wvu.PrintArea" hidden="1">#REF!</definedName>
    <definedName name="Z_895A36B4_C501_11D3_9810_00A0C9DF29C4_.wvu.PrintArea" hidden="1">#REF!</definedName>
    <definedName name="Z_895A36B5_C501_11D3_9810_00A0C9DF29C4_.wvu.PrintArea" hidden="1">#REF!</definedName>
    <definedName name="Z_895A36B7_C501_11D3_9810_00A0C9DF29C4_.wvu.PrintArea" hidden="1">#REF!</definedName>
    <definedName name="Z_895A36B8_C501_11D3_9810_00A0C9DF29C4_.wvu.PrintArea" hidden="1">#REF!</definedName>
    <definedName name="Z_895A36B9_C501_11D3_9810_00A0C9DF29C4_.wvu.PrintArea" hidden="1">#REF!</definedName>
    <definedName name="Z_895A36BA_C501_11D3_9810_00A0C9DF29C4_.wvu.PrintArea" hidden="1">#REF!</definedName>
    <definedName name="Z_895A36BC_C501_11D3_9810_00A0C9DF29C4_.wvu.PrintArea" hidden="1">#REF!</definedName>
    <definedName name="Z_895A36BD_C501_11D3_9810_00A0C9DF29C4_.wvu.PrintArea" hidden="1">#REF!</definedName>
    <definedName name="Z_895A36BF_C501_11D3_9810_00A0C9DF29C4_.wvu.PrintArea" hidden="1">#REF!</definedName>
    <definedName name="Z_895A36C0_C501_11D3_9810_00A0C9DF29C4_.wvu.PrintArea" hidden="1">#REF!</definedName>
    <definedName name="Z_895A36C2_C501_11D3_9810_00A0C9DF29C4_.wvu.PrintArea" hidden="1">#REF!</definedName>
    <definedName name="Z_895A36C3_C501_11D3_9810_00A0C9DF29C4_.wvu.PrintArea" hidden="1">#REF!</definedName>
    <definedName name="Z_895A36C4_C501_11D3_9810_00A0C9DF29C4_.wvu.PrintArea" hidden="1">#REF!</definedName>
    <definedName name="Z_895A36C5_C501_11D3_9810_00A0C9DF29C4_.wvu.PrintArea" hidden="1">#REF!</definedName>
    <definedName name="Z_895A36C7_C501_11D3_9810_00A0C9DF29C4_.wvu.PrintArea" hidden="1">#REF!</definedName>
    <definedName name="Z_895A36C8_C501_11D3_9810_00A0C9DF29C4_.wvu.PrintArea" hidden="1">#REF!</definedName>
    <definedName name="Z_895A36C9_C501_11D3_9810_00A0C9DF29C4_.wvu.PrintArea" hidden="1">#REF!</definedName>
    <definedName name="Z_895A36CA_C501_11D3_9810_00A0C9DF29C4_.wvu.PrintArea" hidden="1">#REF!</definedName>
    <definedName name="Z_895A36CC_C501_11D3_9810_00A0C9DF29C4_.wvu.PrintArea" hidden="1">#REF!</definedName>
    <definedName name="Z_895A36CD_C501_11D3_9810_00A0C9DF29C4_.wvu.PrintArea" hidden="1">#REF!</definedName>
    <definedName name="Z_8EBA90B0_77F8_11D3_9805_00A0C9DF29C4_.wvu.PrintArea" hidden="1">#REF!</definedName>
    <definedName name="Z_8EBA90B1_77F8_11D3_9805_00A0C9DF29C4_.wvu.PrintArea" hidden="1">#REF!</definedName>
    <definedName name="Z_8EBA90B3_77F8_11D3_9805_00A0C9DF29C4_.wvu.PrintArea" hidden="1">#REF!</definedName>
    <definedName name="Z_8EBA90B4_77F8_11D3_9805_00A0C9DF29C4_.wvu.PrintArea" hidden="1">#REF!</definedName>
    <definedName name="Z_8EBA90B5_77F8_11D3_9805_00A0C9DF29C4_.wvu.PrintArea" hidden="1">#REF!</definedName>
    <definedName name="Z_8EBA90B6_77F8_11D3_9805_00A0C9DF29C4_.wvu.PrintArea" hidden="1">#REF!</definedName>
    <definedName name="Z_8EBA90B8_77F8_11D3_9805_00A0C9DF29C4_.wvu.PrintArea" hidden="1">#REF!</definedName>
    <definedName name="Z_8EBA90B9_77F8_11D3_9805_00A0C9DF29C4_.wvu.PrintArea" hidden="1">#REF!</definedName>
    <definedName name="Z_8EBA90BA_77F8_11D3_9805_00A0C9DF29C4_.wvu.PrintArea" hidden="1">#REF!</definedName>
    <definedName name="Z_8EBA90BB_77F8_11D3_9805_00A0C9DF29C4_.wvu.PrintArea" hidden="1">#REF!</definedName>
    <definedName name="Z_8EBA90BD_77F8_11D3_9805_00A0C9DF29C4_.wvu.PrintArea" hidden="1">#REF!</definedName>
    <definedName name="Z_8EBA90BE_77F8_11D3_9805_00A0C9DF29C4_.wvu.PrintArea" hidden="1">#REF!</definedName>
    <definedName name="Z_8EBA90C0_77F8_11D3_9805_00A0C9DF29C4_.wvu.PrintArea" hidden="1">#REF!</definedName>
    <definedName name="Z_8EBA90C1_77F8_11D3_9805_00A0C9DF29C4_.wvu.PrintArea" hidden="1">#REF!</definedName>
    <definedName name="Z_8EBA90C3_77F8_11D3_9805_00A0C9DF29C4_.wvu.PrintArea" hidden="1">#REF!</definedName>
    <definedName name="Z_8EBA90C4_77F8_11D3_9805_00A0C9DF29C4_.wvu.PrintArea" hidden="1">#REF!</definedName>
    <definedName name="Z_8EBA90C5_77F8_11D3_9805_00A0C9DF29C4_.wvu.PrintArea" hidden="1">#REF!</definedName>
    <definedName name="Z_8EBA90C6_77F8_11D3_9805_00A0C9DF29C4_.wvu.PrintArea" hidden="1">#REF!</definedName>
    <definedName name="Z_8EBA90C8_77F8_11D3_9805_00A0C9DF29C4_.wvu.PrintArea" hidden="1">#REF!</definedName>
    <definedName name="Z_8EBA90C9_77F8_11D3_9805_00A0C9DF29C4_.wvu.PrintArea" hidden="1">#REF!</definedName>
    <definedName name="Z_8EBA90CA_77F8_11D3_9805_00A0C9DF29C4_.wvu.PrintArea" hidden="1">#REF!</definedName>
    <definedName name="Z_8EBA90CB_77F8_11D3_9805_00A0C9DF29C4_.wvu.PrintArea" hidden="1">#REF!</definedName>
    <definedName name="Z_8EBA90CD_77F8_11D3_9805_00A0C9DF29C4_.wvu.PrintArea" hidden="1">#REF!</definedName>
    <definedName name="Z_8EBA90CE_77F8_11D3_9805_00A0C9DF29C4_.wvu.PrintArea" hidden="1">#REF!</definedName>
    <definedName name="Z_8FDBA68C_7273_11D3_9DAC_00A0C9DF29FD_.wvu.PrintArea" hidden="1">#REF!</definedName>
    <definedName name="Z_8FDBA68D_7273_11D3_9DAC_00A0C9DF29FD_.wvu.PrintArea" hidden="1">#REF!</definedName>
    <definedName name="Z_8FDBA68F_7273_11D3_9DAC_00A0C9DF29FD_.wvu.PrintArea" hidden="1">#REF!</definedName>
    <definedName name="Z_8FDBA690_7273_11D3_9DAC_00A0C9DF29FD_.wvu.PrintArea" hidden="1">#REF!</definedName>
    <definedName name="Z_8FDBA691_7273_11D3_9DAC_00A0C9DF29FD_.wvu.PrintArea" hidden="1">#REF!</definedName>
    <definedName name="Z_8FDBA692_7273_11D3_9DAC_00A0C9DF29FD_.wvu.PrintArea" hidden="1">#REF!</definedName>
    <definedName name="Z_8FDBA694_7273_11D3_9DAC_00A0C9DF29FD_.wvu.PrintArea" hidden="1">#REF!</definedName>
    <definedName name="Z_8FDBA695_7273_11D3_9DAC_00A0C9DF29FD_.wvu.PrintArea" hidden="1">#REF!</definedName>
    <definedName name="Z_8FDBA696_7273_11D3_9DAC_00A0C9DF29FD_.wvu.PrintArea" hidden="1">#REF!</definedName>
    <definedName name="Z_8FDBA697_7273_11D3_9DAC_00A0C9DF29FD_.wvu.PrintArea" hidden="1">#REF!</definedName>
    <definedName name="Z_8FDBA699_7273_11D3_9DAC_00A0C9DF29FD_.wvu.PrintArea" hidden="1">#REF!</definedName>
    <definedName name="Z_8FDBA69A_7273_11D3_9DAC_00A0C9DF29FD_.wvu.PrintArea" hidden="1">#REF!</definedName>
    <definedName name="Z_8FDBA69C_7273_11D3_9DAC_00A0C9DF29FD_.wvu.PrintArea" hidden="1">#REF!</definedName>
    <definedName name="Z_8FDBA69D_7273_11D3_9DAC_00A0C9DF29FD_.wvu.PrintArea" hidden="1">#REF!</definedName>
    <definedName name="Z_8FDBA69F_7273_11D3_9DAC_00A0C9DF29FD_.wvu.PrintArea" hidden="1">#REF!</definedName>
    <definedName name="Z_8FDBA6A0_7273_11D3_9DAC_00A0C9DF29FD_.wvu.PrintArea" hidden="1">#REF!</definedName>
    <definedName name="Z_8FDBA6A1_7273_11D3_9DAC_00A0C9DF29FD_.wvu.PrintArea" hidden="1">#REF!</definedName>
    <definedName name="Z_8FDBA6A2_7273_11D3_9DAC_00A0C9DF29FD_.wvu.PrintArea" hidden="1">#REF!</definedName>
    <definedName name="Z_8FDBA6A4_7273_11D3_9DAC_00A0C9DF29FD_.wvu.PrintArea" hidden="1">#REF!</definedName>
    <definedName name="Z_8FDBA6A5_7273_11D3_9DAC_00A0C9DF29FD_.wvu.PrintArea" hidden="1">#REF!</definedName>
    <definedName name="Z_8FDBA6A6_7273_11D3_9DAC_00A0C9DF29FD_.wvu.PrintArea" hidden="1">#REF!</definedName>
    <definedName name="Z_8FDBA6A7_7273_11D3_9DAC_00A0C9DF29FD_.wvu.PrintArea" hidden="1">#REF!</definedName>
    <definedName name="Z_8FDBA6A9_7273_11D3_9DAC_00A0C9DF29FD_.wvu.PrintArea" hidden="1">#REF!</definedName>
    <definedName name="Z_8FDBA6AA_7273_11D3_9DAC_00A0C9DF29FD_.wvu.PrintArea" hidden="1">#REF!</definedName>
    <definedName name="Z_9A6F73DA_66AB_11D3_857C_00A0C9DF1035_.wvu.PrintArea" hidden="1">#REF!</definedName>
    <definedName name="Z_9A6F73DB_66AB_11D3_857C_00A0C9DF1035_.wvu.PrintArea" hidden="1">#REF!</definedName>
    <definedName name="Z_9A6F73DD_66AB_11D3_857C_00A0C9DF1035_.wvu.PrintArea" hidden="1">#REF!</definedName>
    <definedName name="Z_9A6F73DE_66AB_11D3_857C_00A0C9DF1035_.wvu.PrintArea" hidden="1">#REF!</definedName>
    <definedName name="Z_9A6F73DF_66AB_11D3_857C_00A0C9DF1035_.wvu.PrintArea" hidden="1">#REF!</definedName>
    <definedName name="Z_9A6F73E0_66AB_11D3_857C_00A0C9DF1035_.wvu.PrintArea" hidden="1">#REF!</definedName>
    <definedName name="Z_9A6F73E2_66AB_11D3_857C_00A0C9DF1035_.wvu.PrintArea" hidden="1">#REF!</definedName>
    <definedName name="Z_9A6F73E3_66AB_11D3_857C_00A0C9DF1035_.wvu.PrintArea" hidden="1">#REF!</definedName>
    <definedName name="Z_9A6F73E4_66AB_11D3_857C_00A0C9DF1035_.wvu.PrintArea" hidden="1">#REF!</definedName>
    <definedName name="Z_9A6F73E5_66AB_11D3_857C_00A0C9DF1035_.wvu.PrintArea" hidden="1">#REF!</definedName>
    <definedName name="Z_9A6F73E7_66AB_11D3_857C_00A0C9DF1035_.wvu.PrintArea" hidden="1">#REF!</definedName>
    <definedName name="Z_9A6F73E8_66AB_11D3_857C_00A0C9DF1035_.wvu.PrintArea" hidden="1">#REF!</definedName>
    <definedName name="Z_9A6F73EA_66AB_11D3_857C_00A0C9DF1035_.wvu.PrintArea" hidden="1">#REF!</definedName>
    <definedName name="Z_9A6F73EB_66AB_11D3_857C_00A0C9DF1035_.wvu.PrintArea" hidden="1">#REF!</definedName>
    <definedName name="Z_9A6F73ED_66AB_11D3_857C_00A0C9DF1035_.wvu.PrintArea" hidden="1">#REF!</definedName>
    <definedName name="Z_9A6F73EE_66AB_11D3_857C_00A0C9DF1035_.wvu.PrintArea" hidden="1">#REF!</definedName>
    <definedName name="Z_9A6F73EF_66AB_11D3_857C_00A0C9DF1035_.wvu.PrintArea" hidden="1">#REF!</definedName>
    <definedName name="Z_9A6F73F0_66AB_11D3_857C_00A0C9DF1035_.wvu.PrintArea" hidden="1">#REF!</definedName>
    <definedName name="Z_9A6F73F2_66AB_11D3_857C_00A0C9DF1035_.wvu.PrintArea" hidden="1">#REF!</definedName>
    <definedName name="Z_9A6F73F3_66AB_11D3_857C_00A0C9DF1035_.wvu.PrintArea" hidden="1">#REF!</definedName>
    <definedName name="Z_9A6F73F4_66AB_11D3_857C_00A0C9DF1035_.wvu.PrintArea" hidden="1">#REF!</definedName>
    <definedName name="Z_9A6F73F5_66AB_11D3_857C_00A0C9DF1035_.wvu.PrintArea" hidden="1">#REF!</definedName>
    <definedName name="Z_9A6F73F7_66AB_11D3_857C_00A0C9DF1035_.wvu.PrintArea" hidden="1">#REF!</definedName>
    <definedName name="Z_9A6F73F8_66AB_11D3_857C_00A0C9DF1035_.wvu.PrintArea" hidden="1">#REF!</definedName>
    <definedName name="Z_9F520CC2_86F7_11D3_9808_00A0C9DF29C4_.wvu.PrintArea" hidden="1">#REF!</definedName>
    <definedName name="Z_9F520CC3_86F7_11D3_9808_00A0C9DF29C4_.wvu.PrintArea" hidden="1">#REF!</definedName>
    <definedName name="Z_9F520CC5_86F7_11D3_9808_00A0C9DF29C4_.wvu.PrintArea" hidden="1">#REF!</definedName>
    <definedName name="Z_9F520CC6_86F7_11D3_9808_00A0C9DF29C4_.wvu.PrintArea" hidden="1">#REF!</definedName>
    <definedName name="Z_9F520CC7_86F7_11D3_9808_00A0C9DF29C4_.wvu.PrintArea" hidden="1">#REF!</definedName>
    <definedName name="Z_9F520CC8_86F7_11D3_9808_00A0C9DF29C4_.wvu.PrintArea" hidden="1">#REF!</definedName>
    <definedName name="Z_9F520CCA_86F7_11D3_9808_00A0C9DF29C4_.wvu.PrintArea" hidden="1">#REF!</definedName>
    <definedName name="Z_9F520CCB_86F7_11D3_9808_00A0C9DF29C4_.wvu.PrintArea" hidden="1">#REF!</definedName>
    <definedName name="Z_9F520CCC_86F7_11D3_9808_00A0C9DF29C4_.wvu.PrintArea" hidden="1">#REF!</definedName>
    <definedName name="Z_9F520CCD_86F7_11D3_9808_00A0C9DF29C4_.wvu.PrintArea" hidden="1">#REF!</definedName>
    <definedName name="Z_9F520CCF_86F7_11D3_9808_00A0C9DF29C4_.wvu.PrintArea" hidden="1">#REF!</definedName>
    <definedName name="Z_9F520CD0_86F7_11D3_9808_00A0C9DF29C4_.wvu.PrintArea" hidden="1">#REF!</definedName>
    <definedName name="Z_9F520CD2_86F7_11D3_9808_00A0C9DF29C4_.wvu.PrintArea" hidden="1">#REF!</definedName>
    <definedName name="Z_9F520CD3_86F7_11D3_9808_00A0C9DF29C4_.wvu.PrintArea" hidden="1">#REF!</definedName>
    <definedName name="Z_9F520CD5_86F7_11D3_9808_00A0C9DF29C4_.wvu.PrintArea" hidden="1">#REF!</definedName>
    <definedName name="Z_9F520CD6_86F7_11D3_9808_00A0C9DF29C4_.wvu.PrintArea" hidden="1">#REF!</definedName>
    <definedName name="Z_9F520CD7_86F7_11D3_9808_00A0C9DF29C4_.wvu.PrintArea" hidden="1">#REF!</definedName>
    <definedName name="Z_9F520CD8_86F7_11D3_9808_00A0C9DF29C4_.wvu.PrintArea" hidden="1">#REF!</definedName>
    <definedName name="Z_9F520CDA_86F7_11D3_9808_00A0C9DF29C4_.wvu.PrintArea" hidden="1">#REF!</definedName>
    <definedName name="Z_9F520CDB_86F7_11D3_9808_00A0C9DF29C4_.wvu.PrintArea" hidden="1">#REF!</definedName>
    <definedName name="Z_9F520CDC_86F7_11D3_9808_00A0C9DF29C4_.wvu.PrintArea" hidden="1">#REF!</definedName>
    <definedName name="Z_9F520CDD_86F7_11D3_9808_00A0C9DF29C4_.wvu.PrintArea" hidden="1">#REF!</definedName>
    <definedName name="Z_9F520CDF_86F7_11D3_9808_00A0C9DF29C4_.wvu.PrintArea" hidden="1">#REF!</definedName>
    <definedName name="Z_9F520CE0_86F7_11D3_9808_00A0C9DF29C4_.wvu.PrintArea" hidden="1">#REF!</definedName>
    <definedName name="Z_A1F52E4A_03D7_11D3_88AD_0080C84A5D47_.wvu.PrintArea" hidden="1">#REF!</definedName>
    <definedName name="Z_A1F52E4C_03D7_11D3_88AD_0080C84A5D47_.wvu.PrintArea" hidden="1">#REF!</definedName>
    <definedName name="Z_A1F52E4D_03D7_11D3_88AD_0080C84A5D47_.wvu.PrintArea" hidden="1">#REF!</definedName>
    <definedName name="Z_A1F52E4E_03D7_11D3_88AD_0080C84A5D47_.wvu.PrintArea" hidden="1">#REF!</definedName>
    <definedName name="Z_A1F52E50_03D7_11D3_88AD_0080C84A5D47_.wvu.PrintArea" hidden="1">#REF!</definedName>
    <definedName name="Z_A1F52E51_03D7_11D3_88AD_0080C84A5D47_.wvu.PrintArea" hidden="1">#REF!</definedName>
    <definedName name="Z_A1F52E52_03D7_11D3_88AD_0080C84A5D47_.wvu.PrintArea" hidden="1">#REF!</definedName>
    <definedName name="Z_A1F52E54_03D7_11D3_88AD_0080C84A5D47_.wvu.PrintArea" hidden="1">#REF!</definedName>
    <definedName name="Z_A1F52E55_03D7_11D3_88AD_0080C84A5D47_.wvu.PrintArea" hidden="1">#REF!</definedName>
    <definedName name="Z_A1F52E57_03D7_11D3_88AD_0080C84A5D47_.wvu.PrintArea" hidden="1">#REF!</definedName>
    <definedName name="Z_A1F52E59_03D7_11D3_88AD_0080C84A5D47_.wvu.PrintArea" hidden="1">#REF!</definedName>
    <definedName name="Z_A1F52E5A_03D7_11D3_88AD_0080C84A5D47_.wvu.PrintArea" hidden="1">#REF!</definedName>
    <definedName name="Z_A1F52E5B_03D7_11D3_88AD_0080C84A5D47_.wvu.PrintArea" hidden="1">#REF!</definedName>
    <definedName name="Z_A1F52E5D_03D7_11D3_88AD_0080C84A5D47_.wvu.PrintArea" hidden="1">#REF!</definedName>
    <definedName name="Z_A1F52E5E_03D7_11D3_88AD_0080C84A5D47_.wvu.PrintArea" hidden="1">#REF!</definedName>
    <definedName name="Z_A1F52E5F_03D7_11D3_88AD_0080C84A5D47_.wvu.PrintArea" hidden="1">#REF!</definedName>
    <definedName name="Z_A1F52E61_03D7_11D3_88AD_0080C84A5D47_.wvu.PrintArea" hidden="1">#REF!</definedName>
    <definedName name="Z_A1F52E62_03D7_11D3_88AD_0080C84A5D47_.wvu.PrintArea" hidden="1">#REF!</definedName>
    <definedName name="Z_AF0B9184_56F4_11D3_97FE_00A0C9DF29C4_.wvu.PrintArea" hidden="1">#REF!</definedName>
    <definedName name="Z_AF0B9185_56F4_11D3_97FE_00A0C9DF29C4_.wvu.PrintArea" hidden="1">#REF!</definedName>
    <definedName name="Z_AF0B9187_56F4_11D3_97FE_00A0C9DF29C4_.wvu.PrintArea" hidden="1">#REF!</definedName>
    <definedName name="Z_AF0B9188_56F4_11D3_97FE_00A0C9DF29C4_.wvu.PrintArea" hidden="1">#REF!</definedName>
    <definedName name="Z_AF0B9189_56F4_11D3_97FE_00A0C9DF29C4_.wvu.PrintArea" hidden="1">#REF!</definedName>
    <definedName name="Z_AF0B918A_56F4_11D3_97FE_00A0C9DF29C4_.wvu.PrintArea" hidden="1">#REF!</definedName>
    <definedName name="Z_AF0B918C_56F4_11D3_97FE_00A0C9DF29C4_.wvu.PrintArea" hidden="1">#REF!</definedName>
    <definedName name="Z_AF0B918D_56F4_11D3_97FE_00A0C9DF29C4_.wvu.PrintArea" hidden="1">#REF!</definedName>
    <definedName name="Z_AF0B918E_56F4_11D3_97FE_00A0C9DF29C4_.wvu.PrintArea" hidden="1">#REF!</definedName>
    <definedName name="Z_AF0B918F_56F4_11D3_97FE_00A0C9DF29C4_.wvu.PrintArea" hidden="1">#REF!</definedName>
    <definedName name="Z_AF0B9191_56F4_11D3_97FE_00A0C9DF29C4_.wvu.PrintArea" hidden="1">#REF!</definedName>
    <definedName name="Z_AF0B9192_56F4_11D3_97FE_00A0C9DF29C4_.wvu.PrintArea" hidden="1">#REF!</definedName>
    <definedName name="Z_AF0B9194_56F4_11D3_97FE_00A0C9DF29C4_.wvu.PrintArea" hidden="1">#REF!</definedName>
    <definedName name="Z_AF0B9195_56F4_11D3_97FE_00A0C9DF29C4_.wvu.PrintArea" hidden="1">#REF!</definedName>
    <definedName name="Z_AF0B9197_56F4_11D3_97FE_00A0C9DF29C4_.wvu.PrintArea" hidden="1">#REF!</definedName>
    <definedName name="Z_AF0B9198_56F4_11D3_97FE_00A0C9DF29C4_.wvu.PrintArea" hidden="1">#REF!</definedName>
    <definedName name="Z_AF0B9199_56F4_11D3_97FE_00A0C9DF29C4_.wvu.PrintArea" hidden="1">#REF!</definedName>
    <definedName name="Z_AF0B919A_56F4_11D3_97FE_00A0C9DF29C4_.wvu.PrintArea" hidden="1">#REF!</definedName>
    <definedName name="Z_AF0B919C_56F4_11D3_97FE_00A0C9DF29C4_.wvu.PrintArea" hidden="1">#REF!</definedName>
    <definedName name="Z_AF0B919D_56F4_11D3_97FE_00A0C9DF29C4_.wvu.PrintArea" hidden="1">#REF!</definedName>
    <definedName name="Z_AF0B919E_56F4_11D3_97FE_00A0C9DF29C4_.wvu.PrintArea" hidden="1">#REF!</definedName>
    <definedName name="Z_AF0B919F_56F4_11D3_97FE_00A0C9DF29C4_.wvu.PrintArea" hidden="1">#REF!</definedName>
    <definedName name="Z_AF0B91A1_56F4_11D3_97FE_00A0C9DF29C4_.wvu.PrintArea" hidden="1">#REF!</definedName>
    <definedName name="Z_AF0B91A2_56F4_11D3_97FE_00A0C9DF29C4_.wvu.PrintArea" hidden="1">#REF!</definedName>
    <definedName name="Z_B7259815_225C_11D3_8571_00A0C9DF1035_.wvu.PrintArea" hidden="1">#REF!</definedName>
    <definedName name="Z_B7259816_225C_11D3_8571_00A0C9DF1035_.wvu.PrintArea" hidden="1">#REF!</definedName>
    <definedName name="Z_B7259818_225C_11D3_8571_00A0C9DF1035_.wvu.PrintArea" hidden="1">#REF!</definedName>
    <definedName name="Z_B7259819_225C_11D3_8571_00A0C9DF1035_.wvu.PrintArea" hidden="1">#REF!</definedName>
    <definedName name="Z_B725981A_225C_11D3_8571_00A0C9DF1035_.wvu.PrintArea" hidden="1">#REF!</definedName>
    <definedName name="Z_B725981B_225C_11D3_8571_00A0C9DF1035_.wvu.PrintArea" hidden="1">#REF!</definedName>
    <definedName name="Z_B725981D_225C_11D3_8571_00A0C9DF1035_.wvu.PrintArea" hidden="1">#REF!</definedName>
    <definedName name="Z_B725981E_225C_11D3_8571_00A0C9DF1035_.wvu.PrintArea" hidden="1">#REF!</definedName>
    <definedName name="Z_B725981F_225C_11D3_8571_00A0C9DF1035_.wvu.PrintArea" hidden="1">#REF!</definedName>
    <definedName name="Z_B7259820_225C_11D3_8571_00A0C9DF1035_.wvu.PrintArea" hidden="1">#REF!</definedName>
    <definedName name="Z_B7259822_225C_11D3_8571_00A0C9DF1035_.wvu.PrintArea" hidden="1">#REF!</definedName>
    <definedName name="Z_B7259823_225C_11D3_8571_00A0C9DF1035_.wvu.PrintArea" hidden="1">#REF!</definedName>
    <definedName name="Z_B7259825_225C_11D3_8571_00A0C9DF1035_.wvu.PrintArea" hidden="1">#REF!</definedName>
    <definedName name="Z_B7259826_225C_11D3_8571_00A0C9DF1035_.wvu.PrintArea" hidden="1">#REF!</definedName>
    <definedName name="Z_B7259828_225C_11D3_8571_00A0C9DF1035_.wvu.PrintArea" hidden="1">#REF!</definedName>
    <definedName name="Z_B7259829_225C_11D3_8571_00A0C9DF1035_.wvu.PrintArea" hidden="1">#REF!</definedName>
    <definedName name="Z_B725982A_225C_11D3_8571_00A0C9DF1035_.wvu.PrintArea" hidden="1">#REF!</definedName>
    <definedName name="Z_B725982B_225C_11D3_8571_00A0C9DF1035_.wvu.PrintArea" hidden="1">#REF!</definedName>
    <definedName name="Z_B725982D_225C_11D3_8571_00A0C9DF1035_.wvu.PrintArea" hidden="1">#REF!</definedName>
    <definedName name="Z_B725982E_225C_11D3_8571_00A0C9DF1035_.wvu.PrintArea" hidden="1">#REF!</definedName>
    <definedName name="Z_B725982F_225C_11D3_8571_00A0C9DF1035_.wvu.PrintArea" hidden="1">#REF!</definedName>
    <definedName name="Z_B7259830_225C_11D3_8571_00A0C9DF1035_.wvu.PrintArea" hidden="1">#REF!</definedName>
    <definedName name="Z_B7259832_225C_11D3_8571_00A0C9DF1035_.wvu.PrintArea" hidden="1">#REF!</definedName>
    <definedName name="Z_B7259833_225C_11D3_8571_00A0C9DF1035_.wvu.PrintArea" hidden="1">#REF!</definedName>
    <definedName name="Z_B7F9DAA5_441F_11D3_8575_00A0C9DF1035_.wvu.PrintArea" hidden="1">#REF!</definedName>
    <definedName name="Z_B7F9DAA6_441F_11D3_8575_00A0C9DF1035_.wvu.PrintArea" hidden="1">#REF!</definedName>
    <definedName name="Z_B7F9DAA8_441F_11D3_8575_00A0C9DF1035_.wvu.PrintArea" hidden="1">#REF!</definedName>
    <definedName name="Z_B7F9DAA9_441F_11D3_8575_00A0C9DF1035_.wvu.PrintArea" hidden="1">#REF!</definedName>
    <definedName name="Z_B7F9DAAA_441F_11D3_8575_00A0C9DF1035_.wvu.PrintArea" hidden="1">#REF!</definedName>
    <definedName name="Z_B7F9DAAB_441F_11D3_8575_00A0C9DF1035_.wvu.PrintArea" hidden="1">#REF!</definedName>
    <definedName name="Z_B7F9DAAD_441F_11D3_8575_00A0C9DF1035_.wvu.PrintArea" hidden="1">#REF!</definedName>
    <definedName name="Z_B7F9DAAE_441F_11D3_8575_00A0C9DF1035_.wvu.PrintArea" hidden="1">#REF!</definedName>
    <definedName name="Z_B7F9DAAF_441F_11D3_8575_00A0C9DF1035_.wvu.PrintArea" hidden="1">#REF!</definedName>
    <definedName name="Z_B7F9DAB0_441F_11D3_8575_00A0C9DF1035_.wvu.PrintArea" hidden="1">#REF!</definedName>
    <definedName name="Z_B7F9DAB2_441F_11D3_8575_00A0C9DF1035_.wvu.PrintArea" hidden="1">#REF!</definedName>
    <definedName name="Z_B7F9DAB3_441F_11D3_8575_00A0C9DF1035_.wvu.PrintArea" hidden="1">#REF!</definedName>
    <definedName name="Z_B7F9DAB5_441F_11D3_8575_00A0C9DF1035_.wvu.PrintArea" hidden="1">#REF!</definedName>
    <definedName name="Z_B7F9DAB6_441F_11D3_8575_00A0C9DF1035_.wvu.PrintArea" hidden="1">#REF!</definedName>
    <definedName name="Z_B7F9DAB8_441F_11D3_8575_00A0C9DF1035_.wvu.PrintArea" hidden="1">#REF!</definedName>
    <definedName name="Z_B7F9DAB9_441F_11D3_8575_00A0C9DF1035_.wvu.PrintArea" hidden="1">#REF!</definedName>
    <definedName name="Z_B7F9DABA_441F_11D3_8575_00A0C9DF1035_.wvu.PrintArea" hidden="1">#REF!</definedName>
    <definedName name="Z_B7F9DABB_441F_11D3_8575_00A0C9DF1035_.wvu.PrintArea" hidden="1">#REF!</definedName>
    <definedName name="Z_B7F9DABD_441F_11D3_8575_00A0C9DF1035_.wvu.PrintArea" hidden="1">#REF!</definedName>
    <definedName name="Z_B7F9DABE_441F_11D3_8575_00A0C9DF1035_.wvu.PrintArea" hidden="1">#REF!</definedName>
    <definedName name="Z_B7F9DABF_441F_11D3_8575_00A0C9DF1035_.wvu.PrintArea" hidden="1">#REF!</definedName>
    <definedName name="Z_B7F9DAC0_441F_11D3_8575_00A0C9DF1035_.wvu.PrintArea" hidden="1">#REF!</definedName>
    <definedName name="Z_B7F9DAC2_441F_11D3_8575_00A0C9DF1035_.wvu.PrintArea" hidden="1">#REF!</definedName>
    <definedName name="Z_B7F9DAC3_441F_11D3_8575_00A0C9DF1035_.wvu.PrintArea" hidden="1">#REF!</definedName>
    <definedName name="Z_BE87EB26_C75B_11D3_9810_00A0C9DF29C4_.wvu.PrintArea" hidden="1">#REF!</definedName>
    <definedName name="Z_BE87EB27_C75B_11D3_9810_00A0C9DF29C4_.wvu.PrintArea" hidden="1">#REF!</definedName>
    <definedName name="Z_BE87EB29_C75B_11D3_9810_00A0C9DF29C4_.wvu.PrintArea" hidden="1">#REF!</definedName>
    <definedName name="Z_BE87EB2A_C75B_11D3_9810_00A0C9DF29C4_.wvu.PrintArea" hidden="1">#REF!</definedName>
    <definedName name="Z_BE87EB2B_C75B_11D3_9810_00A0C9DF29C4_.wvu.PrintArea" hidden="1">#REF!</definedName>
    <definedName name="Z_BE87EB2C_C75B_11D3_9810_00A0C9DF29C4_.wvu.PrintArea" hidden="1">#REF!</definedName>
    <definedName name="Z_BE87EB2E_C75B_11D3_9810_00A0C9DF29C4_.wvu.PrintArea" hidden="1">#REF!</definedName>
    <definedName name="Z_BE87EB2F_C75B_11D3_9810_00A0C9DF29C4_.wvu.PrintArea" hidden="1">#REF!</definedName>
    <definedName name="Z_BE87EB30_C75B_11D3_9810_00A0C9DF29C4_.wvu.PrintArea" hidden="1">#REF!</definedName>
    <definedName name="Z_BE87EB31_C75B_11D3_9810_00A0C9DF29C4_.wvu.PrintArea" hidden="1">#REF!</definedName>
    <definedName name="Z_BE87EB33_C75B_11D3_9810_00A0C9DF29C4_.wvu.PrintArea" hidden="1">#REF!</definedName>
    <definedName name="Z_BE87EB34_C75B_11D3_9810_00A0C9DF29C4_.wvu.PrintArea" hidden="1">#REF!</definedName>
    <definedName name="Z_BE87EB36_C75B_11D3_9810_00A0C9DF29C4_.wvu.PrintArea" hidden="1">#REF!</definedName>
    <definedName name="Z_BE87EB37_C75B_11D3_9810_00A0C9DF29C4_.wvu.PrintArea" hidden="1">#REF!</definedName>
    <definedName name="Z_BE87EB39_C75B_11D3_9810_00A0C9DF29C4_.wvu.PrintArea" hidden="1">#REF!</definedName>
    <definedName name="Z_BE87EB3A_C75B_11D3_9810_00A0C9DF29C4_.wvu.PrintArea" hidden="1">#REF!</definedName>
    <definedName name="Z_BE87EB3B_C75B_11D3_9810_00A0C9DF29C4_.wvu.PrintArea" hidden="1">#REF!</definedName>
    <definedName name="Z_BE87EB3C_C75B_11D3_9810_00A0C9DF29C4_.wvu.PrintArea" hidden="1">#REF!</definedName>
    <definedName name="Z_BE87EB3E_C75B_11D3_9810_00A0C9DF29C4_.wvu.PrintArea" hidden="1">#REF!</definedName>
    <definedName name="Z_BE87EB3F_C75B_11D3_9810_00A0C9DF29C4_.wvu.PrintArea" hidden="1">#REF!</definedName>
    <definedName name="Z_BE87EB40_C75B_11D3_9810_00A0C9DF29C4_.wvu.PrintArea" hidden="1">#REF!</definedName>
    <definedName name="Z_BE87EB41_C75B_11D3_9810_00A0C9DF29C4_.wvu.PrintArea" hidden="1">#REF!</definedName>
    <definedName name="Z_BE87EB43_C75B_11D3_9810_00A0C9DF29C4_.wvu.PrintArea" hidden="1">#REF!</definedName>
    <definedName name="Z_BE87EB44_C75B_11D3_9810_00A0C9DF29C4_.wvu.PrintArea" hidden="1">#REF!</definedName>
    <definedName name="Z_C20A3D4D_6B6B_11D3_ABEF_00A0C9DF1063_.wvu.PrintArea" hidden="1">#REF!</definedName>
    <definedName name="Z_C20A3D4E_6B6B_11D3_ABEF_00A0C9DF1063_.wvu.PrintArea" hidden="1">#REF!</definedName>
    <definedName name="Z_C20A3D50_6B6B_11D3_ABEF_00A0C9DF1063_.wvu.PrintArea" hidden="1">#REF!</definedName>
    <definedName name="Z_C20A3D51_6B6B_11D3_ABEF_00A0C9DF1063_.wvu.PrintArea" hidden="1">#REF!</definedName>
    <definedName name="Z_C20A3D52_6B6B_11D3_ABEF_00A0C9DF1063_.wvu.PrintArea" hidden="1">#REF!</definedName>
    <definedName name="Z_C20A3D53_6B6B_11D3_ABEF_00A0C9DF1063_.wvu.PrintArea" hidden="1">#REF!</definedName>
    <definedName name="Z_C20A3D55_6B6B_11D3_ABEF_00A0C9DF1063_.wvu.PrintArea" hidden="1">#REF!</definedName>
    <definedName name="Z_C20A3D56_6B6B_11D3_ABEF_00A0C9DF1063_.wvu.PrintArea" hidden="1">#REF!</definedName>
    <definedName name="Z_C20A3D57_6B6B_11D3_ABEF_00A0C9DF1063_.wvu.PrintArea" hidden="1">#REF!</definedName>
    <definedName name="Z_C20A3D58_6B6B_11D3_ABEF_00A0C9DF1063_.wvu.PrintArea" hidden="1">#REF!</definedName>
    <definedName name="Z_C20A3D5A_6B6B_11D3_ABEF_00A0C9DF1063_.wvu.PrintArea" hidden="1">#REF!</definedName>
    <definedName name="Z_C20A3D5B_6B6B_11D3_ABEF_00A0C9DF1063_.wvu.PrintArea" hidden="1">#REF!</definedName>
    <definedName name="Z_C20A3D5D_6B6B_11D3_ABEF_00A0C9DF1063_.wvu.PrintArea" hidden="1">#REF!</definedName>
    <definedName name="Z_C20A3D5E_6B6B_11D3_ABEF_00A0C9DF1063_.wvu.PrintArea" hidden="1">#REF!</definedName>
    <definedName name="Z_C20A3D60_6B6B_11D3_ABEF_00A0C9DF1063_.wvu.PrintArea" hidden="1">#REF!</definedName>
    <definedName name="Z_C20A3D61_6B6B_11D3_ABEF_00A0C9DF1063_.wvu.PrintArea" hidden="1">#REF!</definedName>
    <definedName name="Z_C20A3D62_6B6B_11D3_ABEF_00A0C9DF1063_.wvu.PrintArea" hidden="1">#REF!</definedName>
    <definedName name="Z_C20A3D63_6B6B_11D3_ABEF_00A0C9DF1063_.wvu.PrintArea" hidden="1">#REF!</definedName>
    <definedName name="Z_C20A3D65_6B6B_11D3_ABEF_00A0C9DF1063_.wvu.PrintArea" hidden="1">#REF!</definedName>
    <definedName name="Z_C20A3D66_6B6B_11D3_ABEF_00A0C9DF1063_.wvu.PrintArea" hidden="1">#REF!</definedName>
    <definedName name="Z_C20A3D67_6B6B_11D3_ABEF_00A0C9DF1063_.wvu.PrintArea" hidden="1">#REF!</definedName>
    <definedName name="Z_C20A3D68_6B6B_11D3_ABEF_00A0C9DF1063_.wvu.PrintArea" hidden="1">#REF!</definedName>
    <definedName name="Z_C20A3D6A_6B6B_11D3_ABEF_00A0C9DF1063_.wvu.PrintArea" hidden="1">#REF!</definedName>
    <definedName name="Z_C20A3D6B_6B6B_11D3_ABEF_00A0C9DF1063_.wvu.PrintArea" hidden="1">#REF!</definedName>
    <definedName name="Z_C20A3DDF_6B6B_11D3_ABEF_00A0C9DF1063_.wvu.PrintArea" hidden="1">#REF!</definedName>
    <definedName name="Z_C20A3DE0_6B6B_11D3_ABEF_00A0C9DF1063_.wvu.PrintArea" hidden="1">#REF!</definedName>
    <definedName name="Z_C20A3DE2_6B6B_11D3_ABEF_00A0C9DF1063_.wvu.PrintArea" hidden="1">#REF!</definedName>
    <definedName name="Z_C20A3DE3_6B6B_11D3_ABEF_00A0C9DF1063_.wvu.PrintArea" hidden="1">#REF!</definedName>
    <definedName name="Z_C20A3DE4_6B6B_11D3_ABEF_00A0C9DF1063_.wvu.PrintArea" hidden="1">#REF!</definedName>
    <definedName name="Z_C20A3DE5_6B6B_11D3_ABEF_00A0C9DF1063_.wvu.PrintArea" hidden="1">#REF!</definedName>
    <definedName name="Z_C20A3DE7_6B6B_11D3_ABEF_00A0C9DF1063_.wvu.PrintArea" hidden="1">#REF!</definedName>
    <definedName name="Z_C20A3DE8_6B6B_11D3_ABEF_00A0C9DF1063_.wvu.PrintArea" hidden="1">#REF!</definedName>
    <definedName name="Z_C20A3DE9_6B6B_11D3_ABEF_00A0C9DF1063_.wvu.PrintArea" hidden="1">#REF!</definedName>
    <definedName name="Z_C20A3DEA_6B6B_11D3_ABEF_00A0C9DF1063_.wvu.PrintArea" hidden="1">#REF!</definedName>
    <definedName name="Z_C20A3DEC_6B6B_11D3_ABEF_00A0C9DF1063_.wvu.PrintArea" hidden="1">#REF!</definedName>
    <definedName name="Z_C20A3DED_6B6B_11D3_ABEF_00A0C9DF1063_.wvu.PrintArea" hidden="1">#REF!</definedName>
    <definedName name="Z_C20A3DEF_6B6B_11D3_ABEF_00A0C9DF1063_.wvu.PrintArea" hidden="1">#REF!</definedName>
    <definedName name="Z_C20A3DF0_6B6B_11D3_ABEF_00A0C9DF1063_.wvu.PrintArea" hidden="1">#REF!</definedName>
    <definedName name="Z_C20A3DF2_6B6B_11D3_ABEF_00A0C9DF1063_.wvu.PrintArea" hidden="1">#REF!</definedName>
    <definedName name="Z_C20A3DF3_6B6B_11D3_ABEF_00A0C9DF1063_.wvu.PrintArea" hidden="1">#REF!</definedName>
    <definedName name="Z_C20A3DF4_6B6B_11D3_ABEF_00A0C9DF1063_.wvu.PrintArea" hidden="1">#REF!</definedName>
    <definedName name="Z_C20A3DF5_6B6B_11D3_ABEF_00A0C9DF1063_.wvu.PrintArea" hidden="1">#REF!</definedName>
    <definedName name="Z_C20A3DF7_6B6B_11D3_ABEF_00A0C9DF1063_.wvu.PrintArea" hidden="1">#REF!</definedName>
    <definedName name="Z_C20A3DF8_6B6B_11D3_ABEF_00A0C9DF1063_.wvu.PrintArea" hidden="1">#REF!</definedName>
    <definedName name="Z_C20A3DF9_6B6B_11D3_ABEF_00A0C9DF1063_.wvu.PrintArea" hidden="1">#REF!</definedName>
    <definedName name="Z_C20A3DFA_6B6B_11D3_ABEF_00A0C9DF1063_.wvu.PrintArea" hidden="1">#REF!</definedName>
    <definedName name="Z_C20A3DFC_6B6B_11D3_ABEF_00A0C9DF1063_.wvu.PrintArea" hidden="1">#REF!</definedName>
    <definedName name="Z_C20A3DFD_6B6B_11D3_ABEF_00A0C9DF1063_.wvu.PrintArea" hidden="1">#REF!</definedName>
    <definedName name="Z_C453FA0A_6CF6_11D3_ABEF_00A0C9DF1063_.wvu.PrintArea" hidden="1">#REF!</definedName>
    <definedName name="Z_C453FA0B_6CF6_11D3_ABEF_00A0C9DF1063_.wvu.PrintArea" hidden="1">#REF!</definedName>
    <definedName name="Z_C453FA0D_6CF6_11D3_ABEF_00A0C9DF1063_.wvu.PrintArea" hidden="1">#REF!</definedName>
    <definedName name="Z_C453FA0E_6CF6_11D3_ABEF_00A0C9DF1063_.wvu.PrintArea" hidden="1">#REF!</definedName>
    <definedName name="Z_C453FA0F_6CF6_11D3_ABEF_00A0C9DF1063_.wvu.PrintArea" hidden="1">#REF!</definedName>
    <definedName name="Z_C453FA10_6CF6_11D3_ABEF_00A0C9DF1063_.wvu.PrintArea" hidden="1">#REF!</definedName>
    <definedName name="Z_C453FA12_6CF6_11D3_ABEF_00A0C9DF1063_.wvu.PrintArea" hidden="1">#REF!</definedName>
    <definedName name="Z_C453FA13_6CF6_11D3_ABEF_00A0C9DF1063_.wvu.PrintArea" hidden="1">#REF!</definedName>
    <definedName name="Z_C453FA14_6CF6_11D3_ABEF_00A0C9DF1063_.wvu.PrintArea" hidden="1">#REF!</definedName>
    <definedName name="Z_C453FA15_6CF6_11D3_ABEF_00A0C9DF1063_.wvu.PrintArea" hidden="1">#REF!</definedName>
    <definedName name="Z_C453FA17_6CF6_11D3_ABEF_00A0C9DF1063_.wvu.PrintArea" hidden="1">#REF!</definedName>
    <definedName name="Z_C453FA18_6CF6_11D3_ABEF_00A0C9DF1063_.wvu.PrintArea" hidden="1">#REF!</definedName>
    <definedName name="Z_C453FA1A_6CF6_11D3_ABEF_00A0C9DF1063_.wvu.PrintArea" hidden="1">#REF!</definedName>
    <definedName name="Z_C453FA1B_6CF6_11D3_ABEF_00A0C9DF1063_.wvu.PrintArea" hidden="1">#REF!</definedName>
    <definedName name="Z_C453FA1D_6CF6_11D3_ABEF_00A0C9DF1063_.wvu.PrintArea" hidden="1">#REF!</definedName>
    <definedName name="Z_C453FA1E_6CF6_11D3_ABEF_00A0C9DF1063_.wvu.PrintArea" hidden="1">#REF!</definedName>
    <definedName name="Z_C453FA1F_6CF6_11D3_ABEF_00A0C9DF1063_.wvu.PrintArea" hidden="1">#REF!</definedName>
    <definedName name="Z_C453FA20_6CF6_11D3_ABEF_00A0C9DF1063_.wvu.PrintArea" hidden="1">#REF!</definedName>
    <definedName name="Z_C453FA22_6CF6_11D3_ABEF_00A0C9DF1063_.wvu.PrintArea" hidden="1">#REF!</definedName>
    <definedName name="Z_C453FA23_6CF6_11D3_ABEF_00A0C9DF1063_.wvu.PrintArea" hidden="1">#REF!</definedName>
    <definedName name="Z_C453FA24_6CF6_11D3_ABEF_00A0C9DF1063_.wvu.PrintArea" hidden="1">#REF!</definedName>
    <definedName name="Z_C453FA25_6CF6_11D3_ABEF_00A0C9DF1063_.wvu.PrintArea" hidden="1">#REF!</definedName>
    <definedName name="Z_C453FA27_6CF6_11D3_ABEF_00A0C9DF1063_.wvu.PrintArea" hidden="1">#REF!</definedName>
    <definedName name="Z_C453FA28_6CF6_11D3_ABEF_00A0C9DF1063_.wvu.PrintArea" hidden="1">#REF!</definedName>
    <definedName name="Z_D59CE115_23E5_11D3_97FA_00A0C9DF29C4_.wvu.PrintArea" hidden="1">#REF!</definedName>
    <definedName name="Z_D59CE116_23E5_11D3_97FA_00A0C9DF29C4_.wvu.PrintArea" hidden="1">#REF!</definedName>
    <definedName name="Z_D59CE118_23E5_11D3_97FA_00A0C9DF29C4_.wvu.PrintArea" hidden="1">#REF!</definedName>
    <definedName name="Z_D59CE119_23E5_11D3_97FA_00A0C9DF29C4_.wvu.PrintArea" hidden="1">#REF!</definedName>
    <definedName name="Z_D59CE11A_23E5_11D3_97FA_00A0C9DF29C4_.wvu.PrintArea" hidden="1">#REF!</definedName>
    <definedName name="Z_D59CE11B_23E5_11D3_97FA_00A0C9DF29C4_.wvu.PrintArea" hidden="1">#REF!</definedName>
    <definedName name="Z_D59CE11D_23E5_11D3_97FA_00A0C9DF29C4_.wvu.PrintArea" hidden="1">#REF!</definedName>
    <definedName name="Z_D59CE11E_23E5_11D3_97FA_00A0C9DF29C4_.wvu.PrintArea" hidden="1">#REF!</definedName>
    <definedName name="Z_D59CE11F_23E5_11D3_97FA_00A0C9DF29C4_.wvu.PrintArea" hidden="1">#REF!</definedName>
    <definedName name="Z_D59CE120_23E5_11D3_97FA_00A0C9DF29C4_.wvu.PrintArea" hidden="1">#REF!</definedName>
    <definedName name="Z_D59CE122_23E5_11D3_97FA_00A0C9DF29C4_.wvu.PrintArea" hidden="1">#REF!</definedName>
    <definedName name="Z_D59CE123_23E5_11D3_97FA_00A0C9DF29C4_.wvu.PrintArea" hidden="1">#REF!</definedName>
    <definedName name="Z_D59CE125_23E5_11D3_97FA_00A0C9DF29C4_.wvu.PrintArea" hidden="1">#REF!</definedName>
    <definedName name="Z_D59CE126_23E5_11D3_97FA_00A0C9DF29C4_.wvu.PrintArea" hidden="1">#REF!</definedName>
    <definedName name="Z_D59CE128_23E5_11D3_97FA_00A0C9DF29C4_.wvu.PrintArea" hidden="1">#REF!</definedName>
    <definedName name="Z_D59CE129_23E5_11D3_97FA_00A0C9DF29C4_.wvu.PrintArea" hidden="1">#REF!</definedName>
    <definedName name="Z_D59CE12A_23E5_11D3_97FA_00A0C9DF29C4_.wvu.PrintArea" hidden="1">#REF!</definedName>
    <definedName name="Z_D59CE12B_23E5_11D3_97FA_00A0C9DF29C4_.wvu.PrintArea" hidden="1">#REF!</definedName>
    <definedName name="Z_D59CE12D_23E5_11D3_97FA_00A0C9DF29C4_.wvu.PrintArea" hidden="1">#REF!</definedName>
    <definedName name="Z_D59CE12E_23E5_11D3_97FA_00A0C9DF29C4_.wvu.PrintArea" hidden="1">#REF!</definedName>
    <definedName name="Z_D59CE12F_23E5_11D3_97FA_00A0C9DF29C4_.wvu.PrintArea" hidden="1">#REF!</definedName>
    <definedName name="Z_D59CE130_23E5_11D3_97FA_00A0C9DF29C4_.wvu.PrintArea" hidden="1">#REF!</definedName>
    <definedName name="Z_D59CE132_23E5_11D3_97FA_00A0C9DF29C4_.wvu.PrintArea" hidden="1">#REF!</definedName>
    <definedName name="Z_D59CE133_23E5_11D3_97FA_00A0C9DF29C4_.wvu.PrintArea" hidden="1">#REF!</definedName>
    <definedName name="Z_D7AAD4B4_562F_11D3_97FE_00A0C9DF29C4_.wvu.PrintArea" hidden="1">#REF!</definedName>
    <definedName name="Z_D7AAD4B5_562F_11D3_97FE_00A0C9DF29C4_.wvu.PrintArea" hidden="1">#REF!</definedName>
    <definedName name="Z_D7AAD4B7_562F_11D3_97FE_00A0C9DF29C4_.wvu.PrintArea" hidden="1">#REF!</definedName>
    <definedName name="Z_D7AAD4B8_562F_11D3_97FE_00A0C9DF29C4_.wvu.PrintArea" hidden="1">#REF!</definedName>
    <definedName name="Z_D7AAD4B9_562F_11D3_97FE_00A0C9DF29C4_.wvu.PrintArea" hidden="1">#REF!</definedName>
    <definedName name="Z_D7AAD4BA_562F_11D3_97FE_00A0C9DF29C4_.wvu.PrintArea" hidden="1">#REF!</definedName>
    <definedName name="Z_D7AAD4BC_562F_11D3_97FE_00A0C9DF29C4_.wvu.PrintArea" hidden="1">#REF!</definedName>
    <definedName name="Z_D7AAD4BD_562F_11D3_97FE_00A0C9DF29C4_.wvu.PrintArea" hidden="1">#REF!</definedName>
    <definedName name="Z_D7AAD4BE_562F_11D3_97FE_00A0C9DF29C4_.wvu.PrintArea" hidden="1">#REF!</definedName>
    <definedName name="Z_D7AAD4BF_562F_11D3_97FE_00A0C9DF29C4_.wvu.PrintArea" hidden="1">#REF!</definedName>
    <definedName name="Z_D7AAD4C1_562F_11D3_97FE_00A0C9DF29C4_.wvu.PrintArea" hidden="1">#REF!</definedName>
    <definedName name="Z_D7AAD4C2_562F_11D3_97FE_00A0C9DF29C4_.wvu.PrintArea" hidden="1">#REF!</definedName>
    <definedName name="Z_D7AAD4C4_562F_11D3_97FE_00A0C9DF29C4_.wvu.PrintArea" hidden="1">#REF!</definedName>
    <definedName name="Z_D7AAD4C5_562F_11D3_97FE_00A0C9DF29C4_.wvu.PrintArea" hidden="1">#REF!</definedName>
    <definedName name="Z_D7AAD4C7_562F_11D3_97FE_00A0C9DF29C4_.wvu.PrintArea" hidden="1">#REF!</definedName>
    <definedName name="Z_D7AAD4C8_562F_11D3_97FE_00A0C9DF29C4_.wvu.PrintArea" hidden="1">#REF!</definedName>
    <definedName name="Z_D7AAD4C9_562F_11D3_97FE_00A0C9DF29C4_.wvu.PrintArea" hidden="1">#REF!</definedName>
    <definedName name="Z_D7AAD4CA_562F_11D3_97FE_00A0C9DF29C4_.wvu.PrintArea" hidden="1">#REF!</definedName>
    <definedName name="Z_D7AAD4CC_562F_11D3_97FE_00A0C9DF29C4_.wvu.PrintArea" hidden="1">#REF!</definedName>
    <definedName name="Z_D7AAD4CD_562F_11D3_97FE_00A0C9DF29C4_.wvu.PrintArea" hidden="1">#REF!</definedName>
    <definedName name="Z_D7AAD4CE_562F_11D3_97FE_00A0C9DF29C4_.wvu.PrintArea" hidden="1">#REF!</definedName>
    <definedName name="Z_D7AAD4CF_562F_11D3_97FE_00A0C9DF29C4_.wvu.PrintArea" hidden="1">#REF!</definedName>
    <definedName name="Z_D7AAD4D1_562F_11D3_97FE_00A0C9DF29C4_.wvu.PrintArea" hidden="1">#REF!</definedName>
    <definedName name="Z_D7AAD4D2_562F_11D3_97FE_00A0C9DF29C4_.wvu.PrintArea" hidden="1">#REF!</definedName>
    <definedName name="Z_DC61789C_03B0_11D3_88AD_0080C84A5D47_.wvu.PrintArea" hidden="1">#REF!</definedName>
    <definedName name="Z_DC61789E_03B0_11D3_88AD_0080C84A5D47_.wvu.PrintArea" hidden="1">#REF!</definedName>
    <definedName name="Z_DC61789F_03B0_11D3_88AD_0080C84A5D47_.wvu.PrintArea" hidden="1">#REF!</definedName>
    <definedName name="Z_DC6178A0_03B0_11D3_88AD_0080C84A5D47_.wvu.PrintArea" hidden="1">#REF!</definedName>
    <definedName name="Z_DC6178A2_03B0_11D3_88AD_0080C84A5D47_.wvu.PrintArea" hidden="1">#REF!</definedName>
    <definedName name="Z_DC6178A3_03B0_11D3_88AD_0080C84A5D47_.wvu.PrintArea" hidden="1">#REF!</definedName>
    <definedName name="Z_DC6178A4_03B0_11D3_88AD_0080C84A5D47_.wvu.PrintArea" hidden="1">#REF!</definedName>
    <definedName name="Z_DC6178A6_03B0_11D3_88AD_0080C84A5D47_.wvu.PrintArea" hidden="1">#REF!</definedName>
    <definedName name="Z_DC6178A7_03B0_11D3_88AD_0080C84A5D47_.wvu.PrintArea" hidden="1">#REF!</definedName>
    <definedName name="Z_DC6178A9_03B0_11D3_88AD_0080C84A5D47_.wvu.PrintArea" hidden="1">#REF!</definedName>
    <definedName name="Z_DC6178AB_03B0_11D3_88AD_0080C84A5D47_.wvu.PrintArea" hidden="1">#REF!</definedName>
    <definedName name="Z_DC6178AC_03B0_11D3_88AD_0080C84A5D47_.wvu.PrintArea" hidden="1">#REF!</definedName>
    <definedName name="Z_DC6178AD_03B0_11D3_88AD_0080C84A5D47_.wvu.PrintArea" hidden="1">#REF!</definedName>
    <definedName name="Z_DC6178AF_03B0_11D3_88AD_0080C84A5D47_.wvu.PrintArea" hidden="1">#REF!</definedName>
    <definedName name="Z_DC6178B0_03B0_11D3_88AD_0080C84A5D47_.wvu.PrintArea" hidden="1">#REF!</definedName>
    <definedName name="Z_DC6178B1_03B0_11D3_88AD_0080C84A5D47_.wvu.PrintArea" hidden="1">#REF!</definedName>
    <definedName name="Z_DC6178B3_03B0_11D3_88AD_0080C84A5D47_.wvu.PrintArea" hidden="1">#REF!</definedName>
    <definedName name="Z_DC6178B4_03B0_11D3_88AD_0080C84A5D47_.wvu.PrintArea" hidden="1">#REF!</definedName>
    <definedName name="Z_DDB19300_2316_11D3_9DA0_00A0C9DF29FD_.wvu.PrintArea" hidden="1">#REF!</definedName>
    <definedName name="Z_DDB19301_2316_11D3_9DA0_00A0C9DF29FD_.wvu.PrintArea" hidden="1">#REF!</definedName>
    <definedName name="Z_DDB19303_2316_11D3_9DA0_00A0C9DF29FD_.wvu.PrintArea" hidden="1">#REF!</definedName>
    <definedName name="Z_DDB19304_2316_11D3_9DA0_00A0C9DF29FD_.wvu.PrintArea" hidden="1">#REF!</definedName>
    <definedName name="Z_DDB19305_2316_11D3_9DA0_00A0C9DF29FD_.wvu.PrintArea" hidden="1">#REF!</definedName>
    <definedName name="Z_DDB19306_2316_11D3_9DA0_00A0C9DF29FD_.wvu.PrintArea" hidden="1">#REF!</definedName>
    <definedName name="Z_DDB19308_2316_11D3_9DA0_00A0C9DF29FD_.wvu.PrintArea" hidden="1">#REF!</definedName>
    <definedName name="Z_DDB19309_2316_11D3_9DA0_00A0C9DF29FD_.wvu.PrintArea" hidden="1">#REF!</definedName>
    <definedName name="Z_DDB1930A_2316_11D3_9DA0_00A0C9DF29FD_.wvu.PrintArea" hidden="1">#REF!</definedName>
    <definedName name="Z_DDB1930B_2316_11D3_9DA0_00A0C9DF29FD_.wvu.PrintArea" hidden="1">#REF!</definedName>
    <definedName name="Z_DDB1930D_2316_11D3_9DA0_00A0C9DF29FD_.wvu.PrintArea" hidden="1">#REF!</definedName>
    <definedName name="Z_DDB1930E_2316_11D3_9DA0_00A0C9DF29FD_.wvu.PrintArea" hidden="1">#REF!</definedName>
    <definedName name="Z_DDB19310_2316_11D3_9DA0_00A0C9DF29FD_.wvu.PrintArea" hidden="1">#REF!</definedName>
    <definedName name="Z_DDB19311_2316_11D3_9DA0_00A0C9DF29FD_.wvu.PrintArea" hidden="1">#REF!</definedName>
    <definedName name="Z_DDB19313_2316_11D3_9DA0_00A0C9DF29FD_.wvu.PrintArea" hidden="1">#REF!</definedName>
    <definedName name="Z_DDB19314_2316_11D3_9DA0_00A0C9DF29FD_.wvu.PrintArea" hidden="1">#REF!</definedName>
    <definedName name="Z_DDB19315_2316_11D3_9DA0_00A0C9DF29FD_.wvu.PrintArea" hidden="1">#REF!</definedName>
    <definedName name="Z_DDB19316_2316_11D3_9DA0_00A0C9DF29FD_.wvu.PrintArea" hidden="1">#REF!</definedName>
    <definedName name="Z_DDB19318_2316_11D3_9DA0_00A0C9DF29FD_.wvu.PrintArea" hidden="1">#REF!</definedName>
    <definedName name="Z_DDB19319_2316_11D3_9DA0_00A0C9DF29FD_.wvu.PrintArea" hidden="1">#REF!</definedName>
    <definedName name="Z_DDB1931A_2316_11D3_9DA0_00A0C9DF29FD_.wvu.PrintArea" hidden="1">#REF!</definedName>
    <definedName name="Z_DDB1931B_2316_11D3_9DA0_00A0C9DF29FD_.wvu.PrintArea" hidden="1">#REF!</definedName>
    <definedName name="Z_DDB1931D_2316_11D3_9DA0_00A0C9DF29FD_.wvu.PrintArea" hidden="1">#REF!</definedName>
    <definedName name="Z_DDB1931E_2316_11D3_9DA0_00A0C9DF29FD_.wvu.PrintArea" hidden="1">#REF!</definedName>
    <definedName name="Z_DDB1932D_2316_11D3_9DA0_00A0C9DF29FD_.wvu.PrintArea" hidden="1">#REF!</definedName>
    <definedName name="Z_DDB1932E_2316_11D3_9DA0_00A0C9DF29FD_.wvu.PrintArea" hidden="1">#REF!</definedName>
    <definedName name="Z_DDB19330_2316_11D3_9DA0_00A0C9DF29FD_.wvu.PrintArea" hidden="1">#REF!</definedName>
    <definedName name="Z_DDB19331_2316_11D3_9DA0_00A0C9DF29FD_.wvu.PrintArea" hidden="1">#REF!</definedName>
    <definedName name="Z_DDB19332_2316_11D3_9DA0_00A0C9DF29FD_.wvu.PrintArea" hidden="1">#REF!</definedName>
    <definedName name="Z_DDB19333_2316_11D3_9DA0_00A0C9DF29FD_.wvu.PrintArea" hidden="1">#REF!</definedName>
    <definedName name="Z_DDB19335_2316_11D3_9DA0_00A0C9DF29FD_.wvu.PrintArea" hidden="1">#REF!</definedName>
    <definedName name="Z_DDB19336_2316_11D3_9DA0_00A0C9DF29FD_.wvu.PrintArea" hidden="1">#REF!</definedName>
    <definedName name="Z_DDB19337_2316_11D3_9DA0_00A0C9DF29FD_.wvu.PrintArea" hidden="1">#REF!</definedName>
    <definedName name="Z_DDB19338_2316_11D3_9DA0_00A0C9DF29FD_.wvu.PrintArea" hidden="1">#REF!</definedName>
    <definedName name="Z_DDB1933A_2316_11D3_9DA0_00A0C9DF29FD_.wvu.PrintArea" hidden="1">#REF!</definedName>
    <definedName name="Z_DDB1933B_2316_11D3_9DA0_00A0C9DF29FD_.wvu.PrintArea" hidden="1">#REF!</definedName>
    <definedName name="Z_DDB1933D_2316_11D3_9DA0_00A0C9DF29FD_.wvu.PrintArea" hidden="1">#REF!</definedName>
    <definedName name="Z_DDB1933E_2316_11D3_9DA0_00A0C9DF29FD_.wvu.PrintArea" hidden="1">#REF!</definedName>
    <definedName name="Z_DDB19340_2316_11D3_9DA0_00A0C9DF29FD_.wvu.PrintArea" hidden="1">#REF!</definedName>
    <definedName name="Z_DDB19341_2316_11D3_9DA0_00A0C9DF29FD_.wvu.PrintArea" hidden="1">#REF!</definedName>
    <definedName name="Z_DDB19342_2316_11D3_9DA0_00A0C9DF29FD_.wvu.PrintArea" hidden="1">#REF!</definedName>
    <definedName name="Z_DDB19343_2316_11D3_9DA0_00A0C9DF29FD_.wvu.PrintArea" hidden="1">#REF!</definedName>
    <definedName name="Z_DDB19345_2316_11D3_9DA0_00A0C9DF29FD_.wvu.PrintArea" hidden="1">#REF!</definedName>
    <definedName name="Z_DDB19346_2316_11D3_9DA0_00A0C9DF29FD_.wvu.PrintArea" hidden="1">#REF!</definedName>
    <definedName name="Z_DDB19347_2316_11D3_9DA0_00A0C9DF29FD_.wvu.PrintArea" hidden="1">#REF!</definedName>
    <definedName name="Z_DDB19348_2316_11D3_9DA0_00A0C9DF29FD_.wvu.PrintArea" hidden="1">#REF!</definedName>
    <definedName name="Z_DDB1934A_2316_11D3_9DA0_00A0C9DF29FD_.wvu.PrintArea" hidden="1">#REF!</definedName>
    <definedName name="Z_DDB1934B_2316_11D3_9DA0_00A0C9DF29FD_.wvu.PrintArea" hidden="1">#REF!</definedName>
    <definedName name="Z_DDB19355_2316_11D3_9DA0_00A0C9DF29FD_.wvu.PrintArea" hidden="1">#REF!</definedName>
    <definedName name="Z_DDB19356_2316_11D3_9DA0_00A0C9DF29FD_.wvu.PrintArea" hidden="1">#REF!</definedName>
    <definedName name="Z_DDB19358_2316_11D3_9DA0_00A0C9DF29FD_.wvu.PrintArea" hidden="1">#REF!</definedName>
    <definedName name="Z_DDB19359_2316_11D3_9DA0_00A0C9DF29FD_.wvu.PrintArea" hidden="1">#REF!</definedName>
    <definedName name="Z_DDB1935A_2316_11D3_9DA0_00A0C9DF29FD_.wvu.PrintArea" hidden="1">#REF!</definedName>
    <definedName name="Z_DDB1935B_2316_11D3_9DA0_00A0C9DF29FD_.wvu.PrintArea" hidden="1">#REF!</definedName>
    <definedName name="Z_DDB1935D_2316_11D3_9DA0_00A0C9DF29FD_.wvu.PrintArea" hidden="1">#REF!</definedName>
    <definedName name="Z_DDB1935E_2316_11D3_9DA0_00A0C9DF29FD_.wvu.PrintArea" hidden="1">#REF!</definedName>
    <definedName name="Z_DDB1935F_2316_11D3_9DA0_00A0C9DF29FD_.wvu.PrintArea" hidden="1">#REF!</definedName>
    <definedName name="Z_DDB19360_2316_11D3_9DA0_00A0C9DF29FD_.wvu.PrintArea" hidden="1">#REF!</definedName>
    <definedName name="Z_DDB19362_2316_11D3_9DA0_00A0C9DF29FD_.wvu.PrintArea" hidden="1">#REF!</definedName>
    <definedName name="Z_DDB19363_2316_11D3_9DA0_00A0C9DF29FD_.wvu.PrintArea" hidden="1">#REF!</definedName>
    <definedName name="Z_DDB19365_2316_11D3_9DA0_00A0C9DF29FD_.wvu.PrintArea" hidden="1">#REF!</definedName>
    <definedName name="Z_DDB19366_2316_11D3_9DA0_00A0C9DF29FD_.wvu.PrintArea" hidden="1">#REF!</definedName>
    <definedName name="Z_DDB19368_2316_11D3_9DA0_00A0C9DF29FD_.wvu.PrintArea" hidden="1">#REF!</definedName>
    <definedName name="Z_DDB19369_2316_11D3_9DA0_00A0C9DF29FD_.wvu.PrintArea" hidden="1">#REF!</definedName>
    <definedName name="Z_DDB1936A_2316_11D3_9DA0_00A0C9DF29FD_.wvu.PrintArea" hidden="1">#REF!</definedName>
    <definedName name="Z_DDB1936B_2316_11D3_9DA0_00A0C9DF29FD_.wvu.PrintArea" hidden="1">#REF!</definedName>
    <definedName name="Z_DDB1936D_2316_11D3_9DA0_00A0C9DF29FD_.wvu.PrintArea" hidden="1">#REF!</definedName>
    <definedName name="Z_DDB1936E_2316_11D3_9DA0_00A0C9DF29FD_.wvu.PrintArea" hidden="1">#REF!</definedName>
    <definedName name="Z_DDB1936F_2316_11D3_9DA0_00A0C9DF29FD_.wvu.PrintArea" hidden="1">#REF!</definedName>
    <definedName name="Z_DDB19370_2316_11D3_9DA0_00A0C9DF29FD_.wvu.PrintArea" hidden="1">#REF!</definedName>
    <definedName name="Z_DDB19372_2316_11D3_9DA0_00A0C9DF29FD_.wvu.PrintArea" hidden="1">#REF!</definedName>
    <definedName name="Z_DDB19373_2316_11D3_9DA0_00A0C9DF29FD_.wvu.PrintArea" hidden="1">#REF!</definedName>
    <definedName name="Z_DF4E112B_079B_11D3_88AD_0080C84A5D47_.wvu.PrintArea" hidden="1">#REF!</definedName>
    <definedName name="Z_DF4E112C_079B_11D3_88AD_0080C84A5D47_.wvu.PrintArea" hidden="1">#REF!</definedName>
    <definedName name="Z_DF4E112E_079B_11D3_88AD_0080C84A5D47_.wvu.PrintArea" hidden="1">#REF!</definedName>
    <definedName name="Z_DF4E112F_079B_11D3_88AD_0080C84A5D47_.wvu.PrintArea" hidden="1">#REF!</definedName>
    <definedName name="Z_DF4E1130_079B_11D3_88AD_0080C84A5D47_.wvu.PrintArea" hidden="1">#REF!</definedName>
    <definedName name="Z_DF4E1131_079B_11D3_88AD_0080C84A5D47_.wvu.PrintArea" hidden="1">#REF!</definedName>
    <definedName name="Z_DF4E1133_079B_11D3_88AD_0080C84A5D47_.wvu.PrintArea" hidden="1">#REF!</definedName>
    <definedName name="Z_DF4E1134_079B_11D3_88AD_0080C84A5D47_.wvu.PrintArea" hidden="1">#REF!</definedName>
    <definedName name="Z_DF4E1135_079B_11D3_88AD_0080C84A5D47_.wvu.PrintArea" hidden="1">#REF!</definedName>
    <definedName name="Z_DF4E1136_079B_11D3_88AD_0080C84A5D47_.wvu.PrintArea" hidden="1">#REF!</definedName>
    <definedName name="Z_DF4E1138_079B_11D3_88AD_0080C84A5D47_.wvu.PrintArea" hidden="1">#REF!</definedName>
    <definedName name="Z_DF4E1139_079B_11D3_88AD_0080C84A5D47_.wvu.PrintArea" hidden="1">#REF!</definedName>
    <definedName name="Z_DF4E113B_079B_11D3_88AD_0080C84A5D47_.wvu.PrintArea" hidden="1">#REF!</definedName>
    <definedName name="Z_DF4E113C_079B_11D3_88AD_0080C84A5D47_.wvu.PrintArea" hidden="1">#REF!</definedName>
    <definedName name="Z_DF4E113E_079B_11D3_88AD_0080C84A5D47_.wvu.PrintArea" hidden="1">#REF!</definedName>
    <definedName name="Z_DF4E113F_079B_11D3_88AD_0080C84A5D47_.wvu.PrintArea" hidden="1">#REF!</definedName>
    <definedName name="Z_DF4E1140_079B_11D3_88AD_0080C84A5D47_.wvu.PrintArea" hidden="1">#REF!</definedName>
    <definedName name="Z_DF4E1141_079B_11D3_88AD_0080C84A5D47_.wvu.PrintArea" hidden="1">#REF!</definedName>
    <definedName name="Z_DF4E1143_079B_11D3_88AD_0080C84A5D47_.wvu.PrintArea" hidden="1">#REF!</definedName>
    <definedName name="Z_DF4E1144_079B_11D3_88AD_0080C84A5D47_.wvu.PrintArea" hidden="1">#REF!</definedName>
    <definedName name="Z_DF4E1145_079B_11D3_88AD_0080C84A5D47_.wvu.PrintArea" hidden="1">#REF!</definedName>
    <definedName name="Z_DF4E1146_079B_11D3_88AD_0080C84A5D47_.wvu.PrintArea" hidden="1">#REF!</definedName>
    <definedName name="Z_DF4E1148_079B_11D3_88AD_0080C84A5D47_.wvu.PrintArea" hidden="1">#REF!</definedName>
    <definedName name="Z_DF4E1149_079B_11D3_88AD_0080C84A5D47_.wvu.PrintArea" hidden="1">#REF!</definedName>
    <definedName name="Z_E0C0E4FB_6A98_11D3_857C_00A0C9DF1035_.wvu.PrintArea" hidden="1">#REF!</definedName>
    <definedName name="Z_E0C0E4FC_6A98_11D3_857C_00A0C9DF1035_.wvu.PrintArea" hidden="1">#REF!</definedName>
    <definedName name="Z_E0C0E4FE_6A98_11D3_857C_00A0C9DF1035_.wvu.PrintArea" hidden="1">#REF!</definedName>
    <definedName name="Z_E0C0E4FF_6A98_11D3_857C_00A0C9DF1035_.wvu.PrintArea" hidden="1">#REF!</definedName>
    <definedName name="Z_E0C0E500_6A98_11D3_857C_00A0C9DF1035_.wvu.PrintArea" hidden="1">#REF!</definedName>
    <definedName name="Z_E0C0E501_6A98_11D3_857C_00A0C9DF1035_.wvu.PrintArea" hidden="1">#REF!</definedName>
    <definedName name="Z_E0C0E503_6A98_11D3_857C_00A0C9DF1035_.wvu.PrintArea" hidden="1">#REF!</definedName>
    <definedName name="Z_E0C0E504_6A98_11D3_857C_00A0C9DF1035_.wvu.PrintArea" hidden="1">#REF!</definedName>
    <definedName name="Z_E0C0E505_6A98_11D3_857C_00A0C9DF1035_.wvu.PrintArea" hidden="1">#REF!</definedName>
    <definedName name="Z_E0C0E506_6A98_11D3_857C_00A0C9DF1035_.wvu.PrintArea" hidden="1">#REF!</definedName>
    <definedName name="Z_E0C0E508_6A98_11D3_857C_00A0C9DF1035_.wvu.PrintArea" hidden="1">#REF!</definedName>
    <definedName name="Z_E0C0E509_6A98_11D3_857C_00A0C9DF1035_.wvu.PrintArea" hidden="1">#REF!</definedName>
    <definedName name="Z_E0C0E50B_6A98_11D3_857C_00A0C9DF1035_.wvu.PrintArea" hidden="1">#REF!</definedName>
    <definedName name="Z_E0C0E50C_6A98_11D3_857C_00A0C9DF1035_.wvu.PrintArea" hidden="1">#REF!</definedName>
    <definedName name="Z_E0C0E50E_6A98_11D3_857C_00A0C9DF1035_.wvu.PrintArea" hidden="1">#REF!</definedName>
    <definedName name="Z_E0C0E50F_6A98_11D3_857C_00A0C9DF1035_.wvu.PrintArea" hidden="1">#REF!</definedName>
    <definedName name="Z_E0C0E510_6A98_11D3_857C_00A0C9DF1035_.wvu.PrintArea" hidden="1">#REF!</definedName>
    <definedName name="Z_E0C0E511_6A98_11D3_857C_00A0C9DF1035_.wvu.PrintArea" hidden="1">#REF!</definedName>
    <definedName name="Z_E0C0E513_6A98_11D3_857C_00A0C9DF1035_.wvu.PrintArea" hidden="1">#REF!</definedName>
    <definedName name="Z_E0C0E514_6A98_11D3_857C_00A0C9DF1035_.wvu.PrintArea" hidden="1">#REF!</definedName>
    <definedName name="Z_E0C0E515_6A98_11D3_857C_00A0C9DF1035_.wvu.PrintArea" hidden="1">#REF!</definedName>
    <definedName name="Z_E0C0E516_6A98_11D3_857C_00A0C9DF1035_.wvu.PrintArea" hidden="1">#REF!</definedName>
    <definedName name="Z_E0C0E518_6A98_11D3_857C_00A0C9DF1035_.wvu.PrintArea" hidden="1">#REF!</definedName>
    <definedName name="Z_E0C0E519_6A98_11D3_857C_00A0C9DF1035_.wvu.PrintArea" hidden="1">#REF!</definedName>
    <definedName name="Z_E3339D5D_3855_11D3_8575_00A0C9DF1035_.wvu.PrintArea" hidden="1">#REF!</definedName>
    <definedName name="Z_E3339D5E_3855_11D3_8575_00A0C9DF1035_.wvu.PrintArea" hidden="1">#REF!</definedName>
    <definedName name="Z_E3339D60_3855_11D3_8575_00A0C9DF1035_.wvu.PrintArea" hidden="1">#REF!</definedName>
    <definedName name="Z_E3339D61_3855_11D3_8575_00A0C9DF1035_.wvu.PrintArea" hidden="1">#REF!</definedName>
    <definedName name="Z_E3339D62_3855_11D3_8575_00A0C9DF1035_.wvu.PrintArea" hidden="1">#REF!</definedName>
    <definedName name="Z_E3339D63_3855_11D3_8575_00A0C9DF1035_.wvu.PrintArea" hidden="1">#REF!</definedName>
    <definedName name="Z_E3339D65_3855_11D3_8575_00A0C9DF1035_.wvu.PrintArea" hidden="1">#REF!</definedName>
    <definedName name="Z_E3339D66_3855_11D3_8575_00A0C9DF1035_.wvu.PrintArea" hidden="1">#REF!</definedName>
    <definedName name="Z_E3339D67_3855_11D3_8575_00A0C9DF1035_.wvu.PrintArea" hidden="1">#REF!</definedName>
    <definedName name="Z_E3339D68_3855_11D3_8575_00A0C9DF1035_.wvu.PrintArea" hidden="1">#REF!</definedName>
    <definedName name="Z_E3339D6A_3855_11D3_8575_00A0C9DF1035_.wvu.PrintArea" hidden="1">#REF!</definedName>
    <definedName name="Z_E3339D6B_3855_11D3_8575_00A0C9DF1035_.wvu.PrintArea" hidden="1">#REF!</definedName>
    <definedName name="Z_E3339D6D_3855_11D3_8575_00A0C9DF1035_.wvu.PrintArea" hidden="1">#REF!</definedName>
    <definedName name="Z_E3339D6E_3855_11D3_8575_00A0C9DF1035_.wvu.PrintArea" hidden="1">#REF!</definedName>
    <definedName name="Z_E3339D70_3855_11D3_8575_00A0C9DF1035_.wvu.PrintArea" hidden="1">#REF!</definedName>
    <definedName name="Z_E3339D71_3855_11D3_8575_00A0C9DF1035_.wvu.PrintArea" hidden="1">#REF!</definedName>
    <definedName name="Z_E3339D72_3855_11D3_8575_00A0C9DF1035_.wvu.PrintArea" hidden="1">#REF!</definedName>
    <definedName name="Z_E3339D73_3855_11D3_8575_00A0C9DF1035_.wvu.PrintArea" hidden="1">#REF!</definedName>
    <definedName name="Z_E3339D75_3855_11D3_8575_00A0C9DF1035_.wvu.PrintArea" hidden="1">#REF!</definedName>
    <definedName name="Z_E3339D76_3855_11D3_8575_00A0C9DF1035_.wvu.PrintArea" hidden="1">#REF!</definedName>
    <definedName name="Z_E3339D77_3855_11D3_8575_00A0C9DF1035_.wvu.PrintArea" hidden="1">#REF!</definedName>
    <definedName name="Z_E3339D78_3855_11D3_8575_00A0C9DF1035_.wvu.PrintArea" hidden="1">#REF!</definedName>
    <definedName name="Z_E3339D7A_3855_11D3_8575_00A0C9DF1035_.wvu.PrintArea" hidden="1">#REF!</definedName>
    <definedName name="Z_E3339D7B_3855_11D3_8575_00A0C9DF1035_.wvu.PrintArea" hidden="1">#REF!</definedName>
    <definedName name="Z_E3381B9F_39E1_11D3_97FE_00A0C9DF29C4_.wvu.PrintArea" hidden="1">#REF!</definedName>
    <definedName name="Z_E3381BA0_39E1_11D3_97FE_00A0C9DF29C4_.wvu.PrintArea" hidden="1">#REF!</definedName>
    <definedName name="Z_E3381BA2_39E1_11D3_97FE_00A0C9DF29C4_.wvu.PrintArea" hidden="1">#REF!</definedName>
    <definedName name="Z_E3381BA3_39E1_11D3_97FE_00A0C9DF29C4_.wvu.PrintArea" hidden="1">#REF!</definedName>
    <definedName name="Z_E3381BA4_39E1_11D3_97FE_00A0C9DF29C4_.wvu.PrintArea" hidden="1">#REF!</definedName>
    <definedName name="Z_E3381BA5_39E1_11D3_97FE_00A0C9DF29C4_.wvu.PrintArea" hidden="1">#REF!</definedName>
    <definedName name="Z_E3381BA7_39E1_11D3_97FE_00A0C9DF29C4_.wvu.PrintArea" hidden="1">#REF!</definedName>
    <definedName name="Z_E3381BA8_39E1_11D3_97FE_00A0C9DF29C4_.wvu.PrintArea" hidden="1">#REF!</definedName>
    <definedName name="Z_E3381BA9_39E1_11D3_97FE_00A0C9DF29C4_.wvu.PrintArea" hidden="1">#REF!</definedName>
    <definedName name="Z_E3381BAA_39E1_11D3_97FE_00A0C9DF29C4_.wvu.PrintArea" hidden="1">#REF!</definedName>
    <definedName name="Z_E3381BAC_39E1_11D3_97FE_00A0C9DF29C4_.wvu.PrintArea" hidden="1">#REF!</definedName>
    <definedName name="Z_E3381BAD_39E1_11D3_97FE_00A0C9DF29C4_.wvu.PrintArea" hidden="1">#REF!</definedName>
    <definedName name="Z_E3381BAF_39E1_11D3_97FE_00A0C9DF29C4_.wvu.PrintArea" hidden="1">#REF!</definedName>
    <definedName name="Z_E3381BB0_39E1_11D3_97FE_00A0C9DF29C4_.wvu.PrintArea" hidden="1">#REF!</definedName>
    <definedName name="Z_E3381BB2_39E1_11D3_97FE_00A0C9DF29C4_.wvu.PrintArea" hidden="1">#REF!</definedName>
    <definedName name="Z_E3381BB3_39E1_11D3_97FE_00A0C9DF29C4_.wvu.PrintArea" hidden="1">#REF!</definedName>
    <definedName name="Z_E3381BB4_39E1_11D3_97FE_00A0C9DF29C4_.wvu.PrintArea" hidden="1">#REF!</definedName>
    <definedName name="Z_E3381BB5_39E1_11D3_97FE_00A0C9DF29C4_.wvu.PrintArea" hidden="1">#REF!</definedName>
    <definedName name="Z_E3381BB7_39E1_11D3_97FE_00A0C9DF29C4_.wvu.PrintArea" hidden="1">#REF!</definedName>
    <definedName name="Z_E3381BB8_39E1_11D3_97FE_00A0C9DF29C4_.wvu.PrintArea" hidden="1">#REF!</definedName>
    <definedName name="Z_E3381BB9_39E1_11D3_97FE_00A0C9DF29C4_.wvu.PrintArea" hidden="1">#REF!</definedName>
    <definedName name="Z_E3381BBA_39E1_11D3_97FE_00A0C9DF29C4_.wvu.PrintArea" hidden="1">#REF!</definedName>
    <definedName name="Z_E3381BBC_39E1_11D3_97FE_00A0C9DF29C4_.wvu.PrintArea" hidden="1">#REF!</definedName>
    <definedName name="Z_E3381BBD_39E1_11D3_97FE_00A0C9DF29C4_.wvu.PrintArea" hidden="1">#REF!</definedName>
    <definedName name="Z_E359ABDC_4366_11D3_8575_00A0C9DF1035_.wvu.PrintArea" hidden="1">#REF!</definedName>
    <definedName name="Z_E359ABDD_4366_11D3_8575_00A0C9DF1035_.wvu.PrintArea" hidden="1">#REF!</definedName>
    <definedName name="Z_E359ABDF_4366_11D3_8575_00A0C9DF1035_.wvu.PrintArea" hidden="1">#REF!</definedName>
    <definedName name="Z_E359ABE0_4366_11D3_8575_00A0C9DF1035_.wvu.PrintArea" hidden="1">#REF!</definedName>
    <definedName name="Z_E359ABE1_4366_11D3_8575_00A0C9DF1035_.wvu.PrintArea" hidden="1">#REF!</definedName>
    <definedName name="Z_E359ABE2_4366_11D3_8575_00A0C9DF1035_.wvu.PrintArea" hidden="1">#REF!</definedName>
    <definedName name="Z_E359ABE4_4366_11D3_8575_00A0C9DF1035_.wvu.PrintArea" hidden="1">#REF!</definedName>
    <definedName name="Z_E359ABE5_4366_11D3_8575_00A0C9DF1035_.wvu.PrintArea" hidden="1">#REF!</definedName>
    <definedName name="Z_E359ABE6_4366_11D3_8575_00A0C9DF1035_.wvu.PrintArea" hidden="1">#REF!</definedName>
    <definedName name="Z_E359ABE7_4366_11D3_8575_00A0C9DF1035_.wvu.PrintArea" hidden="1">#REF!</definedName>
    <definedName name="Z_E359ABE9_4366_11D3_8575_00A0C9DF1035_.wvu.PrintArea" hidden="1">#REF!</definedName>
    <definedName name="Z_E359ABEA_4366_11D3_8575_00A0C9DF1035_.wvu.PrintArea" hidden="1">#REF!</definedName>
    <definedName name="Z_E359ABEC_4366_11D3_8575_00A0C9DF1035_.wvu.PrintArea" hidden="1">#REF!</definedName>
    <definedName name="Z_E359ABED_4366_11D3_8575_00A0C9DF1035_.wvu.PrintArea" hidden="1">#REF!</definedName>
    <definedName name="Z_E359ABEF_4366_11D3_8575_00A0C9DF1035_.wvu.PrintArea" hidden="1">#REF!</definedName>
    <definedName name="Z_E359ABF0_4366_11D3_8575_00A0C9DF1035_.wvu.PrintArea" hidden="1">#REF!</definedName>
    <definedName name="Z_E359ABF1_4366_11D3_8575_00A0C9DF1035_.wvu.PrintArea" hidden="1">#REF!</definedName>
    <definedName name="Z_E359ABF2_4366_11D3_8575_00A0C9DF1035_.wvu.PrintArea" hidden="1">#REF!</definedName>
    <definedName name="Z_E359ABF4_4366_11D3_8575_00A0C9DF1035_.wvu.PrintArea" hidden="1">#REF!</definedName>
    <definedName name="Z_E359ABF5_4366_11D3_8575_00A0C9DF1035_.wvu.PrintArea" hidden="1">#REF!</definedName>
    <definedName name="Z_E359ABF6_4366_11D3_8575_00A0C9DF1035_.wvu.PrintArea" hidden="1">#REF!</definedName>
    <definedName name="Z_E359ABF7_4366_11D3_8575_00A0C9DF1035_.wvu.PrintArea" hidden="1">#REF!</definedName>
    <definedName name="Z_E359ABF9_4366_11D3_8575_00A0C9DF1035_.wvu.PrintArea" hidden="1">#REF!</definedName>
    <definedName name="Z_E359ABFA_4366_11D3_8575_00A0C9DF1035_.wvu.PrintArea" hidden="1">#REF!</definedName>
    <definedName name="Z_E84C5E09_352A_11D3_97FE_00A0C9DF29C4_.wvu.PrintArea" hidden="1">#REF!</definedName>
    <definedName name="Z_E84C5E0A_352A_11D3_97FE_00A0C9DF29C4_.wvu.PrintArea" hidden="1">#REF!</definedName>
    <definedName name="Z_E84C5E0C_352A_11D3_97FE_00A0C9DF29C4_.wvu.PrintArea" hidden="1">#REF!</definedName>
    <definedName name="Z_E84C5E0D_352A_11D3_97FE_00A0C9DF29C4_.wvu.PrintArea" hidden="1">#REF!</definedName>
    <definedName name="Z_E84C5E0E_352A_11D3_97FE_00A0C9DF29C4_.wvu.PrintArea" hidden="1">#REF!</definedName>
    <definedName name="Z_E84C5E0F_352A_11D3_97FE_00A0C9DF29C4_.wvu.PrintArea" hidden="1">#REF!</definedName>
    <definedName name="Z_E84C5E11_352A_11D3_97FE_00A0C9DF29C4_.wvu.PrintArea" hidden="1">#REF!</definedName>
    <definedName name="Z_E84C5E12_352A_11D3_97FE_00A0C9DF29C4_.wvu.PrintArea" hidden="1">#REF!</definedName>
    <definedName name="Z_E84C5E13_352A_11D3_97FE_00A0C9DF29C4_.wvu.PrintArea" hidden="1">#REF!</definedName>
    <definedName name="Z_E84C5E14_352A_11D3_97FE_00A0C9DF29C4_.wvu.PrintArea" hidden="1">#REF!</definedName>
    <definedName name="Z_E84C5E16_352A_11D3_97FE_00A0C9DF29C4_.wvu.PrintArea" hidden="1">#REF!</definedName>
    <definedName name="Z_E84C5E17_352A_11D3_97FE_00A0C9DF29C4_.wvu.PrintArea" hidden="1">#REF!</definedName>
    <definedName name="Z_E84C5E19_352A_11D3_97FE_00A0C9DF29C4_.wvu.PrintArea" hidden="1">#REF!</definedName>
    <definedName name="Z_E84C5E1A_352A_11D3_97FE_00A0C9DF29C4_.wvu.PrintArea" hidden="1">#REF!</definedName>
    <definedName name="Z_E84C5E1C_352A_11D3_97FE_00A0C9DF29C4_.wvu.PrintArea" hidden="1">#REF!</definedName>
    <definedName name="Z_E84C5E1D_352A_11D3_97FE_00A0C9DF29C4_.wvu.PrintArea" hidden="1">#REF!</definedName>
    <definedName name="Z_E84C5E1E_352A_11D3_97FE_00A0C9DF29C4_.wvu.PrintArea" hidden="1">#REF!</definedName>
    <definedName name="Z_E84C5E1F_352A_11D3_97FE_00A0C9DF29C4_.wvu.PrintArea" hidden="1">#REF!</definedName>
    <definedName name="Z_E84C5E21_352A_11D3_97FE_00A0C9DF29C4_.wvu.PrintArea" hidden="1">#REF!</definedName>
    <definedName name="Z_E84C5E22_352A_11D3_97FE_00A0C9DF29C4_.wvu.PrintArea" hidden="1">#REF!</definedName>
    <definedName name="Z_E84C5E23_352A_11D3_97FE_00A0C9DF29C4_.wvu.PrintArea" hidden="1">#REF!</definedName>
    <definedName name="Z_E84C5E24_352A_11D3_97FE_00A0C9DF29C4_.wvu.PrintArea" hidden="1">#REF!</definedName>
    <definedName name="Z_E84C5E26_352A_11D3_97FE_00A0C9DF29C4_.wvu.PrintArea" hidden="1">#REF!</definedName>
    <definedName name="Z_E84C5E27_352A_11D3_97FE_00A0C9DF29C4_.wvu.PrintArea" hidden="1">#REF!</definedName>
    <definedName name="Z_EF3BA654_A7EF_11D3_980D_00A0C9DF29C4_.wvu.PrintArea" hidden="1">#REF!</definedName>
    <definedName name="Z_EF3BA655_A7EF_11D3_980D_00A0C9DF29C4_.wvu.PrintArea" hidden="1">#REF!</definedName>
    <definedName name="Z_EF3BA657_A7EF_11D3_980D_00A0C9DF29C4_.wvu.PrintArea" hidden="1">#REF!</definedName>
    <definedName name="Z_EF3BA658_A7EF_11D3_980D_00A0C9DF29C4_.wvu.PrintArea" hidden="1">#REF!</definedName>
    <definedName name="Z_EF3BA659_A7EF_11D3_980D_00A0C9DF29C4_.wvu.PrintArea" hidden="1">#REF!</definedName>
    <definedName name="Z_EF3BA65A_A7EF_11D3_980D_00A0C9DF29C4_.wvu.PrintArea" hidden="1">#REF!</definedName>
    <definedName name="Z_EF3BA65C_A7EF_11D3_980D_00A0C9DF29C4_.wvu.PrintArea" hidden="1">#REF!</definedName>
    <definedName name="Z_EF3BA65D_A7EF_11D3_980D_00A0C9DF29C4_.wvu.PrintArea" hidden="1">#REF!</definedName>
    <definedName name="Z_EF3BA65E_A7EF_11D3_980D_00A0C9DF29C4_.wvu.PrintArea" hidden="1">#REF!</definedName>
    <definedName name="Z_EF3BA65F_A7EF_11D3_980D_00A0C9DF29C4_.wvu.PrintArea" hidden="1">#REF!</definedName>
    <definedName name="Z_EF3BA661_A7EF_11D3_980D_00A0C9DF29C4_.wvu.PrintArea" hidden="1">#REF!</definedName>
    <definedName name="Z_EF3BA662_A7EF_11D3_980D_00A0C9DF29C4_.wvu.PrintArea" hidden="1">#REF!</definedName>
    <definedName name="Z_EF3BA664_A7EF_11D3_980D_00A0C9DF29C4_.wvu.PrintArea" hidden="1">#REF!</definedName>
    <definedName name="Z_EF3BA665_A7EF_11D3_980D_00A0C9DF29C4_.wvu.PrintArea" hidden="1">#REF!</definedName>
    <definedName name="Z_EF3BA667_A7EF_11D3_980D_00A0C9DF29C4_.wvu.PrintArea" hidden="1">#REF!</definedName>
    <definedName name="Z_EF3BA668_A7EF_11D3_980D_00A0C9DF29C4_.wvu.PrintArea" hidden="1">#REF!</definedName>
    <definedName name="Z_EF3BA669_A7EF_11D3_980D_00A0C9DF29C4_.wvu.PrintArea" hidden="1">#REF!</definedName>
    <definedName name="Z_EF3BA66A_A7EF_11D3_980D_00A0C9DF29C4_.wvu.PrintArea" hidden="1">#REF!</definedName>
    <definedName name="Z_EF3BA66C_A7EF_11D3_980D_00A0C9DF29C4_.wvu.PrintArea" hidden="1">#REF!</definedName>
    <definedName name="Z_EF3BA66D_A7EF_11D3_980D_00A0C9DF29C4_.wvu.PrintArea" hidden="1">#REF!</definedName>
    <definedName name="Z_EF3BA66E_A7EF_11D3_980D_00A0C9DF29C4_.wvu.PrintArea" hidden="1">#REF!</definedName>
    <definedName name="Z_EF3BA66F_A7EF_11D3_980D_00A0C9DF29C4_.wvu.PrintArea" hidden="1">#REF!</definedName>
    <definedName name="Z_EF3BA671_A7EF_11D3_980D_00A0C9DF29C4_.wvu.PrintArea" hidden="1">#REF!</definedName>
    <definedName name="Z_EF3BA672_A7EF_11D3_980D_00A0C9DF29C4_.wvu.PrintArea" hidden="1">#REF!</definedName>
    <definedName name="Z_F56C154B_3AB1_11D3_ABE7_00A0C9DF1063_.wvu.PrintArea" hidden="1">#REF!</definedName>
    <definedName name="Z_F56C154C_3AB1_11D3_ABE7_00A0C9DF1063_.wvu.PrintArea" hidden="1">#REF!</definedName>
    <definedName name="Z_F56C154E_3AB1_11D3_ABE7_00A0C9DF1063_.wvu.PrintArea" hidden="1">#REF!</definedName>
    <definedName name="Z_F56C154F_3AB1_11D3_ABE7_00A0C9DF1063_.wvu.PrintArea" hidden="1">#REF!</definedName>
    <definedName name="Z_F56C1550_3AB1_11D3_ABE7_00A0C9DF1063_.wvu.PrintArea" hidden="1">#REF!</definedName>
    <definedName name="Z_F56C1551_3AB1_11D3_ABE7_00A0C9DF1063_.wvu.PrintArea" hidden="1">#REF!</definedName>
    <definedName name="Z_F56C1553_3AB1_11D3_ABE7_00A0C9DF1063_.wvu.PrintArea" hidden="1">#REF!</definedName>
    <definedName name="Z_F56C1554_3AB1_11D3_ABE7_00A0C9DF1063_.wvu.PrintArea" hidden="1">#REF!</definedName>
    <definedName name="Z_F56C1555_3AB1_11D3_ABE7_00A0C9DF1063_.wvu.PrintArea" hidden="1">#REF!</definedName>
    <definedName name="Z_F56C1556_3AB1_11D3_ABE7_00A0C9DF1063_.wvu.PrintArea" hidden="1">#REF!</definedName>
    <definedName name="Z_F56C1558_3AB1_11D3_ABE7_00A0C9DF1063_.wvu.PrintArea" hidden="1">#REF!</definedName>
    <definedName name="Z_F56C1559_3AB1_11D3_ABE7_00A0C9DF1063_.wvu.PrintArea" hidden="1">#REF!</definedName>
    <definedName name="Z_F56C155B_3AB1_11D3_ABE7_00A0C9DF1063_.wvu.PrintArea" hidden="1">#REF!</definedName>
    <definedName name="Z_F56C155C_3AB1_11D3_ABE7_00A0C9DF1063_.wvu.PrintArea" hidden="1">#REF!</definedName>
    <definedName name="Z_F56C155E_3AB1_11D3_ABE7_00A0C9DF1063_.wvu.PrintArea" hidden="1">#REF!</definedName>
    <definedName name="Z_F56C155F_3AB1_11D3_ABE7_00A0C9DF1063_.wvu.PrintArea" hidden="1">#REF!</definedName>
    <definedName name="Z_F56C1560_3AB1_11D3_ABE7_00A0C9DF1063_.wvu.PrintArea" hidden="1">#REF!</definedName>
    <definedName name="Z_F56C1561_3AB1_11D3_ABE7_00A0C9DF1063_.wvu.PrintArea" hidden="1">#REF!</definedName>
    <definedName name="Z_F56C1563_3AB1_11D3_ABE7_00A0C9DF1063_.wvu.PrintArea" hidden="1">#REF!</definedName>
    <definedName name="Z_F56C1564_3AB1_11D3_ABE7_00A0C9DF1063_.wvu.PrintArea" hidden="1">#REF!</definedName>
    <definedName name="Z_F56C1565_3AB1_11D3_ABE7_00A0C9DF1063_.wvu.PrintArea" hidden="1">#REF!</definedName>
    <definedName name="Z_F56C1566_3AB1_11D3_ABE7_00A0C9DF1063_.wvu.PrintArea" hidden="1">#REF!</definedName>
    <definedName name="Z_F56C1568_3AB1_11D3_ABE7_00A0C9DF1063_.wvu.PrintArea" hidden="1">#REF!</definedName>
    <definedName name="Z_F56C1569_3AB1_11D3_ABE7_00A0C9DF1063_.wvu.PrintArea" hidden="1">#REF!</definedName>
    <definedName name="Z_F854DE9C_9E82_11D3_9DB2_00A0C9DF29FD_.wvu.PrintArea" hidden="1">#REF!</definedName>
    <definedName name="Z_F854DE9D_9E82_11D3_9DB2_00A0C9DF29FD_.wvu.PrintArea" hidden="1">#REF!</definedName>
    <definedName name="Z_F854DE9F_9E82_11D3_9DB2_00A0C9DF29FD_.wvu.PrintArea" hidden="1">#REF!</definedName>
    <definedName name="Z_F854DEA0_9E82_11D3_9DB2_00A0C9DF29FD_.wvu.PrintArea" hidden="1">#REF!</definedName>
    <definedName name="Z_F854DEA1_9E82_11D3_9DB2_00A0C9DF29FD_.wvu.PrintArea" hidden="1">#REF!</definedName>
    <definedName name="Z_F854DEA2_9E82_11D3_9DB2_00A0C9DF29FD_.wvu.PrintArea" hidden="1">#REF!</definedName>
    <definedName name="Z_F854DEA4_9E82_11D3_9DB2_00A0C9DF29FD_.wvu.PrintArea" hidden="1">#REF!</definedName>
    <definedName name="Z_F854DEA5_9E82_11D3_9DB2_00A0C9DF29FD_.wvu.PrintArea" hidden="1">#REF!</definedName>
    <definedName name="Z_F854DEA6_9E82_11D3_9DB2_00A0C9DF29FD_.wvu.PrintArea" hidden="1">#REF!</definedName>
    <definedName name="Z_F854DEA7_9E82_11D3_9DB2_00A0C9DF29FD_.wvu.PrintArea" hidden="1">#REF!</definedName>
    <definedName name="Z_F854DEA9_9E82_11D3_9DB2_00A0C9DF29FD_.wvu.PrintArea" hidden="1">#REF!</definedName>
    <definedName name="Z_F854DEAA_9E82_11D3_9DB2_00A0C9DF29FD_.wvu.PrintArea" hidden="1">#REF!</definedName>
    <definedName name="Z_F854DEAC_9E82_11D3_9DB2_00A0C9DF29FD_.wvu.PrintArea" hidden="1">#REF!</definedName>
    <definedName name="Z_F854DEAD_9E82_11D3_9DB2_00A0C9DF29FD_.wvu.PrintArea" hidden="1">#REF!</definedName>
    <definedName name="Z_F854DEAF_9E82_11D3_9DB2_00A0C9DF29FD_.wvu.PrintArea" hidden="1">#REF!</definedName>
    <definedName name="Z_F854DEB0_9E82_11D3_9DB2_00A0C9DF29FD_.wvu.PrintArea" hidden="1">#REF!</definedName>
    <definedName name="Z_F854DEB1_9E82_11D3_9DB2_00A0C9DF29FD_.wvu.PrintArea" hidden="1">#REF!</definedName>
    <definedName name="Z_F854DEB2_9E82_11D3_9DB2_00A0C9DF29FD_.wvu.PrintArea" hidden="1">#REF!</definedName>
    <definedName name="Z_F854DEB4_9E82_11D3_9DB2_00A0C9DF29FD_.wvu.PrintArea" hidden="1">#REF!</definedName>
    <definedName name="Z_F854DEB5_9E82_11D3_9DB2_00A0C9DF29FD_.wvu.PrintArea" hidden="1">#REF!</definedName>
    <definedName name="Z_F854DEB6_9E82_11D3_9DB2_00A0C9DF29FD_.wvu.PrintArea" hidden="1">#REF!</definedName>
    <definedName name="Z_F854DEB7_9E82_11D3_9DB2_00A0C9DF29FD_.wvu.PrintArea" hidden="1">#REF!</definedName>
    <definedName name="Z_F854DEB9_9E82_11D3_9DB2_00A0C9DF29FD_.wvu.PrintArea" hidden="1">#REF!</definedName>
    <definedName name="Z_F854DEBA_9E82_11D3_9DB2_00A0C9DF29FD_.wvu.PrintArea" hidden="1">#REF!</definedName>
    <definedName name="Z_FACAB6C6_C9E7_11D3_9DB9_00A0C9DF29FD_.wvu.PrintArea" hidden="1">#REF!</definedName>
    <definedName name="Z_FACAB6C7_C9E7_11D3_9DB9_00A0C9DF29FD_.wvu.PrintArea" hidden="1">#REF!</definedName>
    <definedName name="Z_FACAB6C9_C9E7_11D3_9DB9_00A0C9DF29FD_.wvu.PrintArea" hidden="1">#REF!</definedName>
    <definedName name="Z_FACAB6CA_C9E7_11D3_9DB9_00A0C9DF29FD_.wvu.PrintArea" hidden="1">#REF!</definedName>
    <definedName name="Z_FACAB6CB_C9E7_11D3_9DB9_00A0C9DF29FD_.wvu.PrintArea" hidden="1">#REF!</definedName>
    <definedName name="Z_FACAB6CC_C9E7_11D3_9DB9_00A0C9DF29FD_.wvu.PrintArea" hidden="1">#REF!</definedName>
    <definedName name="Z_FACAB6CE_C9E7_11D3_9DB9_00A0C9DF29FD_.wvu.PrintArea" hidden="1">#REF!</definedName>
    <definedName name="Z_FACAB6CF_C9E7_11D3_9DB9_00A0C9DF29FD_.wvu.PrintArea" hidden="1">#REF!</definedName>
    <definedName name="Z_FACAB6D0_C9E7_11D3_9DB9_00A0C9DF29FD_.wvu.PrintArea" hidden="1">#REF!</definedName>
    <definedName name="Z_FACAB6D1_C9E7_11D3_9DB9_00A0C9DF29FD_.wvu.PrintArea" hidden="1">#REF!</definedName>
    <definedName name="Z_FACAB6D3_C9E7_11D3_9DB9_00A0C9DF29FD_.wvu.PrintArea" hidden="1">#REF!</definedName>
    <definedName name="Z_FACAB6D4_C9E7_11D3_9DB9_00A0C9DF29FD_.wvu.PrintArea" hidden="1">#REF!</definedName>
    <definedName name="Z_FACAB6D6_C9E7_11D3_9DB9_00A0C9DF29FD_.wvu.PrintArea" hidden="1">#REF!</definedName>
    <definedName name="Z_FACAB6D7_C9E7_11D3_9DB9_00A0C9DF29FD_.wvu.PrintArea" hidden="1">#REF!</definedName>
    <definedName name="Z_FACAB6D9_C9E7_11D3_9DB9_00A0C9DF29FD_.wvu.PrintArea" hidden="1">#REF!</definedName>
    <definedName name="Z_FACAB6DA_C9E7_11D3_9DB9_00A0C9DF29FD_.wvu.PrintArea" hidden="1">#REF!</definedName>
    <definedName name="Z_FACAB6DB_C9E7_11D3_9DB9_00A0C9DF29FD_.wvu.PrintArea" hidden="1">#REF!</definedName>
    <definedName name="Z_FACAB6DC_C9E7_11D3_9DB9_00A0C9DF29FD_.wvu.PrintArea" hidden="1">#REF!</definedName>
    <definedName name="Z_FACAB6DE_C9E7_11D3_9DB9_00A0C9DF29FD_.wvu.PrintArea" hidden="1">#REF!</definedName>
    <definedName name="Z_FACAB6DF_C9E7_11D3_9DB9_00A0C9DF29FD_.wvu.PrintArea" hidden="1">#REF!</definedName>
    <definedName name="Z_FACAB6E0_C9E7_11D3_9DB9_00A0C9DF29FD_.wvu.PrintArea" hidden="1">#REF!</definedName>
    <definedName name="Z_FACAB6E1_C9E7_11D3_9DB9_00A0C9DF29FD_.wvu.PrintArea" hidden="1">#REF!</definedName>
    <definedName name="Z_FACAB6E3_C9E7_11D3_9DB9_00A0C9DF29FD_.wvu.PrintArea" hidden="1">#REF!</definedName>
    <definedName name="Z_FACAB6E4_C9E7_11D3_9DB9_00A0C9DF29FD_.wvu.PrintArea" hidden="1">#REF!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" i="137" l="1"/>
  <c r="C23" i="137"/>
  <c r="D23" i="137"/>
  <c r="E23" i="137"/>
  <c r="F23" i="137"/>
  <c r="G22" i="280"/>
  <c r="H22" i="280"/>
  <c r="I22" i="280"/>
  <c r="J22" i="280"/>
  <c r="K22" i="280"/>
  <c r="L22" i="280"/>
  <c r="M22" i="280"/>
  <c r="N22" i="280"/>
  <c r="O22" i="280"/>
  <c r="P22" i="280"/>
  <c r="Q22" i="280"/>
  <c r="F22" i="280"/>
  <c r="E22" i="280" l="1"/>
  <c r="B13" i="282" l="1"/>
  <c r="B14" i="282"/>
  <c r="B15" i="282"/>
  <c r="B12" i="282"/>
  <c r="F12" i="283"/>
  <c r="G12" i="283"/>
  <c r="H12" i="283"/>
  <c r="I12" i="283"/>
  <c r="J12" i="283"/>
  <c r="K12" i="283"/>
  <c r="L12" i="283"/>
  <c r="M12" i="283"/>
  <c r="N12" i="283"/>
  <c r="O12" i="283"/>
  <c r="P12" i="283"/>
  <c r="E12" i="283"/>
  <c r="F13" i="283"/>
  <c r="G13" i="283"/>
  <c r="H13" i="283"/>
  <c r="I13" i="283"/>
  <c r="J13" i="283"/>
  <c r="K13" i="283"/>
  <c r="L13" i="283"/>
  <c r="M13" i="283"/>
  <c r="N13" i="283"/>
  <c r="O13" i="283"/>
  <c r="P13" i="283"/>
  <c r="E13" i="283"/>
  <c r="AH38" i="284"/>
  <c r="AH28" i="284"/>
  <c r="AH27" i="284"/>
  <c r="AH26" i="284"/>
  <c r="AH25" i="284"/>
  <c r="AH24" i="284"/>
  <c r="AH22" i="284"/>
  <c r="AH21" i="284"/>
  <c r="AH20" i="284"/>
  <c r="AH19" i="284"/>
  <c r="AH18" i="284"/>
  <c r="AH17" i="284"/>
  <c r="A14" i="138" l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H23" i="284"/>
  <c r="G60" i="284"/>
  <c r="G61" i="284"/>
  <c r="G62" i="284"/>
  <c r="G63" i="284"/>
  <c r="G64" i="284"/>
  <c r="G65" i="284"/>
  <c r="G66" i="284"/>
  <c r="G67" i="284"/>
  <c r="G68" i="284"/>
  <c r="G69" i="284"/>
  <c r="G70" i="284"/>
  <c r="G59" i="284"/>
  <c r="D10" i="285"/>
  <c r="D11" i="285"/>
  <c r="D9" i="285"/>
  <c r="C10" i="285"/>
  <c r="C11" i="285"/>
  <c r="C9" i="285"/>
  <c r="B28" i="266"/>
  <c r="N79" i="268"/>
  <c r="C11" i="139"/>
  <c r="B11" i="139" l="1"/>
  <c r="G20" i="280" l="1"/>
  <c r="H20" i="280"/>
  <c r="I20" i="280"/>
  <c r="J20" i="280"/>
  <c r="K20" i="280"/>
  <c r="L20" i="280"/>
  <c r="M20" i="280"/>
  <c r="N20" i="280"/>
  <c r="O20" i="280"/>
  <c r="P20" i="280"/>
  <c r="Q20" i="280"/>
  <c r="F20" i="280"/>
  <c r="W18" i="284" l="1"/>
  <c r="W19" i="284"/>
  <c r="W20" i="284"/>
  <c r="W21" i="284"/>
  <c r="W22" i="284"/>
  <c r="W23" i="284"/>
  <c r="W24" i="284"/>
  <c r="W25" i="284"/>
  <c r="W26" i="284"/>
  <c r="W27" i="284"/>
  <c r="W28" i="284"/>
  <c r="W17" i="284"/>
  <c r="X18" i="284"/>
  <c r="X19" i="284"/>
  <c r="X20" i="284"/>
  <c r="X21" i="284"/>
  <c r="X22" i="284"/>
  <c r="X23" i="284"/>
  <c r="X24" i="284"/>
  <c r="X25" i="284"/>
  <c r="X26" i="284"/>
  <c r="X27" i="284"/>
  <c r="X28" i="284"/>
  <c r="X17" i="284"/>
  <c r="N13" i="284" l="1"/>
  <c r="N11" i="284"/>
  <c r="N53" i="284" s="1"/>
  <c r="N12" i="284"/>
  <c r="E11" i="285"/>
  <c r="E10" i="285"/>
  <c r="G10" i="285" s="1"/>
  <c r="C12" i="285"/>
  <c r="D19" i="278"/>
  <c r="G11" i="285" l="1"/>
  <c r="F11" i="285"/>
  <c r="F12" i="285" s="1"/>
  <c r="E9" i="285"/>
  <c r="E12" i="285" l="1"/>
  <c r="G9" i="285"/>
  <c r="G12" i="285" s="1"/>
  <c r="G18" i="280"/>
  <c r="H18" i="280"/>
  <c r="I18" i="280"/>
  <c r="J18" i="280"/>
  <c r="K18" i="280"/>
  <c r="L18" i="280"/>
  <c r="M18" i="280"/>
  <c r="N18" i="280"/>
  <c r="O18" i="280"/>
  <c r="P18" i="280"/>
  <c r="Q18" i="280"/>
  <c r="F18" i="280"/>
  <c r="G19" i="278" l="1"/>
  <c r="O19" i="278"/>
  <c r="H19" i="278"/>
  <c r="I19" i="278"/>
  <c r="E19" i="278"/>
  <c r="N19" i="278"/>
  <c r="J19" i="278"/>
  <c r="F19" i="278"/>
  <c r="P19" i="278"/>
  <c r="K19" i="278"/>
  <c r="L19" i="278"/>
  <c r="M19" i="278"/>
  <c r="AF38" i="268"/>
  <c r="AH38" i="268"/>
  <c r="AE38" i="268"/>
  <c r="H11" i="268" l="1"/>
  <c r="H11" i="284" s="1"/>
  <c r="I11" i="268"/>
  <c r="I11" i="284" s="1"/>
  <c r="I53" i="284" s="1"/>
  <c r="J11" i="268"/>
  <c r="J11" i="284" s="1"/>
  <c r="J53" i="284" s="1"/>
  <c r="K11" i="268"/>
  <c r="K11" i="284" s="1"/>
  <c r="K53" i="284" s="1"/>
  <c r="L11" i="268"/>
  <c r="L11" i="284" s="1"/>
  <c r="L53" i="284" s="1"/>
  <c r="U44" i="233"/>
  <c r="V44" i="233"/>
  <c r="M11" i="268"/>
  <c r="M11" i="284" s="1"/>
  <c r="M53" i="284" s="1"/>
  <c r="O74" i="276"/>
  <c r="C74" i="276"/>
  <c r="D74" i="276" s="1"/>
  <c r="E74" i="276" s="1"/>
  <c r="F74" i="276" s="1"/>
  <c r="G74" i="276" s="1"/>
  <c r="H74" i="276" s="1"/>
  <c r="I74" i="276" s="1"/>
  <c r="J74" i="276" s="1"/>
  <c r="K74" i="276" s="1"/>
  <c r="L74" i="276" s="1"/>
  <c r="M74" i="276" s="1"/>
  <c r="N74" i="276" s="1"/>
  <c r="C73" i="276"/>
  <c r="D73" i="276"/>
  <c r="E73" i="276"/>
  <c r="F73" i="276"/>
  <c r="G73" i="276"/>
  <c r="H73" i="276"/>
  <c r="I73" i="276"/>
  <c r="J73" i="276"/>
  <c r="K73" i="276"/>
  <c r="L73" i="276"/>
  <c r="M73" i="276"/>
  <c r="N73" i="276"/>
  <c r="B73" i="276"/>
  <c r="O60" i="276"/>
  <c r="O61" i="276"/>
  <c r="O62" i="276"/>
  <c r="O63" i="276"/>
  <c r="O64" i="276"/>
  <c r="O65" i="276"/>
  <c r="O66" i="276"/>
  <c r="O67" i="276"/>
  <c r="O68" i="276"/>
  <c r="O69" i="276"/>
  <c r="O70" i="276"/>
  <c r="O71" i="276"/>
  <c r="O72" i="276"/>
  <c r="O59" i="276"/>
  <c r="O73" i="276" l="1"/>
  <c r="E74" i="266" l="1"/>
  <c r="F74" i="266"/>
  <c r="G74" i="266"/>
  <c r="H74" i="266"/>
  <c r="I74" i="266" s="1"/>
  <c r="J74" i="266" s="1"/>
  <c r="K74" i="266" s="1"/>
  <c r="L74" i="266" s="1"/>
  <c r="M74" i="266" s="1"/>
  <c r="N74" i="266" s="1"/>
  <c r="D74" i="266"/>
  <c r="C74" i="266"/>
  <c r="H12" i="139" l="1"/>
  <c r="H14" i="139" s="1"/>
  <c r="G12" i="139"/>
  <c r="G14" i="139" s="1"/>
  <c r="G15" i="139" s="1"/>
  <c r="G16" i="139" s="1"/>
  <c r="G17" i="139" s="1"/>
  <c r="G18" i="139" s="1"/>
  <c r="G19" i="139" s="1"/>
  <c r="G20" i="139" s="1"/>
  <c r="G21" i="139" s="1"/>
  <c r="G22" i="139" s="1"/>
  <c r="G23" i="139" s="1"/>
  <c r="G24" i="139" s="1"/>
  <c r="G25" i="139" s="1"/>
  <c r="H15" i="139" l="1"/>
  <c r="H16" i="139" l="1"/>
  <c r="N18" i="284"/>
  <c r="N19" i="284"/>
  <c r="N20" i="284"/>
  <c r="N21" i="284"/>
  <c r="N22" i="284"/>
  <c r="N23" i="284"/>
  <c r="N24" i="284"/>
  <c r="N25" i="284"/>
  <c r="N26" i="284"/>
  <c r="N27" i="284"/>
  <c r="N28" i="284"/>
  <c r="N17" i="284"/>
  <c r="A59" i="284"/>
  <c r="A60" i="284" s="1"/>
  <c r="A61" i="284" s="1"/>
  <c r="A62" i="284" s="1"/>
  <c r="A63" i="284" s="1"/>
  <c r="A64" i="284" s="1"/>
  <c r="A65" i="284" s="1"/>
  <c r="A66" i="284" s="1"/>
  <c r="A67" i="284" s="1"/>
  <c r="A68" i="284" s="1"/>
  <c r="A69" i="284" s="1"/>
  <c r="A70" i="284" s="1"/>
  <c r="A71" i="284" s="1"/>
  <c r="A72" i="284" s="1"/>
  <c r="A73" i="284" s="1"/>
  <c r="A74" i="284" s="1"/>
  <c r="A75" i="284" s="1"/>
  <c r="A76" i="284" s="1"/>
  <c r="A77" i="284" s="1"/>
  <c r="A78" i="284" s="1"/>
  <c r="A79" i="284" s="1"/>
  <c r="A80" i="284" s="1"/>
  <c r="A17" i="284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N54" i="284"/>
  <c r="N66" i="284"/>
  <c r="X27" i="268"/>
  <c r="X19" i="268"/>
  <c r="H17" i="139" l="1"/>
  <c r="N65" i="284"/>
  <c r="N64" i="284"/>
  <c r="N59" i="284"/>
  <c r="N70" i="284"/>
  <c r="N62" i="284"/>
  <c r="N63" i="284"/>
  <c r="N69" i="284"/>
  <c r="N61" i="284"/>
  <c r="N68" i="284"/>
  <c r="N60" i="284"/>
  <c r="N67" i="284"/>
  <c r="Y38" i="284"/>
  <c r="B22" i="140"/>
  <c r="B21" i="140"/>
  <c r="B20" i="140"/>
  <c r="B19" i="140"/>
  <c r="B18" i="140"/>
  <c r="B17" i="140"/>
  <c r="B16" i="140"/>
  <c r="B15" i="140"/>
  <c r="B14" i="140"/>
  <c r="B13" i="140"/>
  <c r="B12" i="140"/>
  <c r="B11" i="140"/>
  <c r="H18" i="139" l="1"/>
  <c r="N80" i="284"/>
  <c r="K26" i="284"/>
  <c r="K18" i="284"/>
  <c r="K27" i="284"/>
  <c r="K25" i="284"/>
  <c r="K17" i="284"/>
  <c r="K24" i="284"/>
  <c r="K23" i="284"/>
  <c r="K22" i="284"/>
  <c r="K20" i="284"/>
  <c r="K21" i="284"/>
  <c r="K28" i="284"/>
  <c r="K19" i="284"/>
  <c r="J68" i="284"/>
  <c r="J60" i="284"/>
  <c r="J69" i="284"/>
  <c r="J67" i="284"/>
  <c r="J59" i="284"/>
  <c r="J66" i="284"/>
  <c r="J65" i="284"/>
  <c r="J64" i="284"/>
  <c r="J62" i="284"/>
  <c r="J61" i="284"/>
  <c r="J63" i="284"/>
  <c r="J70" i="284"/>
  <c r="M26" i="284"/>
  <c r="M18" i="284"/>
  <c r="M25" i="284"/>
  <c r="M17" i="284"/>
  <c r="M24" i="284"/>
  <c r="M19" i="284"/>
  <c r="M23" i="284"/>
  <c r="M27" i="284"/>
  <c r="M22" i="284"/>
  <c r="M20" i="284"/>
  <c r="M21" i="284"/>
  <c r="M28" i="284"/>
  <c r="H22" i="284"/>
  <c r="H23" i="284"/>
  <c r="H21" i="284"/>
  <c r="H28" i="284"/>
  <c r="H20" i="284"/>
  <c r="H27" i="284"/>
  <c r="H19" i="284"/>
  <c r="H26" i="284"/>
  <c r="H18" i="284"/>
  <c r="H25" i="284"/>
  <c r="H17" i="284"/>
  <c r="H24" i="284"/>
  <c r="I26" i="284"/>
  <c r="I18" i="284"/>
  <c r="I25" i="284"/>
  <c r="I17" i="284"/>
  <c r="I24" i="284"/>
  <c r="I23" i="284"/>
  <c r="I27" i="284"/>
  <c r="I22" i="284"/>
  <c r="I20" i="284"/>
  <c r="I19" i="284"/>
  <c r="I21" i="284"/>
  <c r="I28" i="284"/>
  <c r="L22" i="284"/>
  <c r="L21" i="284"/>
  <c r="L28" i="284"/>
  <c r="L20" i="284"/>
  <c r="L27" i="284"/>
  <c r="L19" i="284"/>
  <c r="L24" i="284"/>
  <c r="L26" i="284"/>
  <c r="L18" i="284"/>
  <c r="L23" i="284"/>
  <c r="L25" i="284"/>
  <c r="L17" i="284"/>
  <c r="J22" i="284"/>
  <c r="J21" i="284"/>
  <c r="J23" i="284"/>
  <c r="J28" i="284"/>
  <c r="J20" i="284"/>
  <c r="J27" i="284"/>
  <c r="J19" i="284"/>
  <c r="J24" i="284"/>
  <c r="J26" i="284"/>
  <c r="J18" i="284"/>
  <c r="J25" i="284"/>
  <c r="J17" i="284"/>
  <c r="F26" i="278"/>
  <c r="F25" i="278"/>
  <c r="G25" i="278"/>
  <c r="H25" i="278"/>
  <c r="I25" i="278"/>
  <c r="J25" i="278"/>
  <c r="K25" i="278"/>
  <c r="L25" i="278"/>
  <c r="M25" i="278"/>
  <c r="N25" i="278"/>
  <c r="O25" i="278"/>
  <c r="P25" i="278"/>
  <c r="E25" i="278"/>
  <c r="F19" i="280"/>
  <c r="G19" i="280"/>
  <c r="H19" i="280"/>
  <c r="I19" i="280"/>
  <c r="J19" i="280"/>
  <c r="K19" i="280"/>
  <c r="L19" i="280"/>
  <c r="M19" i="280"/>
  <c r="N19" i="280"/>
  <c r="O19" i="280"/>
  <c r="P19" i="280"/>
  <c r="Q19" i="280"/>
  <c r="D11" i="245"/>
  <c r="D34" i="279"/>
  <c r="E34" i="279"/>
  <c r="G26" i="278" s="1"/>
  <c r="F34" i="279"/>
  <c r="H26" i="278" s="1"/>
  <c r="G34" i="279"/>
  <c r="I26" i="278" s="1"/>
  <c r="H34" i="279"/>
  <c r="J26" i="278" s="1"/>
  <c r="I34" i="279"/>
  <c r="K26" i="278" s="1"/>
  <c r="J34" i="279"/>
  <c r="L26" i="278" s="1"/>
  <c r="K34" i="279"/>
  <c r="M26" i="278" s="1"/>
  <c r="L34" i="279"/>
  <c r="N26" i="278" s="1"/>
  <c r="M34" i="279"/>
  <c r="O26" i="278" s="1"/>
  <c r="N34" i="279"/>
  <c r="P26" i="278" s="1"/>
  <c r="C34" i="279"/>
  <c r="E26" i="278" s="1"/>
  <c r="D33" i="279"/>
  <c r="E33" i="279"/>
  <c r="F33" i="279"/>
  <c r="G33" i="279"/>
  <c r="H33" i="279"/>
  <c r="I33" i="279"/>
  <c r="J33" i="279"/>
  <c r="K33" i="279"/>
  <c r="L33" i="279"/>
  <c r="M33" i="279"/>
  <c r="N33" i="279"/>
  <c r="C33" i="279"/>
  <c r="E30" i="279"/>
  <c r="H30" i="279"/>
  <c r="J30" i="279"/>
  <c r="M30" i="279"/>
  <c r="D21" i="279"/>
  <c r="E21" i="279"/>
  <c r="F21" i="279"/>
  <c r="G21" i="279"/>
  <c r="H21" i="279"/>
  <c r="I21" i="279"/>
  <c r="J21" i="279"/>
  <c r="K21" i="279"/>
  <c r="K25" i="279" s="1"/>
  <c r="L21" i="279"/>
  <c r="M21" i="279"/>
  <c r="N21" i="279"/>
  <c r="D22" i="279"/>
  <c r="O22" i="279" s="1"/>
  <c r="E22" i="279"/>
  <c r="F22" i="279"/>
  <c r="G22" i="279"/>
  <c r="H22" i="279"/>
  <c r="I22" i="279"/>
  <c r="J22" i="279"/>
  <c r="K22" i="279"/>
  <c r="L22" i="279"/>
  <c r="L25" i="279" s="1"/>
  <c r="M22" i="279"/>
  <c r="N22" i="279"/>
  <c r="D23" i="279"/>
  <c r="E23" i="279"/>
  <c r="E25" i="279" s="1"/>
  <c r="F23" i="279"/>
  <c r="G23" i="279"/>
  <c r="H23" i="279"/>
  <c r="I23" i="279"/>
  <c r="I25" i="279" s="1"/>
  <c r="J23" i="279"/>
  <c r="K23" i="279"/>
  <c r="L23" i="279"/>
  <c r="M23" i="279"/>
  <c r="N23" i="279"/>
  <c r="D24" i="279"/>
  <c r="E24" i="279"/>
  <c r="F24" i="279"/>
  <c r="O24" i="279" s="1"/>
  <c r="G24" i="279"/>
  <c r="H24" i="279"/>
  <c r="I24" i="279"/>
  <c r="J24" i="279"/>
  <c r="J25" i="279" s="1"/>
  <c r="K24" i="279"/>
  <c r="L24" i="279"/>
  <c r="M24" i="279"/>
  <c r="N24" i="279"/>
  <c r="N25" i="279" s="1"/>
  <c r="C24" i="279"/>
  <c r="C23" i="279"/>
  <c r="C22" i="279"/>
  <c r="O23" i="279"/>
  <c r="C21" i="279"/>
  <c r="D17" i="279"/>
  <c r="O17" i="279" s="1"/>
  <c r="E17" i="279"/>
  <c r="F17" i="279"/>
  <c r="G17" i="279"/>
  <c r="H17" i="279"/>
  <c r="I17" i="279"/>
  <c r="J17" i="279"/>
  <c r="J19" i="279" s="1"/>
  <c r="K17" i="279"/>
  <c r="L17" i="279"/>
  <c r="M17" i="279"/>
  <c r="N17" i="279"/>
  <c r="D18" i="279"/>
  <c r="E18" i="279"/>
  <c r="O18" i="279" s="1"/>
  <c r="F18" i="279"/>
  <c r="G18" i="279"/>
  <c r="H18" i="279"/>
  <c r="I18" i="279"/>
  <c r="J18" i="279"/>
  <c r="K18" i="279"/>
  <c r="L18" i="279"/>
  <c r="M18" i="279"/>
  <c r="M19" i="279" s="1"/>
  <c r="N18" i="279"/>
  <c r="C18" i="279"/>
  <c r="C17" i="279"/>
  <c r="D16" i="279"/>
  <c r="E16" i="279"/>
  <c r="F16" i="279"/>
  <c r="G16" i="279"/>
  <c r="H16" i="279"/>
  <c r="I16" i="279"/>
  <c r="J16" i="279"/>
  <c r="K16" i="279"/>
  <c r="L16" i="279"/>
  <c r="M16" i="279"/>
  <c r="N16" i="279"/>
  <c r="C16" i="279"/>
  <c r="D15" i="279"/>
  <c r="E15" i="279"/>
  <c r="F15" i="279"/>
  <c r="G15" i="279"/>
  <c r="H15" i="279"/>
  <c r="I15" i="279"/>
  <c r="J15" i="279"/>
  <c r="K15" i="279"/>
  <c r="L15" i="279"/>
  <c r="M15" i="279"/>
  <c r="N15" i="279"/>
  <c r="N19" i="279" s="1"/>
  <c r="C15" i="279"/>
  <c r="P23" i="283"/>
  <c r="N28" i="279" s="1"/>
  <c r="O23" i="283"/>
  <c r="M28" i="279" s="1"/>
  <c r="N23" i="283"/>
  <c r="L28" i="279" s="1"/>
  <c r="M23" i="283"/>
  <c r="K28" i="279" s="1"/>
  <c r="L23" i="283"/>
  <c r="J28" i="279" s="1"/>
  <c r="K23" i="283"/>
  <c r="I28" i="279" s="1"/>
  <c r="J23" i="283"/>
  <c r="H28" i="279" s="1"/>
  <c r="I23" i="283"/>
  <c r="G28" i="279" s="1"/>
  <c r="H23" i="283"/>
  <c r="F28" i="279" s="1"/>
  <c r="G23" i="283"/>
  <c r="E28" i="279" s="1"/>
  <c r="F23" i="283"/>
  <c r="D28" i="279" s="1"/>
  <c r="E23" i="283"/>
  <c r="C28" i="279" s="1"/>
  <c r="P22" i="283"/>
  <c r="N30" i="279" s="1"/>
  <c r="O22" i="283"/>
  <c r="N22" i="283"/>
  <c r="L30" i="279" s="1"/>
  <c r="M22" i="283"/>
  <c r="K30" i="279" s="1"/>
  <c r="L22" i="283"/>
  <c r="K22" i="283"/>
  <c r="I30" i="279" s="1"/>
  <c r="J22" i="283"/>
  <c r="I22" i="283"/>
  <c r="G30" i="279" s="1"/>
  <c r="H22" i="283"/>
  <c r="F30" i="279" s="1"/>
  <c r="G22" i="283"/>
  <c r="F22" i="283"/>
  <c r="D30" i="279" s="1"/>
  <c r="E22" i="283"/>
  <c r="C30" i="279" s="1"/>
  <c r="P21" i="283"/>
  <c r="O21" i="283"/>
  <c r="N21" i="283"/>
  <c r="M21" i="283"/>
  <c r="L21" i="283"/>
  <c r="K21" i="283"/>
  <c r="J21" i="283"/>
  <c r="I21" i="283"/>
  <c r="H21" i="283"/>
  <c r="G21" i="283"/>
  <c r="F21" i="283"/>
  <c r="E21" i="283"/>
  <c r="Q20" i="283"/>
  <c r="Q19" i="283"/>
  <c r="P15" i="283"/>
  <c r="N15" i="283"/>
  <c r="M15" i="283"/>
  <c r="L15" i="283"/>
  <c r="K15" i="283"/>
  <c r="J15" i="283"/>
  <c r="I15" i="283"/>
  <c r="H15" i="283"/>
  <c r="G15" i="283"/>
  <c r="F15" i="283"/>
  <c r="E15" i="283"/>
  <c r="P14" i="283"/>
  <c r="O14" i="283"/>
  <c r="N14" i="283"/>
  <c r="M14" i="283"/>
  <c r="L14" i="283"/>
  <c r="K14" i="283"/>
  <c r="J14" i="283"/>
  <c r="I14" i="283"/>
  <c r="H14" i="283"/>
  <c r="G14" i="283"/>
  <c r="F14" i="283"/>
  <c r="E14" i="283"/>
  <c r="AF17" i="284" s="1"/>
  <c r="N10" i="279"/>
  <c r="L10" i="279"/>
  <c r="O7" i="280" s="1"/>
  <c r="K10" i="279"/>
  <c r="N7" i="280" s="1"/>
  <c r="J10" i="279"/>
  <c r="I10" i="279"/>
  <c r="L7" i="280" s="1"/>
  <c r="H10" i="279"/>
  <c r="G10" i="279"/>
  <c r="F10" i="279"/>
  <c r="E10" i="279"/>
  <c r="D10" i="279"/>
  <c r="G7" i="280" s="1"/>
  <c r="C10" i="279"/>
  <c r="N12" i="279"/>
  <c r="Q9" i="280" s="1"/>
  <c r="M12" i="279"/>
  <c r="P9" i="280" s="1"/>
  <c r="L12" i="279"/>
  <c r="O9" i="280" s="1"/>
  <c r="K12" i="279"/>
  <c r="N9" i="280" s="1"/>
  <c r="J12" i="279"/>
  <c r="M9" i="280" s="1"/>
  <c r="I12" i="279"/>
  <c r="L9" i="280" s="1"/>
  <c r="H12" i="279"/>
  <c r="K9" i="280" s="1"/>
  <c r="G12" i="279"/>
  <c r="J9" i="280" s="1"/>
  <c r="F12" i="279"/>
  <c r="I9" i="280" s="1"/>
  <c r="E12" i="279"/>
  <c r="H9" i="280" s="1"/>
  <c r="D12" i="279"/>
  <c r="G9" i="280" s="1"/>
  <c r="C12" i="279"/>
  <c r="F9" i="280" s="1"/>
  <c r="P11" i="283"/>
  <c r="P25" i="283" s="1"/>
  <c r="N11" i="283"/>
  <c r="M11" i="283"/>
  <c r="L11" i="283"/>
  <c r="K11" i="283"/>
  <c r="J11" i="283"/>
  <c r="I11" i="283"/>
  <c r="H11" i="283"/>
  <c r="G11" i="283"/>
  <c r="F11" i="283"/>
  <c r="E11" i="283"/>
  <c r="E25" i="283" s="1"/>
  <c r="M10" i="279"/>
  <c r="Q9" i="283"/>
  <c r="Q8" i="283"/>
  <c r="Q7" i="283"/>
  <c r="Q6" i="283"/>
  <c r="Q5" i="283"/>
  <c r="Q4" i="283"/>
  <c r="Q3" i="283"/>
  <c r="D11" i="282"/>
  <c r="E11" i="282"/>
  <c r="F11" i="282"/>
  <c r="G11" i="282"/>
  <c r="H11" i="282"/>
  <c r="I11" i="282"/>
  <c r="J11" i="282"/>
  <c r="K11" i="282"/>
  <c r="L11" i="282"/>
  <c r="M11" i="282"/>
  <c r="N11" i="282"/>
  <c r="C11" i="282"/>
  <c r="N16" i="282"/>
  <c r="L16" i="282"/>
  <c r="K16" i="282"/>
  <c r="J16" i="282"/>
  <c r="I16" i="282"/>
  <c r="H16" i="282"/>
  <c r="G16" i="282"/>
  <c r="F16" i="282"/>
  <c r="D16" i="282"/>
  <c r="C16" i="282"/>
  <c r="O15" i="282"/>
  <c r="O14" i="282"/>
  <c r="M16" i="282"/>
  <c r="O12" i="282"/>
  <c r="N8" i="282"/>
  <c r="L8" i="282"/>
  <c r="K8" i="282"/>
  <c r="J8" i="282"/>
  <c r="I8" i="282"/>
  <c r="H8" i="282"/>
  <c r="G8" i="282"/>
  <c r="F8" i="282"/>
  <c r="D8" i="282"/>
  <c r="C8" i="282"/>
  <c r="O7" i="282"/>
  <c r="O6" i="282"/>
  <c r="M8" i="282"/>
  <c r="O4" i="282"/>
  <c r="I19" i="279"/>
  <c r="E19" i="279"/>
  <c r="H19" i="279"/>
  <c r="E14" i="280"/>
  <c r="Q13" i="280"/>
  <c r="P13" i="280"/>
  <c r="O13" i="280"/>
  <c r="N13" i="280"/>
  <c r="M13" i="280"/>
  <c r="L13" i="280"/>
  <c r="K13" i="280"/>
  <c r="J13" i="280"/>
  <c r="I13" i="280"/>
  <c r="H13" i="280"/>
  <c r="G13" i="280"/>
  <c r="F13" i="280"/>
  <c r="O29" i="279"/>
  <c r="O27" i="279"/>
  <c r="G25" i="279"/>
  <c r="M25" i="279"/>
  <c r="H25" i="279"/>
  <c r="G19" i="279"/>
  <c r="O11" i="279"/>
  <c r="O9" i="279"/>
  <c r="Q19" i="278"/>
  <c r="Q5" i="278"/>
  <c r="P5" i="278"/>
  <c r="Q25" i="278" l="1"/>
  <c r="H31" i="279"/>
  <c r="Q22" i="284" s="1"/>
  <c r="Q64" i="284" s="1"/>
  <c r="AF18" i="284"/>
  <c r="AG17" i="284"/>
  <c r="AG18" i="284" s="1"/>
  <c r="AG19" i="284" s="1"/>
  <c r="AG20" i="284" s="1"/>
  <c r="AG21" i="284" s="1"/>
  <c r="AG22" i="284" s="1"/>
  <c r="AG23" i="284" s="1"/>
  <c r="AG24" i="284" s="1"/>
  <c r="AG25" i="284" s="1"/>
  <c r="AG26" i="284" s="1"/>
  <c r="AG27" i="284" s="1"/>
  <c r="AG28" i="284" s="1"/>
  <c r="G31" i="279"/>
  <c r="Q21" i="284" s="1"/>
  <c r="Q63" i="284" s="1"/>
  <c r="E31" i="279"/>
  <c r="Q19" i="284" s="1"/>
  <c r="Q61" i="284" s="1"/>
  <c r="M31" i="279"/>
  <c r="Q27" i="284" s="1"/>
  <c r="Q69" i="284" s="1"/>
  <c r="L31" i="279"/>
  <c r="Q26" i="284" s="1"/>
  <c r="Q68" i="284" s="1"/>
  <c r="F31" i="279"/>
  <c r="Q20" i="284" s="1"/>
  <c r="Q62" i="284" s="1"/>
  <c r="N31" i="279"/>
  <c r="Q28" i="284" s="1"/>
  <c r="Q70" i="284" s="1"/>
  <c r="D31" i="279"/>
  <c r="Q18" i="284" s="1"/>
  <c r="Q60" i="284" s="1"/>
  <c r="J13" i="279"/>
  <c r="H19" i="139"/>
  <c r="Q26" i="278"/>
  <c r="H38" i="284"/>
  <c r="M38" i="284"/>
  <c r="L38" i="284"/>
  <c r="I64" i="284"/>
  <c r="I63" i="284"/>
  <c r="I70" i="284"/>
  <c r="I62" i="284"/>
  <c r="I69" i="284"/>
  <c r="I61" i="284"/>
  <c r="I65" i="284"/>
  <c r="I68" i="284"/>
  <c r="I60" i="284"/>
  <c r="I67" i="284"/>
  <c r="I59" i="284"/>
  <c r="I66" i="284"/>
  <c r="K64" i="284"/>
  <c r="K63" i="284"/>
  <c r="K70" i="284"/>
  <c r="K62" i="284"/>
  <c r="K69" i="284"/>
  <c r="K61" i="284"/>
  <c r="K65" i="284"/>
  <c r="K68" i="284"/>
  <c r="K60" i="284"/>
  <c r="K66" i="284"/>
  <c r="K67" i="284"/>
  <c r="K59" i="284"/>
  <c r="L68" i="284"/>
  <c r="L60" i="284"/>
  <c r="L67" i="284"/>
  <c r="L59" i="284"/>
  <c r="L66" i="284"/>
  <c r="L65" i="284"/>
  <c r="L62" i="284"/>
  <c r="L64" i="284"/>
  <c r="L61" i="284"/>
  <c r="L63" i="284"/>
  <c r="L70" i="284"/>
  <c r="L69" i="284"/>
  <c r="M64" i="284"/>
  <c r="M63" i="284"/>
  <c r="M70" i="284"/>
  <c r="M62" i="284"/>
  <c r="M69" i="284"/>
  <c r="M61" i="284"/>
  <c r="M68" i="284"/>
  <c r="M60" i="284"/>
  <c r="M66" i="284"/>
  <c r="M65" i="284"/>
  <c r="M67" i="284"/>
  <c r="M59" i="284"/>
  <c r="J38" i="284"/>
  <c r="K38" i="284"/>
  <c r="I38" i="284"/>
  <c r="J80" i="284"/>
  <c r="O34" i="279"/>
  <c r="O33" i="279"/>
  <c r="O30" i="279"/>
  <c r="I31" i="279"/>
  <c r="Q23" i="284" s="1"/>
  <c r="Q65" i="284" s="1"/>
  <c r="J31" i="279"/>
  <c r="Q24" i="284" s="1"/>
  <c r="Q66" i="284" s="1"/>
  <c r="K31" i="279"/>
  <c r="Q25" i="284" s="1"/>
  <c r="Q67" i="284" s="1"/>
  <c r="G11" i="280"/>
  <c r="G15" i="280" s="1"/>
  <c r="O11" i="280"/>
  <c r="O15" i="280" s="1"/>
  <c r="L11" i="280"/>
  <c r="L15" i="280" s="1"/>
  <c r="E13" i="279"/>
  <c r="H7" i="280"/>
  <c r="H11" i="280" s="1"/>
  <c r="H15" i="280" s="1"/>
  <c r="Q7" i="280"/>
  <c r="Q11" i="280" s="1"/>
  <c r="Q15" i="280" s="1"/>
  <c r="N13" i="279"/>
  <c r="I7" i="280"/>
  <c r="I11" i="280" s="1"/>
  <c r="I15" i="280" s="1"/>
  <c r="F13" i="279"/>
  <c r="M13" i="279"/>
  <c r="P7" i="280"/>
  <c r="P11" i="280" s="1"/>
  <c r="P15" i="280" s="1"/>
  <c r="C13" i="279"/>
  <c r="F7" i="280"/>
  <c r="F11" i="280" s="1"/>
  <c r="F15" i="280" s="1"/>
  <c r="G13" i="279"/>
  <c r="J7" i="280"/>
  <c r="J11" i="280" s="1"/>
  <c r="J15" i="280" s="1"/>
  <c r="O28" i="279"/>
  <c r="K7" i="280"/>
  <c r="K11" i="280" s="1"/>
  <c r="K15" i="280" s="1"/>
  <c r="H13" i="279"/>
  <c r="F25" i="283"/>
  <c r="N25" i="283"/>
  <c r="M7" i="280"/>
  <c r="M11" i="280" s="1"/>
  <c r="M15" i="280" s="1"/>
  <c r="N11" i="280"/>
  <c r="N15" i="280" s="1"/>
  <c r="D25" i="279"/>
  <c r="F25" i="279"/>
  <c r="C25" i="279"/>
  <c r="L19" i="279"/>
  <c r="F19" i="279"/>
  <c r="K19" i="279"/>
  <c r="O16" i="279"/>
  <c r="C19" i="279"/>
  <c r="I13" i="279"/>
  <c r="L13" i="279"/>
  <c r="D13" i="279"/>
  <c r="Q14" i="283"/>
  <c r="O11" i="284" s="1"/>
  <c r="O53" i="284" s="1"/>
  <c r="L25" i="283"/>
  <c r="M25" i="283"/>
  <c r="G25" i="283"/>
  <c r="Q22" i="283"/>
  <c r="H25" i="283"/>
  <c r="K25" i="283"/>
  <c r="I25" i="283"/>
  <c r="J25" i="283"/>
  <c r="Q12" i="283"/>
  <c r="Q23" i="283"/>
  <c r="Q21" i="283"/>
  <c r="Q13" i="283"/>
  <c r="O11" i="283"/>
  <c r="O25" i="283" s="1"/>
  <c r="Q10" i="283"/>
  <c r="O15" i="283"/>
  <c r="Q15" i="283" s="1"/>
  <c r="O12" i="284" s="1"/>
  <c r="O54" i="284" s="1"/>
  <c r="E16" i="282"/>
  <c r="O13" i="282"/>
  <c r="O16" i="282" s="1"/>
  <c r="O5" i="282"/>
  <c r="O8" i="282" s="1"/>
  <c r="E8" i="282"/>
  <c r="O12" i="279"/>
  <c r="K13" i="279"/>
  <c r="O10" i="279"/>
  <c r="D19" i="279"/>
  <c r="O15" i="279"/>
  <c r="O19" i="279" s="1"/>
  <c r="O21" i="279"/>
  <c r="O25" i="279" s="1"/>
  <c r="C31" i="279"/>
  <c r="Q17" i="284" s="1"/>
  <c r="AG38" i="284" l="1"/>
  <c r="AI17" i="284"/>
  <c r="O17" i="284" s="1"/>
  <c r="AF19" i="284"/>
  <c r="AI18" i="284"/>
  <c r="O18" i="284" s="1"/>
  <c r="O31" i="279"/>
  <c r="Q59" i="284"/>
  <c r="Q80" i="284" s="1"/>
  <c r="Q38" i="284"/>
  <c r="H20" i="139"/>
  <c r="M80" i="284"/>
  <c r="L80" i="284"/>
  <c r="K80" i="284"/>
  <c r="I80" i="284"/>
  <c r="O13" i="279"/>
  <c r="Q25" i="283"/>
  <c r="Q11" i="283"/>
  <c r="O60" i="284" l="1"/>
  <c r="P18" i="284"/>
  <c r="AF20" i="284"/>
  <c r="AI19" i="284"/>
  <c r="O19" i="284" s="1"/>
  <c r="O59" i="284"/>
  <c r="P17" i="284"/>
  <c r="H21" i="139"/>
  <c r="O61" i="284" l="1"/>
  <c r="P19" i="284"/>
  <c r="AF21" i="284"/>
  <c r="AI20" i="284"/>
  <c r="O20" i="284" s="1"/>
  <c r="H22" i="139"/>
  <c r="AF22" i="284" l="1"/>
  <c r="AI21" i="284"/>
  <c r="O21" i="284" s="1"/>
  <c r="O62" i="284"/>
  <c r="P20" i="284"/>
  <c r="H23" i="139"/>
  <c r="O63" i="284" l="1"/>
  <c r="P21" i="284"/>
  <c r="AF23" i="284"/>
  <c r="AI22" i="284"/>
  <c r="O22" i="284" s="1"/>
  <c r="H24" i="139"/>
  <c r="O64" i="284" l="1"/>
  <c r="P22" i="284"/>
  <c r="AF24" i="284"/>
  <c r="AI23" i="284"/>
  <c r="O23" i="284" s="1"/>
  <c r="H25" i="139"/>
  <c r="O65" i="284" l="1"/>
  <c r="P23" i="284"/>
  <c r="AF25" i="284"/>
  <c r="AI24" i="284"/>
  <c r="O24" i="284" s="1"/>
  <c r="O66" i="284" l="1"/>
  <c r="P24" i="284"/>
  <c r="AF26" i="284"/>
  <c r="AI25" i="284"/>
  <c r="O25" i="284" s="1"/>
  <c r="O67" i="284" l="1"/>
  <c r="P25" i="284"/>
  <c r="AF27" i="284"/>
  <c r="AI26" i="284"/>
  <c r="O26" i="284" s="1"/>
  <c r="N38" i="284"/>
  <c r="O68" i="284" l="1"/>
  <c r="P26" i="284"/>
  <c r="AF28" i="284"/>
  <c r="AI28" i="284" s="1"/>
  <c r="AI27" i="284"/>
  <c r="O27" i="284" s="1"/>
  <c r="AF38" i="284" l="1"/>
  <c r="O69" i="284"/>
  <c r="P27" i="284"/>
  <c r="AI38" i="284"/>
  <c r="O28" i="284"/>
  <c r="O38" i="284"/>
  <c r="R29" i="275"/>
  <c r="O70" i="284" l="1"/>
  <c r="O80" i="284" s="1"/>
  <c r="P28" i="284"/>
  <c r="P38" i="284" s="1"/>
  <c r="P15" i="263"/>
  <c r="B26" i="276" l="1"/>
  <c r="O37" i="276"/>
  <c r="O38" i="276"/>
  <c r="O39" i="276"/>
  <c r="O40" i="276"/>
  <c r="O41" i="276"/>
  <c r="O42" i="276"/>
  <c r="O43" i="276"/>
  <c r="O44" i="276"/>
  <c r="O45" i="276"/>
  <c r="O46" i="276"/>
  <c r="O47" i="276"/>
  <c r="O48" i="276"/>
  <c r="O49" i="276"/>
  <c r="O50" i="276"/>
  <c r="O51" i="276"/>
  <c r="O52" i="276"/>
  <c r="O36" i="276"/>
  <c r="O53" i="276" l="1"/>
  <c r="N53" i="276"/>
  <c r="L53" i="276"/>
  <c r="K53" i="276"/>
  <c r="J53" i="276"/>
  <c r="I53" i="276"/>
  <c r="H53" i="276"/>
  <c r="G53" i="276"/>
  <c r="F53" i="276"/>
  <c r="E53" i="276"/>
  <c r="D53" i="276"/>
  <c r="B53" i="276"/>
  <c r="C53" i="276"/>
  <c r="M53" i="276"/>
  <c r="C54" i="276" l="1"/>
  <c r="D54" i="276" s="1"/>
  <c r="E54" i="276" s="1"/>
  <c r="F54" i="276" s="1"/>
  <c r="G54" i="276" s="1"/>
  <c r="H54" i="276" s="1"/>
  <c r="I54" i="276" s="1"/>
  <c r="J54" i="276" s="1"/>
  <c r="K54" i="276" s="1"/>
  <c r="L54" i="276" s="1"/>
  <c r="M54" i="276" s="1"/>
  <c r="N54" i="276" s="1"/>
  <c r="O54" i="276" s="1"/>
  <c r="F13" i="263" l="1"/>
  <c r="F14" i="263"/>
  <c r="F15" i="263"/>
  <c r="F16" i="263"/>
  <c r="F17" i="263"/>
  <c r="M42" i="266"/>
  <c r="H17" i="263" l="1"/>
  <c r="I17" i="263"/>
  <c r="J17" i="263"/>
  <c r="K17" i="263"/>
  <c r="L17" i="263"/>
  <c r="M17" i="263"/>
  <c r="N17" i="263"/>
  <c r="O17" i="263"/>
  <c r="P17" i="263"/>
  <c r="Q17" i="263"/>
  <c r="G17" i="263"/>
  <c r="P10" i="263"/>
  <c r="Q16" i="263" l="1"/>
  <c r="P16" i="263"/>
  <c r="O16" i="263"/>
  <c r="N16" i="263"/>
  <c r="M16" i="263"/>
  <c r="L16" i="263"/>
  <c r="K16" i="263"/>
  <c r="J16" i="263"/>
  <c r="I16" i="263"/>
  <c r="H16" i="263"/>
  <c r="G16" i="263"/>
  <c r="G14" i="263"/>
  <c r="H14" i="263"/>
  <c r="I14" i="263"/>
  <c r="J14" i="263"/>
  <c r="K14" i="263"/>
  <c r="L14" i="263"/>
  <c r="M14" i="263"/>
  <c r="N14" i="263"/>
  <c r="O14" i="263"/>
  <c r="P14" i="263"/>
  <c r="Q14" i="263"/>
  <c r="G15" i="263"/>
  <c r="H15" i="263"/>
  <c r="I15" i="263"/>
  <c r="J15" i="263"/>
  <c r="K15" i="263"/>
  <c r="L15" i="263"/>
  <c r="M15" i="263"/>
  <c r="N15" i="263"/>
  <c r="O15" i="263"/>
  <c r="Q15" i="263"/>
  <c r="G26" i="263"/>
  <c r="H26" i="263"/>
  <c r="I26" i="263"/>
  <c r="J26" i="263"/>
  <c r="K26" i="263"/>
  <c r="L26" i="263"/>
  <c r="M26" i="263"/>
  <c r="N26" i="263"/>
  <c r="O26" i="263"/>
  <c r="P26" i="263"/>
  <c r="Q26" i="263"/>
  <c r="G27" i="263"/>
  <c r="H27" i="263"/>
  <c r="I27" i="263"/>
  <c r="J27" i="263"/>
  <c r="K27" i="263"/>
  <c r="L27" i="263"/>
  <c r="M27" i="263"/>
  <c r="N27" i="263"/>
  <c r="O27" i="263"/>
  <c r="P27" i="263"/>
  <c r="Q27" i="263"/>
  <c r="F27" i="263"/>
  <c r="F26" i="263"/>
  <c r="M7" i="267"/>
  <c r="M5" i="267"/>
  <c r="M15" i="267"/>
  <c r="M13" i="267"/>
  <c r="G45" i="267"/>
  <c r="H45" i="267"/>
  <c r="F45" i="267"/>
  <c r="F28" i="267"/>
  <c r="E5" i="267" s="1"/>
  <c r="G27" i="267"/>
  <c r="H27" i="267" s="1"/>
  <c r="G26" i="267"/>
  <c r="H26" i="267" s="1"/>
  <c r="G25" i="267"/>
  <c r="H25" i="267" s="1"/>
  <c r="G24" i="267"/>
  <c r="H24" i="267" s="1"/>
  <c r="G23" i="267"/>
  <c r="H23" i="267" s="1"/>
  <c r="G22" i="267"/>
  <c r="H22" i="267" s="1"/>
  <c r="G21" i="267"/>
  <c r="H21" i="267" s="1"/>
  <c r="G20" i="267"/>
  <c r="H20" i="267" s="1"/>
  <c r="G28" i="267" l="1"/>
  <c r="E13" i="267" s="1"/>
  <c r="H28" i="267"/>
  <c r="R9" i="263" l="1"/>
  <c r="G26" i="275"/>
  <c r="H26" i="275"/>
  <c r="I26" i="275"/>
  <c r="J26" i="275"/>
  <c r="K26" i="275"/>
  <c r="L26" i="275"/>
  <c r="M26" i="275"/>
  <c r="N26" i="275"/>
  <c r="O26" i="275"/>
  <c r="P26" i="275"/>
  <c r="Q26" i="275"/>
  <c r="F26" i="275"/>
  <c r="R25" i="275"/>
  <c r="R24" i="275"/>
  <c r="R23" i="275"/>
  <c r="R22" i="275"/>
  <c r="R21" i="275"/>
  <c r="R15" i="275"/>
  <c r="Q12" i="275"/>
  <c r="P12" i="275"/>
  <c r="O12" i="275"/>
  <c r="N12" i="275"/>
  <c r="M12" i="275"/>
  <c r="L12" i="275"/>
  <c r="K12" i="275"/>
  <c r="J12" i="275"/>
  <c r="I12" i="275"/>
  <c r="H12" i="275"/>
  <c r="G12" i="275"/>
  <c r="F12" i="275"/>
  <c r="R11" i="275"/>
  <c r="R10" i="275"/>
  <c r="R9" i="275"/>
  <c r="R8" i="275"/>
  <c r="R7" i="275"/>
  <c r="R6" i="275"/>
  <c r="R5" i="275"/>
  <c r="R26" i="275" l="1"/>
  <c r="R12" i="275"/>
  <c r="Q6" i="245" l="1"/>
  <c r="R9" i="264" l="1"/>
  <c r="R10" i="264"/>
  <c r="R21" i="263" l="1"/>
  <c r="R12" i="263"/>
  <c r="G13" i="263"/>
  <c r="H13" i="263"/>
  <c r="I13" i="263"/>
  <c r="J13" i="263"/>
  <c r="K13" i="263"/>
  <c r="L13" i="263"/>
  <c r="M13" i="263"/>
  <c r="N13" i="263"/>
  <c r="O13" i="263"/>
  <c r="P13" i="263"/>
  <c r="Q13" i="263"/>
  <c r="R13" i="263" l="1"/>
  <c r="A39" i="220" l="1"/>
  <c r="A32" i="220"/>
  <c r="A25" i="220"/>
  <c r="A18" i="220"/>
  <c r="A11" i="220"/>
  <c r="A35" i="222"/>
  <c r="A35" i="223"/>
  <c r="A35" i="224"/>
  <c r="A35" i="225"/>
  <c r="A35" i="226"/>
  <c r="A35" i="227"/>
  <c r="A35" i="228"/>
  <c r="A35" i="229"/>
  <c r="A35" i="230"/>
  <c r="A35" i="231"/>
  <c r="A35" i="232"/>
  <c r="A35" i="221"/>
  <c r="A24" i="222"/>
  <c r="A24" i="223"/>
  <c r="A24" i="224"/>
  <c r="A24" i="225"/>
  <c r="A24" i="226"/>
  <c r="A24" i="227"/>
  <c r="A24" i="228"/>
  <c r="A24" i="229"/>
  <c r="A24" i="230"/>
  <c r="A24" i="231"/>
  <c r="A24" i="232"/>
  <c r="A24" i="221"/>
  <c r="A15" i="222"/>
  <c r="A15" i="223"/>
  <c r="A15" i="224"/>
  <c r="A15" i="225"/>
  <c r="A15" i="226"/>
  <c r="A15" i="227"/>
  <c r="A15" i="228"/>
  <c r="A15" i="229"/>
  <c r="A15" i="230"/>
  <c r="A15" i="231"/>
  <c r="A15" i="232"/>
  <c r="A15" i="221"/>
  <c r="T32" i="220" l="1"/>
  <c r="T12" i="220"/>
  <c r="AG18" i="268" l="1"/>
  <c r="AG19" i="268"/>
  <c r="AG20" i="268"/>
  <c r="AG21" i="268"/>
  <c r="AG22" i="268"/>
  <c r="AG23" i="268"/>
  <c r="AG24" i="268"/>
  <c r="AG25" i="268"/>
  <c r="AG26" i="268"/>
  <c r="AG27" i="268"/>
  <c r="AG28" i="268"/>
  <c r="AG17" i="268"/>
  <c r="AE26" i="233" l="1"/>
  <c r="AE25" i="233"/>
  <c r="AE24" i="233"/>
  <c r="AE23" i="233"/>
  <c r="AE22" i="233"/>
  <c r="AE21" i="233"/>
  <c r="AE20" i="233"/>
  <c r="AE19" i="233"/>
  <c r="AE18" i="233"/>
  <c r="AE17" i="233"/>
  <c r="R42" i="238"/>
  <c r="G43" i="238"/>
  <c r="H43" i="238"/>
  <c r="I43" i="238"/>
  <c r="J43" i="238"/>
  <c r="K43" i="238"/>
  <c r="L43" i="238"/>
  <c r="M43" i="238"/>
  <c r="N43" i="238"/>
  <c r="O43" i="238"/>
  <c r="P43" i="238"/>
  <c r="AE27" i="233" s="1"/>
  <c r="Q43" i="238"/>
  <c r="F43" i="238"/>
  <c r="G42" i="238"/>
  <c r="H42" i="238"/>
  <c r="I42" i="238"/>
  <c r="J42" i="238"/>
  <c r="K42" i="238"/>
  <c r="L42" i="238"/>
  <c r="M42" i="238"/>
  <c r="N42" i="238"/>
  <c r="O42" i="238"/>
  <c r="P42" i="238"/>
  <c r="Q42" i="238"/>
  <c r="F42" i="238"/>
  <c r="AE28" i="233" l="1"/>
  <c r="R43" i="238"/>
  <c r="M12" i="233" s="1"/>
  <c r="AF17" i="268"/>
  <c r="AF18" i="268" s="1"/>
  <c r="AF19" i="268" s="1"/>
  <c r="AF20" i="268" s="1"/>
  <c r="AF21" i="268" s="1"/>
  <c r="AF22" i="268" s="1"/>
  <c r="AF23" i="268" s="1"/>
  <c r="AF24" i="268" s="1"/>
  <c r="AF25" i="268" s="1"/>
  <c r="AF26" i="268" s="1"/>
  <c r="AF27" i="268" s="1"/>
  <c r="AF28" i="268" s="1"/>
  <c r="V38" i="268"/>
  <c r="W38" i="268"/>
  <c r="C87" i="268" l="1"/>
  <c r="R24" i="263" l="1"/>
  <c r="R23" i="263"/>
  <c r="R22" i="263"/>
  <c r="R20" i="263"/>
  <c r="R17" i="263"/>
  <c r="N12" i="268" s="1"/>
  <c r="R16" i="263"/>
  <c r="N11" i="268" s="1"/>
  <c r="R11" i="263"/>
  <c r="R10" i="263"/>
  <c r="R8" i="263"/>
  <c r="R7" i="263"/>
  <c r="R6" i="263"/>
  <c r="R5" i="263"/>
  <c r="R4" i="263"/>
  <c r="R3" i="263"/>
  <c r="N53" i="268" l="1"/>
  <c r="N52" i="268"/>
  <c r="I13" i="268"/>
  <c r="I13" i="284" s="1"/>
  <c r="J13" i="268"/>
  <c r="J13" i="284" s="1"/>
  <c r="K13" i="268"/>
  <c r="K13" i="284" s="1"/>
  <c r="L13" i="268"/>
  <c r="L13" i="284" s="1"/>
  <c r="M13" i="268"/>
  <c r="M13" i="284" s="1"/>
  <c r="H13" i="268"/>
  <c r="H13" i="284" s="1"/>
  <c r="H53" i="284" s="1"/>
  <c r="J12" i="268"/>
  <c r="J12" i="284" s="1"/>
  <c r="J54" i="284" s="1"/>
  <c r="K12" i="268"/>
  <c r="K12" i="284" s="1"/>
  <c r="K54" i="284" s="1"/>
  <c r="L12" i="268"/>
  <c r="L12" i="284" s="1"/>
  <c r="L54" i="284" s="1"/>
  <c r="I12" i="268"/>
  <c r="I12" i="284" s="1"/>
  <c r="I54" i="284" s="1"/>
  <c r="H12" i="268"/>
  <c r="H12" i="284" s="1"/>
  <c r="H54" i="284" s="1"/>
  <c r="H60" i="284" l="1"/>
  <c r="P60" i="284" s="1"/>
  <c r="H61" i="284"/>
  <c r="P61" i="284" s="1"/>
  <c r="H67" i="284"/>
  <c r="P67" i="284" s="1"/>
  <c r="H63" i="284"/>
  <c r="P63" i="284" s="1"/>
  <c r="H62" i="284"/>
  <c r="P62" i="284" s="1"/>
  <c r="H59" i="284"/>
  <c r="H69" i="284"/>
  <c r="P69" i="284" s="1"/>
  <c r="H65" i="284"/>
  <c r="P65" i="284" s="1"/>
  <c r="H64" i="284"/>
  <c r="P64" i="284" s="1"/>
  <c r="H68" i="284"/>
  <c r="P68" i="284" s="1"/>
  <c r="H66" i="284"/>
  <c r="P66" i="284" s="1"/>
  <c r="H70" i="284"/>
  <c r="P70" i="284" s="1"/>
  <c r="C86" i="268"/>
  <c r="C85" i="268"/>
  <c r="C84" i="268"/>
  <c r="C83" i="268"/>
  <c r="C82" i="268"/>
  <c r="C81" i="268"/>
  <c r="R78" i="268"/>
  <c r="S78" i="268" s="1"/>
  <c r="Y78" i="268" s="1"/>
  <c r="R77" i="268"/>
  <c r="S77" i="268" s="1"/>
  <c r="Y77" i="268" s="1"/>
  <c r="R76" i="268"/>
  <c r="S76" i="268" s="1"/>
  <c r="Y76" i="268" s="1"/>
  <c r="R75" i="268"/>
  <c r="S75" i="268" s="1"/>
  <c r="Y75" i="268" s="1"/>
  <c r="R74" i="268"/>
  <c r="S74" i="268" s="1"/>
  <c r="Y74" i="268" s="1"/>
  <c r="R73" i="268"/>
  <c r="S73" i="268" s="1"/>
  <c r="Y73" i="268" s="1"/>
  <c r="R72" i="268"/>
  <c r="S72" i="268" s="1"/>
  <c r="Y72" i="268" s="1"/>
  <c r="R71" i="268"/>
  <c r="S71" i="268" s="1"/>
  <c r="Y71" i="268" s="1"/>
  <c r="R70" i="268"/>
  <c r="S70" i="268" s="1"/>
  <c r="Y70" i="268" s="1"/>
  <c r="A58" i="268"/>
  <c r="A59" i="268" s="1"/>
  <c r="A60" i="268" s="1"/>
  <c r="A61" i="268" s="1"/>
  <c r="A62" i="268" s="1"/>
  <c r="A63" i="268" s="1"/>
  <c r="A64" i="268" s="1"/>
  <c r="A65" i="268" s="1"/>
  <c r="A66" i="268" s="1"/>
  <c r="A67" i="268" s="1"/>
  <c r="A68" i="268" s="1"/>
  <c r="A69" i="268" s="1"/>
  <c r="A70" i="268" s="1"/>
  <c r="A71" i="268" s="1"/>
  <c r="A72" i="268" s="1"/>
  <c r="A73" i="268" s="1"/>
  <c r="A74" i="268" s="1"/>
  <c r="A75" i="268" s="1"/>
  <c r="A76" i="268" s="1"/>
  <c r="A77" i="268" s="1"/>
  <c r="A78" i="268" s="1"/>
  <c r="A79" i="268" s="1"/>
  <c r="Y37" i="268"/>
  <c r="X37" i="268"/>
  <c r="Y36" i="268"/>
  <c r="X36" i="268"/>
  <c r="Y35" i="268"/>
  <c r="X35" i="268"/>
  <c r="Y34" i="268"/>
  <c r="X34" i="268"/>
  <c r="Y33" i="268"/>
  <c r="X33" i="268"/>
  <c r="Y32" i="268"/>
  <c r="X32" i="268"/>
  <c r="Y31" i="268"/>
  <c r="X31" i="268"/>
  <c r="Y30" i="268"/>
  <c r="X30" i="268"/>
  <c r="X29" i="268"/>
  <c r="A17" i="268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L53" i="268"/>
  <c r="K53" i="268"/>
  <c r="J53" i="268"/>
  <c r="H80" i="284" l="1"/>
  <c r="P59" i="284"/>
  <c r="P80" i="284"/>
  <c r="X38" i="268"/>
  <c r="I23" i="268"/>
  <c r="I24" i="268"/>
  <c r="I25" i="268"/>
  <c r="I18" i="268"/>
  <c r="I26" i="268"/>
  <c r="I19" i="268"/>
  <c r="I27" i="268"/>
  <c r="I20" i="268"/>
  <c r="I28" i="268"/>
  <c r="I21" i="268"/>
  <c r="I17" i="268"/>
  <c r="I22" i="268"/>
  <c r="H19" i="268"/>
  <c r="H27" i="268"/>
  <c r="H20" i="268"/>
  <c r="H28" i="268"/>
  <c r="H21" i="268"/>
  <c r="H17" i="268"/>
  <c r="H23" i="268"/>
  <c r="H22" i="268"/>
  <c r="H18" i="268"/>
  <c r="H24" i="268"/>
  <c r="H25" i="268"/>
  <c r="H26" i="268"/>
  <c r="L52" i="268"/>
  <c r="H52" i="268"/>
  <c r="I52" i="268"/>
  <c r="H53" i="268"/>
  <c r="I53" i="268"/>
  <c r="L60" i="268" l="1"/>
  <c r="L68" i="268"/>
  <c r="L66" i="268"/>
  <c r="L59" i="268"/>
  <c r="L61" i="268"/>
  <c r="L69" i="268"/>
  <c r="L62" i="268"/>
  <c r="L58" i="268"/>
  <c r="L64" i="268"/>
  <c r="L67" i="268"/>
  <c r="L63" i="268"/>
  <c r="L65" i="268"/>
  <c r="L18" i="268"/>
  <c r="L19" i="268"/>
  <c r="L27" i="268"/>
  <c r="L20" i="268"/>
  <c r="L28" i="268"/>
  <c r="L26" i="268"/>
  <c r="L21" i="268"/>
  <c r="L17" i="268"/>
  <c r="L22" i="268"/>
  <c r="L23" i="268"/>
  <c r="L24" i="268"/>
  <c r="L25" i="268"/>
  <c r="I64" i="268"/>
  <c r="I68" i="268"/>
  <c r="I58" i="268"/>
  <c r="I63" i="268"/>
  <c r="I65" i="268"/>
  <c r="I66" i="268"/>
  <c r="I60" i="268"/>
  <c r="I62" i="268"/>
  <c r="I59" i="268"/>
  <c r="I67" i="268"/>
  <c r="I61" i="268"/>
  <c r="I69" i="268"/>
  <c r="J19" i="268"/>
  <c r="J27" i="268"/>
  <c r="J26" i="268"/>
  <c r="J20" i="268"/>
  <c r="J28" i="268"/>
  <c r="J23" i="268"/>
  <c r="J21" i="268"/>
  <c r="J17" i="268"/>
  <c r="J18" i="268"/>
  <c r="J22" i="268"/>
  <c r="J24" i="268"/>
  <c r="J25" i="268"/>
  <c r="K23" i="268"/>
  <c r="K27" i="268"/>
  <c r="K24" i="268"/>
  <c r="K25" i="268"/>
  <c r="K19" i="268"/>
  <c r="K18" i="268"/>
  <c r="K26" i="268"/>
  <c r="K22" i="268"/>
  <c r="K20" i="268"/>
  <c r="K28" i="268"/>
  <c r="K21" i="268"/>
  <c r="K17" i="268"/>
  <c r="H60" i="268"/>
  <c r="H68" i="268"/>
  <c r="H61" i="268"/>
  <c r="H69" i="268"/>
  <c r="H66" i="268"/>
  <c r="H62" i="268"/>
  <c r="H58" i="268"/>
  <c r="H63" i="268"/>
  <c r="H64" i="268"/>
  <c r="H59" i="268"/>
  <c r="H65" i="268"/>
  <c r="H67" i="268"/>
  <c r="J52" i="268"/>
  <c r="K52" i="268"/>
  <c r="H38" i="268"/>
  <c r="I38" i="268"/>
  <c r="J38" i="268" l="1"/>
  <c r="K64" i="268"/>
  <c r="K68" i="268"/>
  <c r="K65" i="268"/>
  <c r="K60" i="268"/>
  <c r="K66" i="268"/>
  <c r="K62" i="268"/>
  <c r="K59" i="268"/>
  <c r="K67" i="268"/>
  <c r="K58" i="268"/>
  <c r="K61" i="268"/>
  <c r="K69" i="268"/>
  <c r="K63" i="268"/>
  <c r="J60" i="268"/>
  <c r="J68" i="268"/>
  <c r="J61" i="268"/>
  <c r="J69" i="268"/>
  <c r="J67" i="268"/>
  <c r="J62" i="268"/>
  <c r="J58" i="268"/>
  <c r="J63" i="268"/>
  <c r="J64" i="268"/>
  <c r="J59" i="268"/>
  <c r="J65" i="268"/>
  <c r="J66" i="268"/>
  <c r="L38" i="268"/>
  <c r="K38" i="268"/>
  <c r="H79" i="268"/>
  <c r="L79" i="268"/>
  <c r="I79" i="268"/>
  <c r="J79" i="268" l="1"/>
  <c r="K79" i="268"/>
  <c r="G12" i="264" l="1"/>
  <c r="H12" i="264"/>
  <c r="I12" i="264"/>
  <c r="J12" i="264"/>
  <c r="K12" i="264"/>
  <c r="L12" i="264"/>
  <c r="M12" i="264"/>
  <c r="N12" i="264"/>
  <c r="O12" i="264"/>
  <c r="P12" i="264"/>
  <c r="Q12" i="264"/>
  <c r="F12" i="264"/>
  <c r="R11" i="264"/>
  <c r="D28" i="248" l="1"/>
  <c r="E28" i="248"/>
  <c r="F28" i="248"/>
  <c r="H28" i="248"/>
  <c r="I28" i="248"/>
  <c r="J28" i="248"/>
  <c r="K28" i="248"/>
  <c r="L28" i="248"/>
  <c r="M28" i="248"/>
  <c r="N28" i="248"/>
  <c r="C28" i="248"/>
  <c r="D30" i="248"/>
  <c r="E30" i="248"/>
  <c r="F30" i="248"/>
  <c r="H30" i="248"/>
  <c r="I30" i="248"/>
  <c r="J30" i="248"/>
  <c r="K30" i="248"/>
  <c r="L30" i="248"/>
  <c r="M30" i="248"/>
  <c r="N30" i="248"/>
  <c r="C30" i="248"/>
  <c r="G25" i="263"/>
  <c r="G29" i="263" s="1"/>
  <c r="H25" i="263"/>
  <c r="I25" i="263"/>
  <c r="I29" i="263" s="1"/>
  <c r="J25" i="263"/>
  <c r="K25" i="263"/>
  <c r="L25" i="263"/>
  <c r="M25" i="263"/>
  <c r="N25" i="263"/>
  <c r="O25" i="263"/>
  <c r="O29" i="263" s="1"/>
  <c r="P25" i="263"/>
  <c r="Q25" i="263"/>
  <c r="Q29" i="263" s="1"/>
  <c r="F25" i="263"/>
  <c r="D10" i="248"/>
  <c r="E10" i="248"/>
  <c r="F10" i="248"/>
  <c r="H10" i="248"/>
  <c r="I10" i="248"/>
  <c r="J10" i="248"/>
  <c r="K10" i="248"/>
  <c r="L10" i="248"/>
  <c r="M10" i="248"/>
  <c r="N10" i="248"/>
  <c r="D12" i="248"/>
  <c r="E12" i="248"/>
  <c r="F12" i="248"/>
  <c r="H12" i="248"/>
  <c r="I12" i="248"/>
  <c r="J12" i="248"/>
  <c r="K12" i="248"/>
  <c r="L12" i="248"/>
  <c r="M12" i="248"/>
  <c r="N12" i="248"/>
  <c r="C10" i="248"/>
  <c r="C12" i="248"/>
  <c r="R25" i="263" l="1"/>
  <c r="M29" i="263"/>
  <c r="N29" i="263"/>
  <c r="G28" i="248"/>
  <c r="R27" i="263"/>
  <c r="G30" i="248"/>
  <c r="R26" i="263"/>
  <c r="G10" i="248"/>
  <c r="R15" i="263"/>
  <c r="G12" i="248"/>
  <c r="R14" i="263"/>
  <c r="L29" i="263"/>
  <c r="F29" i="263"/>
  <c r="J29" i="263"/>
  <c r="K29" i="263"/>
  <c r="P29" i="263"/>
  <c r="H29" i="263"/>
  <c r="N53" i="266"/>
  <c r="M53" i="266"/>
  <c r="L53" i="266"/>
  <c r="K53" i="266"/>
  <c r="J53" i="266"/>
  <c r="I53" i="266"/>
  <c r="H53" i="266"/>
  <c r="G53" i="266"/>
  <c r="F53" i="266"/>
  <c r="E53" i="266"/>
  <c r="B53" i="266"/>
  <c r="C54" i="266" s="1"/>
  <c r="D48" i="266"/>
  <c r="C48" i="266"/>
  <c r="C53" i="266" s="1"/>
  <c r="D42" i="266"/>
  <c r="D53" i="266" l="1"/>
  <c r="D54" i="266" s="1"/>
  <c r="E54" i="266" s="1"/>
  <c r="F54" i="266" s="1"/>
  <c r="G54" i="266" s="1"/>
  <c r="H54" i="266" s="1"/>
  <c r="I54" i="266" s="1"/>
  <c r="J54" i="266" s="1"/>
  <c r="K54" i="266" s="1"/>
  <c r="L54" i="266" s="1"/>
  <c r="T19" i="231" s="1"/>
  <c r="R29" i="263"/>
  <c r="D39" i="220"/>
  <c r="E39" i="220"/>
  <c r="F39" i="220"/>
  <c r="G39" i="220"/>
  <c r="H39" i="220"/>
  <c r="I39" i="220"/>
  <c r="J39" i="220"/>
  <c r="K39" i="220"/>
  <c r="L39" i="220"/>
  <c r="M39" i="220"/>
  <c r="N39" i="220"/>
  <c r="C39" i="220"/>
  <c r="D37" i="220"/>
  <c r="E37" i="220"/>
  <c r="F37" i="220"/>
  <c r="G37" i="220"/>
  <c r="H37" i="220"/>
  <c r="I37" i="220"/>
  <c r="J37" i="220"/>
  <c r="K37" i="220"/>
  <c r="L37" i="220"/>
  <c r="M37" i="220"/>
  <c r="N37" i="220"/>
  <c r="C37" i="220"/>
  <c r="R31" i="239"/>
  <c r="J26" i="239"/>
  <c r="K26" i="239"/>
  <c r="L26" i="239"/>
  <c r="M26" i="239"/>
  <c r="N26" i="239"/>
  <c r="O26" i="239"/>
  <c r="P26" i="239"/>
  <c r="Q26" i="239"/>
  <c r="R26" i="239"/>
  <c r="F26" i="239"/>
  <c r="G26" i="239"/>
  <c r="H26" i="239"/>
  <c r="I26" i="239"/>
  <c r="G54" i="238"/>
  <c r="D32" i="220" s="1"/>
  <c r="H54" i="238"/>
  <c r="E32" i="220" s="1"/>
  <c r="I54" i="238"/>
  <c r="F32" i="220" s="1"/>
  <c r="J54" i="238"/>
  <c r="G32" i="220" s="1"/>
  <c r="K54" i="238"/>
  <c r="H32" i="220" s="1"/>
  <c r="L54" i="238"/>
  <c r="I32" i="220" s="1"/>
  <c r="M54" i="238"/>
  <c r="J32" i="220" s="1"/>
  <c r="N54" i="238"/>
  <c r="K32" i="220" s="1"/>
  <c r="O54" i="238"/>
  <c r="L32" i="220" s="1"/>
  <c r="P54" i="238"/>
  <c r="M32" i="220" s="1"/>
  <c r="Q54" i="238"/>
  <c r="N32" i="220" s="1"/>
  <c r="F54" i="238"/>
  <c r="C32" i="220" s="1"/>
  <c r="G53" i="238"/>
  <c r="D34" i="220" s="1"/>
  <c r="H53" i="238"/>
  <c r="E34" i="220" s="1"/>
  <c r="I53" i="238"/>
  <c r="F34" i="220" s="1"/>
  <c r="J53" i="238"/>
  <c r="G34" i="220" s="1"/>
  <c r="K53" i="238"/>
  <c r="H34" i="220" s="1"/>
  <c r="L53" i="238"/>
  <c r="I34" i="220" s="1"/>
  <c r="M53" i="238"/>
  <c r="J34" i="220" s="1"/>
  <c r="N53" i="238"/>
  <c r="K34" i="220" s="1"/>
  <c r="O53" i="238"/>
  <c r="L34" i="220" s="1"/>
  <c r="P53" i="238"/>
  <c r="M34" i="220" s="1"/>
  <c r="Q53" i="238"/>
  <c r="N34" i="220" s="1"/>
  <c r="F53" i="238"/>
  <c r="C34" i="220" s="1"/>
  <c r="G41" i="238"/>
  <c r="D11" i="220" s="1"/>
  <c r="H41" i="238"/>
  <c r="E11" i="220" s="1"/>
  <c r="I41" i="238"/>
  <c r="F11" i="220" s="1"/>
  <c r="J41" i="238"/>
  <c r="G11" i="220" s="1"/>
  <c r="K41" i="238"/>
  <c r="H11" i="220" s="1"/>
  <c r="L41" i="238"/>
  <c r="I11" i="220" s="1"/>
  <c r="M41" i="238"/>
  <c r="J11" i="220" s="1"/>
  <c r="N41" i="238"/>
  <c r="K11" i="220" s="1"/>
  <c r="O41" i="238"/>
  <c r="L11" i="220" s="1"/>
  <c r="P41" i="238"/>
  <c r="M11" i="220" s="1"/>
  <c r="Q41" i="238"/>
  <c r="N11" i="220" s="1"/>
  <c r="F41" i="238"/>
  <c r="C11" i="220" s="1"/>
  <c r="G40" i="238"/>
  <c r="D13" i="220" s="1"/>
  <c r="H40" i="238"/>
  <c r="E13" i="220" s="1"/>
  <c r="I40" i="238"/>
  <c r="F13" i="220" s="1"/>
  <c r="J40" i="238"/>
  <c r="G13" i="220" s="1"/>
  <c r="K40" i="238"/>
  <c r="H13" i="220" s="1"/>
  <c r="L40" i="238"/>
  <c r="I13" i="220" s="1"/>
  <c r="M40" i="238"/>
  <c r="J13" i="220" s="1"/>
  <c r="N40" i="238"/>
  <c r="K13" i="220" s="1"/>
  <c r="O40" i="238"/>
  <c r="L13" i="220" s="1"/>
  <c r="P40" i="238"/>
  <c r="M13" i="220" s="1"/>
  <c r="Q40" i="238"/>
  <c r="N13" i="220" s="1"/>
  <c r="F40" i="238"/>
  <c r="C13" i="220" s="1"/>
  <c r="M54" i="266" l="1"/>
  <c r="N54" i="266" s="1"/>
  <c r="G52" i="238"/>
  <c r="H52" i="238"/>
  <c r="I52" i="238"/>
  <c r="J52" i="238"/>
  <c r="K52" i="238"/>
  <c r="L52" i="238"/>
  <c r="M52" i="238"/>
  <c r="N52" i="238"/>
  <c r="O52" i="238"/>
  <c r="P52" i="238"/>
  <c r="Q52" i="238"/>
  <c r="F52" i="238"/>
  <c r="G39" i="238"/>
  <c r="H39" i="238"/>
  <c r="I39" i="238"/>
  <c r="J39" i="238"/>
  <c r="K39" i="238"/>
  <c r="L39" i="238"/>
  <c r="M39" i="238"/>
  <c r="N39" i="238"/>
  <c r="O39" i="238"/>
  <c r="P39" i="238"/>
  <c r="Q39" i="238"/>
  <c r="F39" i="238"/>
  <c r="R47" i="238" l="1"/>
  <c r="R48" i="238"/>
  <c r="R49" i="238"/>
  <c r="R50" i="238"/>
  <c r="R51" i="238"/>
  <c r="R46" i="238"/>
  <c r="R25" i="238"/>
  <c r="R27" i="238"/>
  <c r="R22" i="238"/>
  <c r="R24" i="238"/>
  <c r="R26" i="238"/>
  <c r="R34" i="238"/>
  <c r="R35" i="238"/>
  <c r="R36" i="238"/>
  <c r="R28" i="238"/>
  <c r="R29" i="238"/>
  <c r="R30" i="238"/>
  <c r="R31" i="238"/>
  <c r="R32" i="238"/>
  <c r="R33" i="238"/>
  <c r="R37" i="238"/>
  <c r="R38" i="238"/>
  <c r="R23" i="238"/>
  <c r="M12" i="268" l="1"/>
  <c r="M12" i="284" s="1"/>
  <c r="M54" i="284" s="1"/>
  <c r="R40" i="238"/>
  <c r="R53" i="238"/>
  <c r="R41" i="238"/>
  <c r="R54" i="238"/>
  <c r="R52" i="238"/>
  <c r="R39" i="238"/>
  <c r="M11" i="233" l="1"/>
  <c r="T11" i="220"/>
  <c r="M53" i="268"/>
  <c r="M22" i="268" l="1"/>
  <c r="M28" i="268"/>
  <c r="M23" i="268"/>
  <c r="M19" i="268"/>
  <c r="M17" i="268"/>
  <c r="M27" i="268"/>
  <c r="M24" i="268"/>
  <c r="M21" i="268"/>
  <c r="M25" i="268"/>
  <c r="M20" i="268"/>
  <c r="M18" i="268"/>
  <c r="M26" i="268"/>
  <c r="M52" i="268"/>
  <c r="M38" i="268" l="1"/>
  <c r="M65" i="268"/>
  <c r="M62" i="268"/>
  <c r="M69" i="268"/>
  <c r="M66" i="268"/>
  <c r="M58" i="268"/>
  <c r="M61" i="268"/>
  <c r="M59" i="268"/>
  <c r="M67" i="268"/>
  <c r="M64" i="268"/>
  <c r="M68" i="268"/>
  <c r="M63" i="268"/>
  <c r="M60" i="268"/>
  <c r="M79" i="268" l="1"/>
  <c r="D11" i="247" l="1"/>
  <c r="D10" i="247"/>
  <c r="D9" i="247"/>
  <c r="C11" i="247"/>
  <c r="C10" i="247"/>
  <c r="C9" i="247"/>
  <c r="L34" i="260" l="1"/>
  <c r="L31" i="260"/>
  <c r="L16" i="260"/>
  <c r="L13" i="260"/>
  <c r="L34" i="259"/>
  <c r="L31" i="259"/>
  <c r="L16" i="259"/>
  <c r="L13" i="259"/>
  <c r="L34" i="258"/>
  <c r="L31" i="258"/>
  <c r="L16" i="258"/>
  <c r="L13" i="258"/>
  <c r="L34" i="257"/>
  <c r="L31" i="257"/>
  <c r="L16" i="257"/>
  <c r="L13" i="257"/>
  <c r="L34" i="256"/>
  <c r="L31" i="256"/>
  <c r="L16" i="256"/>
  <c r="L13" i="256"/>
  <c r="L34" i="255"/>
  <c r="L31" i="255"/>
  <c r="L16" i="255"/>
  <c r="L13" i="255"/>
  <c r="L34" i="254"/>
  <c r="L31" i="254"/>
  <c r="L16" i="254"/>
  <c r="L13" i="254"/>
  <c r="L34" i="253"/>
  <c r="L31" i="253"/>
  <c r="L16" i="253"/>
  <c r="L13" i="253"/>
  <c r="L34" i="252"/>
  <c r="L31" i="252"/>
  <c r="L16" i="252"/>
  <c r="L13" i="252"/>
  <c r="L34" i="251"/>
  <c r="L31" i="251"/>
  <c r="L16" i="251"/>
  <c r="L13" i="251"/>
  <c r="L34" i="250"/>
  <c r="L31" i="250"/>
  <c r="L16" i="250"/>
  <c r="L13" i="250"/>
  <c r="L34" i="249"/>
  <c r="L31" i="249"/>
  <c r="L16" i="249"/>
  <c r="L13" i="249"/>
  <c r="C34" i="248"/>
  <c r="E11" i="140" s="1"/>
  <c r="L35" i="260"/>
  <c r="L35" i="259"/>
  <c r="L35" i="258"/>
  <c r="L35" i="257"/>
  <c r="L35" i="256"/>
  <c r="L35" i="255"/>
  <c r="L35" i="254"/>
  <c r="L35" i="253"/>
  <c r="L35" i="252"/>
  <c r="L35" i="251"/>
  <c r="L35" i="250"/>
  <c r="L35" i="249"/>
  <c r="L33" i="260"/>
  <c r="L33" i="259"/>
  <c r="L33" i="258"/>
  <c r="L33" i="257"/>
  <c r="L33" i="256"/>
  <c r="L33" i="255"/>
  <c r="L33" i="254"/>
  <c r="L33" i="253"/>
  <c r="L33" i="252"/>
  <c r="L33" i="251"/>
  <c r="L33" i="250"/>
  <c r="L33" i="249"/>
  <c r="N24" i="248"/>
  <c r="M24" i="248"/>
  <c r="L24" i="248"/>
  <c r="K24" i="248"/>
  <c r="J24" i="248"/>
  <c r="I24" i="248"/>
  <c r="H24" i="248"/>
  <c r="G24" i="248"/>
  <c r="F24" i="248"/>
  <c r="E24" i="248"/>
  <c r="D24" i="248"/>
  <c r="C24" i="248"/>
  <c r="N23" i="248"/>
  <c r="M23" i="248"/>
  <c r="L23" i="248"/>
  <c r="K23" i="248"/>
  <c r="J23" i="248"/>
  <c r="I23" i="248"/>
  <c r="H23" i="248"/>
  <c r="G23" i="248"/>
  <c r="F23" i="248"/>
  <c r="E23" i="248"/>
  <c r="D23" i="248"/>
  <c r="C23" i="248"/>
  <c r="N22" i="248"/>
  <c r="M22" i="248"/>
  <c r="L22" i="248"/>
  <c r="K22" i="248"/>
  <c r="J22" i="248"/>
  <c r="I22" i="248"/>
  <c r="H22" i="248"/>
  <c r="G22" i="248"/>
  <c r="F22" i="248"/>
  <c r="E22" i="248"/>
  <c r="D22" i="248"/>
  <c r="C22" i="248"/>
  <c r="N21" i="248"/>
  <c r="M21" i="248"/>
  <c r="L21" i="248"/>
  <c r="K21" i="248"/>
  <c r="J21" i="248"/>
  <c r="I21" i="248"/>
  <c r="H21" i="248"/>
  <c r="G21" i="248"/>
  <c r="F21" i="248"/>
  <c r="E21" i="248"/>
  <c r="D21" i="248"/>
  <c r="C21" i="248"/>
  <c r="N18" i="248"/>
  <c r="L25" i="260" s="1"/>
  <c r="M18" i="248"/>
  <c r="L25" i="259" s="1"/>
  <c r="L18" i="248"/>
  <c r="L25" i="258" s="1"/>
  <c r="K18" i="248"/>
  <c r="L25" i="257" s="1"/>
  <c r="J18" i="248"/>
  <c r="L25" i="256" s="1"/>
  <c r="I18" i="248"/>
  <c r="L25" i="255" s="1"/>
  <c r="H18" i="248"/>
  <c r="L25" i="254" s="1"/>
  <c r="G18" i="248"/>
  <c r="L25" i="253" s="1"/>
  <c r="F18" i="248"/>
  <c r="L25" i="252" s="1"/>
  <c r="E18" i="248"/>
  <c r="L25" i="251" s="1"/>
  <c r="D18" i="248"/>
  <c r="L25" i="250" s="1"/>
  <c r="C18" i="248"/>
  <c r="L25" i="249" s="1"/>
  <c r="N17" i="248"/>
  <c r="L24" i="260" s="1"/>
  <c r="M17" i="248"/>
  <c r="L24" i="259" s="1"/>
  <c r="L17" i="248"/>
  <c r="L24" i="258" s="1"/>
  <c r="K17" i="248"/>
  <c r="L24" i="257" s="1"/>
  <c r="J17" i="248"/>
  <c r="L24" i="256" s="1"/>
  <c r="I17" i="248"/>
  <c r="L24" i="255" s="1"/>
  <c r="H17" i="248"/>
  <c r="L24" i="254" s="1"/>
  <c r="G17" i="248"/>
  <c r="L24" i="253" s="1"/>
  <c r="F17" i="248"/>
  <c r="L24" i="252" s="1"/>
  <c r="E17" i="248"/>
  <c r="L24" i="251" s="1"/>
  <c r="D17" i="248"/>
  <c r="L24" i="250" s="1"/>
  <c r="C17" i="248"/>
  <c r="L24" i="249" s="1"/>
  <c r="N16" i="248"/>
  <c r="L23" i="260" s="1"/>
  <c r="M16" i="248"/>
  <c r="L23" i="259" s="1"/>
  <c r="L16" i="248"/>
  <c r="L23" i="258" s="1"/>
  <c r="K16" i="248"/>
  <c r="L23" i="257" s="1"/>
  <c r="J16" i="248"/>
  <c r="L23" i="256" s="1"/>
  <c r="I16" i="248"/>
  <c r="L23" i="255" s="1"/>
  <c r="H16" i="248"/>
  <c r="L23" i="254" s="1"/>
  <c r="G16" i="248"/>
  <c r="L23" i="253" s="1"/>
  <c r="F16" i="248"/>
  <c r="L23" i="252" s="1"/>
  <c r="E16" i="248"/>
  <c r="L23" i="251" s="1"/>
  <c r="D16" i="248"/>
  <c r="L23" i="250" s="1"/>
  <c r="C16" i="248"/>
  <c r="L23" i="249" s="1"/>
  <c r="N15" i="248"/>
  <c r="L21" i="260" s="1"/>
  <c r="M15" i="248"/>
  <c r="L21" i="259" s="1"/>
  <c r="L15" i="248"/>
  <c r="L21" i="258" s="1"/>
  <c r="K15" i="248"/>
  <c r="L21" i="257" s="1"/>
  <c r="J15" i="248"/>
  <c r="L21" i="256" s="1"/>
  <c r="I15" i="248"/>
  <c r="L21" i="255" s="1"/>
  <c r="H15" i="248"/>
  <c r="L21" i="254" s="1"/>
  <c r="G15" i="248"/>
  <c r="L21" i="253" s="1"/>
  <c r="F15" i="248"/>
  <c r="L21" i="252" s="1"/>
  <c r="E15" i="248"/>
  <c r="L21" i="251" s="1"/>
  <c r="D15" i="248"/>
  <c r="L21" i="250" s="1"/>
  <c r="C15" i="248"/>
  <c r="L21" i="249" s="1"/>
  <c r="L17" i="260"/>
  <c r="L17" i="259"/>
  <c r="L17" i="258"/>
  <c r="L17" i="257"/>
  <c r="L17" i="256"/>
  <c r="L17" i="255"/>
  <c r="L17" i="254"/>
  <c r="L17" i="253"/>
  <c r="L17" i="252"/>
  <c r="L17" i="251"/>
  <c r="L17" i="250"/>
  <c r="L17" i="249"/>
  <c r="L15" i="260"/>
  <c r="L15" i="259"/>
  <c r="L15" i="258"/>
  <c r="L15" i="257"/>
  <c r="L15" i="256"/>
  <c r="L15" i="255"/>
  <c r="L15" i="254"/>
  <c r="L15" i="253"/>
  <c r="L15" i="252"/>
  <c r="L15" i="251"/>
  <c r="L15" i="250"/>
  <c r="L15" i="249"/>
  <c r="E27" i="245" l="1"/>
  <c r="N16" i="267" l="1"/>
  <c r="M16" i="267"/>
  <c r="L16" i="267"/>
  <c r="K16" i="267"/>
  <c r="J16" i="267"/>
  <c r="I16" i="267"/>
  <c r="H16" i="267"/>
  <c r="G16" i="267"/>
  <c r="F16" i="267"/>
  <c r="E16" i="267"/>
  <c r="D16" i="267"/>
  <c r="C16" i="267"/>
  <c r="O15" i="267"/>
  <c r="O14" i="267"/>
  <c r="O13" i="267"/>
  <c r="O12" i="267"/>
  <c r="N8" i="267"/>
  <c r="M8" i="267"/>
  <c r="L8" i="267"/>
  <c r="K8" i="267"/>
  <c r="J8" i="267"/>
  <c r="I8" i="267"/>
  <c r="H8" i="267"/>
  <c r="G8" i="267"/>
  <c r="F8" i="267"/>
  <c r="E8" i="267"/>
  <c r="D8" i="267"/>
  <c r="C8" i="267"/>
  <c r="O7" i="267"/>
  <c r="O6" i="267"/>
  <c r="O5" i="267"/>
  <c r="O4" i="267"/>
  <c r="O16" i="267" l="1"/>
  <c r="O8" i="267"/>
  <c r="B26" i="266"/>
  <c r="N33" i="248"/>
  <c r="P26" i="245" s="1"/>
  <c r="D25" i="278" s="1"/>
  <c r="M33" i="248"/>
  <c r="O26" i="245" s="1"/>
  <c r="L33" i="248"/>
  <c r="N26" i="245" s="1"/>
  <c r="K33" i="248"/>
  <c r="M26" i="245" s="1"/>
  <c r="J33" i="248"/>
  <c r="L26" i="245" s="1"/>
  <c r="I33" i="248"/>
  <c r="K26" i="245" s="1"/>
  <c r="H33" i="248"/>
  <c r="J26" i="245" s="1"/>
  <c r="G33" i="248"/>
  <c r="I26" i="245" s="1"/>
  <c r="F33" i="248"/>
  <c r="H26" i="245" s="1"/>
  <c r="E33" i="248"/>
  <c r="G26" i="245" s="1"/>
  <c r="D33" i="248"/>
  <c r="F26" i="245" s="1"/>
  <c r="C33" i="248"/>
  <c r="E26" i="245" s="1"/>
  <c r="R8" i="264"/>
  <c r="R7" i="264"/>
  <c r="R6" i="264"/>
  <c r="R5" i="264"/>
  <c r="R12" i="264" l="1"/>
  <c r="E34" i="248"/>
  <c r="D34" i="248"/>
  <c r="F27" i="245" l="1"/>
  <c r="E12" i="140"/>
  <c r="G27" i="245"/>
  <c r="E13" i="140"/>
  <c r="F34" i="248"/>
  <c r="H27" i="245" l="1"/>
  <c r="E14" i="140"/>
  <c r="G34" i="248"/>
  <c r="P36" i="260"/>
  <c r="N36" i="260"/>
  <c r="J36" i="260"/>
  <c r="L36" i="260"/>
  <c r="P28" i="268" s="1"/>
  <c r="P69" i="268" s="1"/>
  <c r="H25" i="260"/>
  <c r="N25" i="260" s="1"/>
  <c r="H24" i="260"/>
  <c r="N24" i="260" s="1"/>
  <c r="H23" i="260"/>
  <c r="N23" i="260" s="1"/>
  <c r="H22" i="260"/>
  <c r="N22" i="260" s="1"/>
  <c r="L26" i="260"/>
  <c r="H21" i="260"/>
  <c r="N21" i="260" s="1"/>
  <c r="H17" i="260"/>
  <c r="N17" i="260" s="1"/>
  <c r="H16" i="260"/>
  <c r="N16" i="260" s="1"/>
  <c r="H15" i="260"/>
  <c r="N15" i="260" s="1"/>
  <c r="H14" i="260"/>
  <c r="N14" i="260" s="1"/>
  <c r="L18" i="260"/>
  <c r="H13" i="260"/>
  <c r="N13" i="260" s="1"/>
  <c r="P36" i="259"/>
  <c r="N36" i="259"/>
  <c r="J36" i="259"/>
  <c r="H25" i="259"/>
  <c r="N25" i="259" s="1"/>
  <c r="H24" i="259"/>
  <c r="N24" i="259" s="1"/>
  <c r="H23" i="259"/>
  <c r="N23" i="259" s="1"/>
  <c r="H22" i="259"/>
  <c r="N22" i="259" s="1"/>
  <c r="L26" i="259"/>
  <c r="H21" i="259"/>
  <c r="N21" i="259" s="1"/>
  <c r="H17" i="259"/>
  <c r="N17" i="259" s="1"/>
  <c r="H16" i="259"/>
  <c r="N16" i="259" s="1"/>
  <c r="H15" i="259"/>
  <c r="N15" i="259" s="1"/>
  <c r="H14" i="259"/>
  <c r="N14" i="259" s="1"/>
  <c r="H13" i="259"/>
  <c r="N13" i="259" s="1"/>
  <c r="P36" i="258"/>
  <c r="N36" i="258"/>
  <c r="J36" i="258"/>
  <c r="H25" i="258"/>
  <c r="N25" i="258" s="1"/>
  <c r="H24" i="258"/>
  <c r="N24" i="258" s="1"/>
  <c r="H23" i="258"/>
  <c r="N23" i="258" s="1"/>
  <c r="H22" i="258"/>
  <c r="N22" i="258" s="1"/>
  <c r="H21" i="258"/>
  <c r="N21" i="258" s="1"/>
  <c r="H17" i="258"/>
  <c r="N17" i="258" s="1"/>
  <c r="H16" i="258"/>
  <c r="N16" i="258" s="1"/>
  <c r="H15" i="258"/>
  <c r="N15" i="258" s="1"/>
  <c r="H14" i="258"/>
  <c r="N14" i="258" s="1"/>
  <c r="H13" i="258"/>
  <c r="N13" i="258" s="1"/>
  <c r="P36" i="257"/>
  <c r="N36" i="257"/>
  <c r="J36" i="257"/>
  <c r="H25" i="257"/>
  <c r="N25" i="257" s="1"/>
  <c r="H24" i="257"/>
  <c r="N24" i="257" s="1"/>
  <c r="H23" i="257"/>
  <c r="N23" i="257" s="1"/>
  <c r="H22" i="257"/>
  <c r="N22" i="257" s="1"/>
  <c r="H21" i="257"/>
  <c r="N21" i="257" s="1"/>
  <c r="H17" i="257"/>
  <c r="N17" i="257" s="1"/>
  <c r="H16" i="257"/>
  <c r="N16" i="257" s="1"/>
  <c r="H15" i="257"/>
  <c r="N15" i="257" s="1"/>
  <c r="H14" i="257"/>
  <c r="N14" i="257" s="1"/>
  <c r="L18" i="257"/>
  <c r="H13" i="257"/>
  <c r="N13" i="257" s="1"/>
  <c r="P36" i="256"/>
  <c r="N36" i="256"/>
  <c r="J36" i="256"/>
  <c r="H25" i="256"/>
  <c r="N25" i="256" s="1"/>
  <c r="H24" i="256"/>
  <c r="N24" i="256" s="1"/>
  <c r="H23" i="256"/>
  <c r="N23" i="256" s="1"/>
  <c r="H22" i="256"/>
  <c r="N22" i="256" s="1"/>
  <c r="L26" i="256"/>
  <c r="H21" i="256"/>
  <c r="N21" i="256" s="1"/>
  <c r="H17" i="256"/>
  <c r="N17" i="256" s="1"/>
  <c r="H16" i="256"/>
  <c r="N16" i="256" s="1"/>
  <c r="H15" i="256"/>
  <c r="N15" i="256" s="1"/>
  <c r="H14" i="256"/>
  <c r="N14" i="256" s="1"/>
  <c r="H13" i="256"/>
  <c r="N13" i="256" s="1"/>
  <c r="P36" i="255"/>
  <c r="N36" i="255"/>
  <c r="J36" i="255"/>
  <c r="L26" i="255"/>
  <c r="H25" i="255"/>
  <c r="N25" i="255" s="1"/>
  <c r="H24" i="255"/>
  <c r="N24" i="255" s="1"/>
  <c r="H23" i="255"/>
  <c r="N23" i="255" s="1"/>
  <c r="H22" i="255"/>
  <c r="N22" i="255" s="1"/>
  <c r="H21" i="255"/>
  <c r="N21" i="255" s="1"/>
  <c r="H17" i="255"/>
  <c r="N17" i="255" s="1"/>
  <c r="H16" i="255"/>
  <c r="N16" i="255" s="1"/>
  <c r="H15" i="255"/>
  <c r="N15" i="255" s="1"/>
  <c r="N14" i="255"/>
  <c r="H14" i="255"/>
  <c r="H13" i="255"/>
  <c r="N13" i="255" s="1"/>
  <c r="P36" i="254"/>
  <c r="N36" i="254"/>
  <c r="J36" i="254"/>
  <c r="H25" i="254"/>
  <c r="N25" i="254" s="1"/>
  <c r="H24" i="254"/>
  <c r="N24" i="254" s="1"/>
  <c r="H23" i="254"/>
  <c r="N23" i="254" s="1"/>
  <c r="H22" i="254"/>
  <c r="N22" i="254" s="1"/>
  <c r="L26" i="254"/>
  <c r="H21" i="254"/>
  <c r="N21" i="254" s="1"/>
  <c r="H17" i="254"/>
  <c r="N17" i="254" s="1"/>
  <c r="H16" i="254"/>
  <c r="N16" i="254" s="1"/>
  <c r="H15" i="254"/>
  <c r="N15" i="254" s="1"/>
  <c r="H14" i="254"/>
  <c r="N14" i="254" s="1"/>
  <c r="L18" i="254"/>
  <c r="H13" i="254"/>
  <c r="N13" i="254" s="1"/>
  <c r="P36" i="253"/>
  <c r="N36" i="253"/>
  <c r="J36" i="253"/>
  <c r="H25" i="253"/>
  <c r="N25" i="253" s="1"/>
  <c r="H24" i="253"/>
  <c r="N24" i="253" s="1"/>
  <c r="H23" i="253"/>
  <c r="N23" i="253" s="1"/>
  <c r="H22" i="253"/>
  <c r="N22" i="253" s="1"/>
  <c r="H21" i="253"/>
  <c r="N21" i="253" s="1"/>
  <c r="H17" i="253"/>
  <c r="N17" i="253" s="1"/>
  <c r="H16" i="253"/>
  <c r="N16" i="253" s="1"/>
  <c r="H15" i="253"/>
  <c r="N15" i="253" s="1"/>
  <c r="H14" i="253"/>
  <c r="N14" i="253" s="1"/>
  <c r="L18" i="253"/>
  <c r="H13" i="253"/>
  <c r="N13" i="253" s="1"/>
  <c r="P36" i="252"/>
  <c r="N36" i="252"/>
  <c r="J36" i="252"/>
  <c r="H25" i="252"/>
  <c r="N25" i="252" s="1"/>
  <c r="H24" i="252"/>
  <c r="N24" i="252" s="1"/>
  <c r="H23" i="252"/>
  <c r="N23" i="252" s="1"/>
  <c r="H22" i="252"/>
  <c r="N22" i="252" s="1"/>
  <c r="L26" i="252"/>
  <c r="H21" i="252"/>
  <c r="N21" i="252" s="1"/>
  <c r="H17" i="252"/>
  <c r="N17" i="252" s="1"/>
  <c r="H16" i="252"/>
  <c r="N16" i="252" s="1"/>
  <c r="H15" i="252"/>
  <c r="N15" i="252" s="1"/>
  <c r="H14" i="252"/>
  <c r="N14" i="252" s="1"/>
  <c r="H13" i="252"/>
  <c r="N13" i="252" s="1"/>
  <c r="P36" i="251"/>
  <c r="N36" i="251"/>
  <c r="J36" i="251"/>
  <c r="H25" i="251"/>
  <c r="N25" i="251" s="1"/>
  <c r="H24" i="251"/>
  <c r="N24" i="251" s="1"/>
  <c r="H23" i="251"/>
  <c r="N23" i="251" s="1"/>
  <c r="H22" i="251"/>
  <c r="N22" i="251" s="1"/>
  <c r="H21" i="251"/>
  <c r="N21" i="251" s="1"/>
  <c r="H17" i="251"/>
  <c r="H16" i="251"/>
  <c r="H15" i="251"/>
  <c r="N15" i="251" s="1"/>
  <c r="H14" i="251"/>
  <c r="N14" i="251" s="1"/>
  <c r="L18" i="251"/>
  <c r="H13" i="251"/>
  <c r="N13" i="251" s="1"/>
  <c r="P36" i="250"/>
  <c r="N36" i="250"/>
  <c r="J36" i="250"/>
  <c r="L36" i="250"/>
  <c r="P18" i="268" s="1"/>
  <c r="P59" i="268" s="1"/>
  <c r="H25" i="250"/>
  <c r="N25" i="250" s="1"/>
  <c r="H24" i="250"/>
  <c r="N24" i="250" s="1"/>
  <c r="H23" i="250"/>
  <c r="N23" i="250" s="1"/>
  <c r="H22" i="250"/>
  <c r="N22" i="250" s="1"/>
  <c r="H21" i="250"/>
  <c r="N21" i="250" s="1"/>
  <c r="H17" i="250"/>
  <c r="N17" i="250" s="1"/>
  <c r="H16" i="250"/>
  <c r="N16" i="250" s="1"/>
  <c r="H15" i="250"/>
  <c r="H14" i="250"/>
  <c r="N14" i="250" s="1"/>
  <c r="H13" i="250"/>
  <c r="P36" i="249"/>
  <c r="N36" i="249"/>
  <c r="J36" i="249"/>
  <c r="H25" i="249"/>
  <c r="N25" i="249" s="1"/>
  <c r="H24" i="249"/>
  <c r="N24" i="249" s="1"/>
  <c r="H23" i="249"/>
  <c r="N23" i="249" s="1"/>
  <c r="H22" i="249"/>
  <c r="N22" i="249" s="1"/>
  <c r="H21" i="249"/>
  <c r="N21" i="249" s="1"/>
  <c r="H17" i="249"/>
  <c r="N17" i="249" s="1"/>
  <c r="H16" i="249"/>
  <c r="N16" i="249" s="1"/>
  <c r="H15" i="249"/>
  <c r="H14" i="249"/>
  <c r="N14" i="249" s="1"/>
  <c r="H13" i="249"/>
  <c r="O29" i="248"/>
  <c r="M31" i="248"/>
  <c r="L31" i="248"/>
  <c r="K31" i="248"/>
  <c r="I31" i="248"/>
  <c r="H31" i="248"/>
  <c r="E31" i="248"/>
  <c r="D31" i="248"/>
  <c r="C31" i="248"/>
  <c r="O27" i="248"/>
  <c r="M25" i="248"/>
  <c r="J25" i="248"/>
  <c r="H25" i="248"/>
  <c r="G25" i="248"/>
  <c r="E25" i="248"/>
  <c r="J19" i="248"/>
  <c r="N19" i="248"/>
  <c r="L19" i="248"/>
  <c r="K19" i="248"/>
  <c r="I19" i="248"/>
  <c r="F19" i="248"/>
  <c r="D19" i="248"/>
  <c r="C19" i="248"/>
  <c r="O11" i="248"/>
  <c r="M13" i="248"/>
  <c r="K13" i="248"/>
  <c r="J13" i="248"/>
  <c r="H13" i="248"/>
  <c r="G13" i="248"/>
  <c r="E13" i="248"/>
  <c r="C13" i="248"/>
  <c r="O9" i="248"/>
  <c r="E11" i="247"/>
  <c r="E10" i="247"/>
  <c r="G10" i="247" s="1"/>
  <c r="E9" i="247"/>
  <c r="C12" i="247"/>
  <c r="Q26" i="245"/>
  <c r="P6" i="245"/>
  <c r="N27" i="220"/>
  <c r="M27" i="220"/>
  <c r="L27" i="220"/>
  <c r="K27" i="220"/>
  <c r="J27" i="220"/>
  <c r="I27" i="220"/>
  <c r="H27" i="220"/>
  <c r="G27" i="220"/>
  <c r="F27" i="220"/>
  <c r="E27" i="220"/>
  <c r="D27" i="220"/>
  <c r="C27" i="220"/>
  <c r="N26" i="220"/>
  <c r="M26" i="220"/>
  <c r="L26" i="220"/>
  <c r="K26" i="220"/>
  <c r="J26" i="220"/>
  <c r="I26" i="220"/>
  <c r="H26" i="220"/>
  <c r="G26" i="220"/>
  <c r="F26" i="220"/>
  <c r="E26" i="220"/>
  <c r="D26" i="220"/>
  <c r="C26" i="220"/>
  <c r="N25" i="220"/>
  <c r="M25" i="220"/>
  <c r="L25" i="220"/>
  <c r="K25" i="220"/>
  <c r="J25" i="220"/>
  <c r="I25" i="220"/>
  <c r="H25" i="220"/>
  <c r="G25" i="220"/>
  <c r="F25" i="220"/>
  <c r="E25" i="220"/>
  <c r="D25" i="220"/>
  <c r="C25" i="220"/>
  <c r="N24" i="220"/>
  <c r="M24" i="220"/>
  <c r="L24" i="220"/>
  <c r="K24" i="220"/>
  <c r="J24" i="220"/>
  <c r="I24" i="220"/>
  <c r="H24" i="220"/>
  <c r="G24" i="220"/>
  <c r="F24" i="220"/>
  <c r="E24" i="220"/>
  <c r="D24" i="220"/>
  <c r="C24" i="220"/>
  <c r="N23" i="220"/>
  <c r="M23" i="220"/>
  <c r="L23" i="220"/>
  <c r="K23" i="220"/>
  <c r="J23" i="220"/>
  <c r="I23" i="220"/>
  <c r="H23" i="220"/>
  <c r="G23" i="220"/>
  <c r="F23" i="220"/>
  <c r="E23" i="220"/>
  <c r="D23" i="220"/>
  <c r="C23" i="220"/>
  <c r="N20" i="220"/>
  <c r="M20" i="220"/>
  <c r="L20" i="220"/>
  <c r="K20" i="220"/>
  <c r="J20" i="220"/>
  <c r="I20" i="220"/>
  <c r="H20" i="220"/>
  <c r="G20" i="220"/>
  <c r="F20" i="220"/>
  <c r="E20" i="220"/>
  <c r="D20" i="220"/>
  <c r="C20" i="220"/>
  <c r="N19" i="220"/>
  <c r="M19" i="220"/>
  <c r="L19" i="220"/>
  <c r="K19" i="220"/>
  <c r="J19" i="220"/>
  <c r="I19" i="220"/>
  <c r="H19" i="220"/>
  <c r="G19" i="220"/>
  <c r="F19" i="220"/>
  <c r="E19" i="220"/>
  <c r="D19" i="220"/>
  <c r="C19" i="220"/>
  <c r="N18" i="220"/>
  <c r="M18" i="220"/>
  <c r="L18" i="220"/>
  <c r="K18" i="220"/>
  <c r="J18" i="220"/>
  <c r="I18" i="220"/>
  <c r="H18" i="220"/>
  <c r="G18" i="220"/>
  <c r="F18" i="220"/>
  <c r="E18" i="220"/>
  <c r="D18" i="220"/>
  <c r="C18" i="220"/>
  <c r="N17" i="220"/>
  <c r="M17" i="220"/>
  <c r="L17" i="220"/>
  <c r="K17" i="220"/>
  <c r="J17" i="220"/>
  <c r="I17" i="220"/>
  <c r="H17" i="220"/>
  <c r="G17" i="220"/>
  <c r="F17" i="220"/>
  <c r="E17" i="220"/>
  <c r="D17" i="220"/>
  <c r="C17" i="220"/>
  <c r="N16" i="220"/>
  <c r="M16" i="220"/>
  <c r="L16" i="220"/>
  <c r="K16" i="220"/>
  <c r="J16" i="220"/>
  <c r="I16" i="220"/>
  <c r="H16" i="220"/>
  <c r="G16" i="220"/>
  <c r="F16" i="220"/>
  <c r="E16" i="220"/>
  <c r="D16" i="220"/>
  <c r="C16" i="220"/>
  <c r="T11" i="192"/>
  <c r="I27" i="245" l="1"/>
  <c r="E15" i="140"/>
  <c r="H34" i="248"/>
  <c r="L28" i="260"/>
  <c r="N26" i="259"/>
  <c r="N18" i="255"/>
  <c r="L28" i="254"/>
  <c r="L41" i="254" s="1"/>
  <c r="N18" i="253"/>
  <c r="N18" i="252"/>
  <c r="C25" i="248"/>
  <c r="D25" i="248"/>
  <c r="E19" i="248"/>
  <c r="M19" i="248"/>
  <c r="I25" i="248"/>
  <c r="O23" i="248"/>
  <c r="J31" i="248"/>
  <c r="O17" i="248"/>
  <c r="O22" i="248"/>
  <c r="O24" i="248"/>
  <c r="O30" i="248"/>
  <c r="F13" i="248"/>
  <c r="N13" i="248"/>
  <c r="O21" i="248"/>
  <c r="F25" i="248"/>
  <c r="F31" i="248"/>
  <c r="N31" i="248"/>
  <c r="N25" i="248"/>
  <c r="O28" i="248"/>
  <c r="O33" i="248"/>
  <c r="O16" i="248"/>
  <c r="I13" i="248"/>
  <c r="O12" i="248"/>
  <c r="G19" i="248"/>
  <c r="O18" i="248"/>
  <c r="K25" i="248"/>
  <c r="D13" i="248"/>
  <c r="L13" i="248"/>
  <c r="H19" i="248"/>
  <c r="L25" i="248"/>
  <c r="N18" i="260"/>
  <c r="N26" i="260"/>
  <c r="N18" i="259"/>
  <c r="L36" i="259"/>
  <c r="P27" i="268" s="1"/>
  <c r="P68" i="268" s="1"/>
  <c r="L18" i="259"/>
  <c r="L28" i="259" s="1"/>
  <c r="L41" i="259" s="1"/>
  <c r="N26" i="258"/>
  <c r="N18" i="258"/>
  <c r="L36" i="258"/>
  <c r="P26" i="268" s="1"/>
  <c r="P67" i="268" s="1"/>
  <c r="L18" i="258"/>
  <c r="L26" i="258"/>
  <c r="N18" i="257"/>
  <c r="N26" i="257"/>
  <c r="L36" i="257"/>
  <c r="P25" i="268" s="1"/>
  <c r="P66" i="268" s="1"/>
  <c r="L26" i="257"/>
  <c r="L28" i="257" s="1"/>
  <c r="L41" i="257" s="1"/>
  <c r="N18" i="256"/>
  <c r="N26" i="256"/>
  <c r="L36" i="256"/>
  <c r="P24" i="268" s="1"/>
  <c r="P65" i="268" s="1"/>
  <c r="L18" i="256"/>
  <c r="L28" i="256" s="1"/>
  <c r="L41" i="256" s="1"/>
  <c r="N26" i="255"/>
  <c r="L36" i="255"/>
  <c r="P23" i="268" s="1"/>
  <c r="L18" i="255"/>
  <c r="N18" i="254"/>
  <c r="N26" i="254"/>
  <c r="L36" i="254"/>
  <c r="P22" i="268" s="1"/>
  <c r="P63" i="268" s="1"/>
  <c r="N26" i="253"/>
  <c r="L36" i="253"/>
  <c r="P21" i="268" s="1"/>
  <c r="P62" i="268" s="1"/>
  <c r="L26" i="253"/>
  <c r="L28" i="253" s="1"/>
  <c r="L41" i="253" s="1"/>
  <c r="N26" i="252"/>
  <c r="L36" i="252"/>
  <c r="P20" i="268" s="1"/>
  <c r="P61" i="268" s="1"/>
  <c r="L18" i="252"/>
  <c r="N26" i="251"/>
  <c r="L36" i="251"/>
  <c r="P19" i="268" s="1"/>
  <c r="P60" i="268" s="1"/>
  <c r="L26" i="251"/>
  <c r="L28" i="251" s="1"/>
  <c r="L41" i="251" s="1"/>
  <c r="N16" i="251"/>
  <c r="N17" i="251"/>
  <c r="N26" i="250"/>
  <c r="N13" i="250"/>
  <c r="N15" i="250"/>
  <c r="L18" i="250"/>
  <c r="L26" i="250"/>
  <c r="N26" i="249"/>
  <c r="L36" i="249"/>
  <c r="P17" i="268" s="1"/>
  <c r="P58" i="268" s="1"/>
  <c r="N13" i="249"/>
  <c r="N15" i="249"/>
  <c r="L18" i="249"/>
  <c r="L26" i="249"/>
  <c r="O10" i="248"/>
  <c r="O15" i="248"/>
  <c r="G31" i="248"/>
  <c r="G9" i="247"/>
  <c r="E12" i="247"/>
  <c r="G11" i="247"/>
  <c r="F11" i="247"/>
  <c r="F12" i="247" s="1"/>
  <c r="L13" i="190"/>
  <c r="L11" i="190"/>
  <c r="J27" i="245" l="1"/>
  <c r="E16" i="140"/>
  <c r="AE17" i="268"/>
  <c r="AH17" i="268" s="1"/>
  <c r="N17" i="268" s="1"/>
  <c r="O17" i="268" s="1"/>
  <c r="L28" i="252"/>
  <c r="L41" i="252" s="1"/>
  <c r="L28" i="255"/>
  <c r="L41" i="255" s="1"/>
  <c r="P64" i="268"/>
  <c r="P79" i="268" s="1"/>
  <c r="P38" i="268"/>
  <c r="L41" i="260"/>
  <c r="N28" i="259"/>
  <c r="L28" i="249"/>
  <c r="L41" i="249" s="1"/>
  <c r="L28" i="250"/>
  <c r="L41" i="250" s="1"/>
  <c r="O13" i="248"/>
  <c r="N28" i="252"/>
  <c r="O31" i="248"/>
  <c r="N18" i="249"/>
  <c r="N28" i="249" s="1"/>
  <c r="N28" i="255"/>
  <c r="N18" i="251"/>
  <c r="N28" i="251" s="1"/>
  <c r="N28" i="253"/>
  <c r="I34" i="248"/>
  <c r="E17" i="140" s="1"/>
  <c r="N28" i="258"/>
  <c r="O25" i="248"/>
  <c r="O19" i="248"/>
  <c r="N28" i="260"/>
  <c r="L28" i="258"/>
  <c r="L41" i="258" s="1"/>
  <c r="N28" i="257"/>
  <c r="N28" i="256"/>
  <c r="N28" i="254"/>
  <c r="N18" i="250"/>
  <c r="N28" i="250" s="1"/>
  <c r="G12" i="247"/>
  <c r="N10" i="241"/>
  <c r="N18" i="241"/>
  <c r="N19" i="241"/>
  <c r="N17" i="241"/>
  <c r="N16" i="241"/>
  <c r="N15" i="241"/>
  <c r="N11" i="241"/>
  <c r="N9" i="241"/>
  <c r="M20" i="241"/>
  <c r="L20" i="241"/>
  <c r="K20" i="241"/>
  <c r="J20" i="241"/>
  <c r="I20" i="241"/>
  <c r="H20" i="241"/>
  <c r="G20" i="241"/>
  <c r="F20" i="241"/>
  <c r="E20" i="241"/>
  <c r="C20" i="241"/>
  <c r="B20" i="241"/>
  <c r="M12" i="241"/>
  <c r="L12" i="241"/>
  <c r="K12" i="241"/>
  <c r="J12" i="241"/>
  <c r="I12" i="241"/>
  <c r="H12" i="241"/>
  <c r="G12" i="241"/>
  <c r="F12" i="241"/>
  <c r="E12" i="241"/>
  <c r="C12" i="241"/>
  <c r="B12" i="241"/>
  <c r="N8" i="241"/>
  <c r="T13" i="220"/>
  <c r="N58" i="268" l="1"/>
  <c r="O58" i="268" s="1"/>
  <c r="AE18" i="268"/>
  <c r="J34" i="248"/>
  <c r="K27" i="245"/>
  <c r="F19" i="138"/>
  <c r="F17" i="138"/>
  <c r="F18" i="138"/>
  <c r="F16" i="138"/>
  <c r="F25" i="138"/>
  <c r="F24" i="138"/>
  <c r="F23" i="138"/>
  <c r="F22" i="138"/>
  <c r="F21" i="138"/>
  <c r="F15" i="138"/>
  <c r="F14" i="138"/>
  <c r="F20" i="138"/>
  <c r="M20" i="245"/>
  <c r="P20" i="245"/>
  <c r="H20" i="245"/>
  <c r="J20" i="245"/>
  <c r="K20" i="245"/>
  <c r="O20" i="245"/>
  <c r="E20" i="245"/>
  <c r="N20" i="245"/>
  <c r="F20" i="245"/>
  <c r="I20" i="245"/>
  <c r="L20" i="245"/>
  <c r="G20" i="245"/>
  <c r="N20" i="241"/>
  <c r="D20" i="241"/>
  <c r="D12" i="241"/>
  <c r="N7" i="241"/>
  <c r="N12" i="241" s="1"/>
  <c r="L25" i="195"/>
  <c r="L24" i="195"/>
  <c r="L16" i="193"/>
  <c r="L27" i="245" l="1"/>
  <c r="E18" i="140"/>
  <c r="AH18" i="268"/>
  <c r="N18" i="268" s="1"/>
  <c r="AE19" i="268"/>
  <c r="K34" i="248"/>
  <c r="E19" i="140" s="1"/>
  <c r="Q20" i="245"/>
  <c r="O27" i="220"/>
  <c r="O26" i="220"/>
  <c r="L28" i="220"/>
  <c r="N28" i="220"/>
  <c r="M28" i="220"/>
  <c r="H28" i="220"/>
  <c r="G28" i="220"/>
  <c r="J13" i="191"/>
  <c r="I13" i="191"/>
  <c r="H13" i="191"/>
  <c r="G13" i="191"/>
  <c r="F13" i="191"/>
  <c r="E13" i="191"/>
  <c r="AE20" i="268" l="1"/>
  <c r="AH19" i="268"/>
  <c r="N19" i="268" s="1"/>
  <c r="N59" i="268"/>
  <c r="O59" i="268" s="1"/>
  <c r="O18" i="268"/>
  <c r="M27" i="245"/>
  <c r="L34" i="248"/>
  <c r="E28" i="220"/>
  <c r="O24" i="220"/>
  <c r="K28" i="220"/>
  <c r="D28" i="220"/>
  <c r="J28" i="220"/>
  <c r="F28" i="220"/>
  <c r="C28" i="220"/>
  <c r="I28" i="220"/>
  <c r="O25" i="220"/>
  <c r="O23" i="220"/>
  <c r="N27" i="245" l="1"/>
  <c r="E20" i="140"/>
  <c r="N60" i="268"/>
  <c r="O60" i="268" s="1"/>
  <c r="O19" i="268"/>
  <c r="AE21" i="268"/>
  <c r="AH20" i="268"/>
  <c r="N20" i="268" s="1"/>
  <c r="M34" i="248"/>
  <c r="O28" i="220"/>
  <c r="D51" i="191"/>
  <c r="E50" i="191"/>
  <c r="G50" i="191"/>
  <c r="D50" i="191"/>
  <c r="F49" i="191"/>
  <c r="F50" i="191" s="1"/>
  <c r="G49" i="191"/>
  <c r="H49" i="191"/>
  <c r="H50" i="191" s="1"/>
  <c r="I49" i="191"/>
  <c r="I50" i="191" s="1"/>
  <c r="J49" i="191"/>
  <c r="J50" i="191" s="1"/>
  <c r="E49" i="191"/>
  <c r="E47" i="191"/>
  <c r="E51" i="191" s="1"/>
  <c r="D47" i="191"/>
  <c r="V16" i="191"/>
  <c r="F40" i="191"/>
  <c r="G40" i="191"/>
  <c r="H40" i="191"/>
  <c r="I40" i="191"/>
  <c r="J40" i="191"/>
  <c r="E40" i="191"/>
  <c r="O27" i="245" l="1"/>
  <c r="E21" i="140"/>
  <c r="O20" i="268"/>
  <c r="N61" i="268"/>
  <c r="O61" i="268" s="1"/>
  <c r="AE22" i="268"/>
  <c r="AH21" i="268"/>
  <c r="N21" i="268" s="1"/>
  <c r="R15" i="264"/>
  <c r="N34" i="248"/>
  <c r="H19" i="240"/>
  <c r="C19" i="240"/>
  <c r="D17" i="240"/>
  <c r="D19" i="240" s="1"/>
  <c r="B17" i="240"/>
  <c r="P27" i="245" l="1"/>
  <c r="E22" i="140"/>
  <c r="N62" i="268"/>
  <c r="O62" i="268" s="1"/>
  <c r="O21" i="268"/>
  <c r="AE23" i="268"/>
  <c r="AH22" i="268"/>
  <c r="N22" i="268" s="1"/>
  <c r="O34" i="248"/>
  <c r="E17" i="240"/>
  <c r="E19" i="240" s="1"/>
  <c r="B19" i="240"/>
  <c r="Q27" i="245" l="1"/>
  <c r="D26" i="278"/>
  <c r="N63" i="268"/>
  <c r="O63" i="268" s="1"/>
  <c r="O22" i="268"/>
  <c r="AE24" i="268"/>
  <c r="AH23" i="268"/>
  <c r="N23" i="268" s="1"/>
  <c r="T16" i="193"/>
  <c r="AE25" i="268" l="1"/>
  <c r="AH24" i="268"/>
  <c r="N24" i="268" s="1"/>
  <c r="N64" i="268"/>
  <c r="O64" i="268" s="1"/>
  <c r="O23" i="268"/>
  <c r="P39" i="168"/>
  <c r="P41" i="168" s="1"/>
  <c r="O39" i="168"/>
  <c r="O41" i="168" s="1"/>
  <c r="N39" i="168"/>
  <c r="N41" i="168" s="1"/>
  <c r="M39" i="168"/>
  <c r="M41" i="168" s="1"/>
  <c r="L39" i="168"/>
  <c r="L41" i="168" s="1"/>
  <c r="K39" i="168"/>
  <c r="K41" i="168" s="1"/>
  <c r="J39" i="168"/>
  <c r="J41" i="168" s="1"/>
  <c r="I39" i="168"/>
  <c r="I41" i="168" s="1"/>
  <c r="H39" i="168"/>
  <c r="H41" i="168" s="1"/>
  <c r="G39" i="168"/>
  <c r="G41" i="168" s="1"/>
  <c r="F39" i="168"/>
  <c r="F41" i="168" s="1"/>
  <c r="E39" i="168"/>
  <c r="E41" i="168" s="1"/>
  <c r="S16" i="168"/>
  <c r="S31" i="168"/>
  <c r="S29" i="168"/>
  <c r="S27" i="168"/>
  <c r="S26" i="168"/>
  <c r="S25" i="168"/>
  <c r="S22" i="168"/>
  <c r="S18" i="168"/>
  <c r="S14" i="168"/>
  <c r="S13" i="168"/>
  <c r="S12" i="168"/>
  <c r="S11" i="168"/>
  <c r="O24" i="268" l="1"/>
  <c r="N65" i="268"/>
  <c r="O65" i="268" s="1"/>
  <c r="AE26" i="268"/>
  <c r="AH25" i="268"/>
  <c r="N25" i="268" s="1"/>
  <c r="S31" i="167"/>
  <c r="S29" i="167"/>
  <c r="S27" i="167"/>
  <c r="S26" i="167"/>
  <c r="S25" i="167"/>
  <c r="S22" i="167"/>
  <c r="S18" i="167"/>
  <c r="S16" i="167"/>
  <c r="S14" i="167"/>
  <c r="S13" i="167"/>
  <c r="S12" i="167"/>
  <c r="S11" i="167"/>
  <c r="AE27" i="268" l="1"/>
  <c r="AH26" i="268"/>
  <c r="N26" i="268" s="1"/>
  <c r="O25" i="268"/>
  <c r="N66" i="268"/>
  <c r="O66" i="268" s="1"/>
  <c r="N67" i="268" l="1"/>
  <c r="O67" i="268" s="1"/>
  <c r="O26" i="268"/>
  <c r="AE28" i="268"/>
  <c r="AH28" i="268" s="1"/>
  <c r="N28" i="268" s="1"/>
  <c r="AH27" i="268"/>
  <c r="N27" i="268" s="1"/>
  <c r="G43" i="191"/>
  <c r="H43" i="191"/>
  <c r="I43" i="191"/>
  <c r="J43" i="191"/>
  <c r="F43" i="191"/>
  <c r="E43" i="191"/>
  <c r="N68" i="268" l="1"/>
  <c r="O68" i="268" s="1"/>
  <c r="O27" i="268"/>
  <c r="N38" i="268"/>
  <c r="O28" i="268"/>
  <c r="N69" i="268"/>
  <c r="O69" i="268" s="1"/>
  <c r="O38" i="268" l="1"/>
  <c r="O79" i="268"/>
  <c r="F25" i="199"/>
  <c r="E19" i="208"/>
  <c r="E18" i="208"/>
  <c r="E17" i="208"/>
  <c r="E11" i="208"/>
  <c r="E10" i="208"/>
  <c r="E9" i="208"/>
  <c r="I32" i="208"/>
  <c r="I31" i="208"/>
  <c r="I30" i="208"/>
  <c r="I29" i="208"/>
  <c r="I28" i="208"/>
  <c r="I27" i="208"/>
  <c r="I26" i="208"/>
  <c r="L13" i="167" l="1"/>
  <c r="E39" i="167"/>
  <c r="F13" i="167"/>
  <c r="D21" i="208" l="1"/>
  <c r="E21" i="208"/>
  <c r="F21" i="208"/>
  <c r="G21" i="208"/>
  <c r="H21" i="208"/>
  <c r="I21" i="208"/>
  <c r="J21" i="208"/>
  <c r="K21" i="208"/>
  <c r="L21" i="208"/>
  <c r="M21" i="208"/>
  <c r="N21" i="208"/>
  <c r="C21" i="208"/>
  <c r="D13" i="208"/>
  <c r="E13" i="208"/>
  <c r="F13" i="208"/>
  <c r="G13" i="208"/>
  <c r="H13" i="208"/>
  <c r="I13" i="208"/>
  <c r="J13" i="208"/>
  <c r="K13" i="208"/>
  <c r="L13" i="208"/>
  <c r="M13" i="208"/>
  <c r="N13" i="208"/>
  <c r="C13" i="208"/>
  <c r="O20" i="208"/>
  <c r="O19" i="208"/>
  <c r="O18" i="208"/>
  <c r="O17" i="208"/>
  <c r="O12" i="208"/>
  <c r="O11" i="208"/>
  <c r="O10" i="208"/>
  <c r="O9" i="208"/>
  <c r="D28" i="192"/>
  <c r="E28" i="192"/>
  <c r="F28" i="192"/>
  <c r="G28" i="192"/>
  <c r="H28" i="192"/>
  <c r="I28" i="192"/>
  <c r="J28" i="192"/>
  <c r="K28" i="192"/>
  <c r="L28" i="192"/>
  <c r="M28" i="192"/>
  <c r="N28" i="192"/>
  <c r="C28" i="192"/>
  <c r="D26" i="192"/>
  <c r="E26" i="192"/>
  <c r="F26" i="192"/>
  <c r="G26" i="192"/>
  <c r="H26" i="192"/>
  <c r="I26" i="192"/>
  <c r="J26" i="192"/>
  <c r="K26" i="192"/>
  <c r="L26" i="192"/>
  <c r="M26" i="192"/>
  <c r="N26" i="192"/>
  <c r="C26" i="192"/>
  <c r="D25" i="192"/>
  <c r="E25" i="192"/>
  <c r="F25" i="192"/>
  <c r="G25" i="192"/>
  <c r="H25" i="192"/>
  <c r="I25" i="192"/>
  <c r="J25" i="192"/>
  <c r="K25" i="192"/>
  <c r="L25" i="192"/>
  <c r="M25" i="192"/>
  <c r="N25" i="192"/>
  <c r="C25" i="192"/>
  <c r="O27" i="192"/>
  <c r="D24" i="192"/>
  <c r="E24" i="192"/>
  <c r="F24" i="192"/>
  <c r="G24" i="192"/>
  <c r="H24" i="192"/>
  <c r="I24" i="192"/>
  <c r="J24" i="192"/>
  <c r="K24" i="192"/>
  <c r="L24" i="192"/>
  <c r="M24" i="192"/>
  <c r="N24" i="192"/>
  <c r="C24" i="192"/>
  <c r="D21" i="192"/>
  <c r="E21" i="192"/>
  <c r="F21" i="192"/>
  <c r="G21" i="192"/>
  <c r="H21" i="192"/>
  <c r="I21" i="192"/>
  <c r="J21" i="192"/>
  <c r="K21" i="192"/>
  <c r="L21" i="192"/>
  <c r="M21" i="192"/>
  <c r="N21" i="192"/>
  <c r="C21" i="192"/>
  <c r="D19" i="192"/>
  <c r="E19" i="192"/>
  <c r="F19" i="192"/>
  <c r="G19" i="192"/>
  <c r="H19" i="192"/>
  <c r="I19" i="192"/>
  <c r="J19" i="192"/>
  <c r="K19" i="192"/>
  <c r="L19" i="192"/>
  <c r="M19" i="192"/>
  <c r="N19" i="192"/>
  <c r="C19" i="192"/>
  <c r="D17" i="192"/>
  <c r="E17" i="192"/>
  <c r="F17" i="192"/>
  <c r="G17" i="192"/>
  <c r="H17" i="192"/>
  <c r="I17" i="192"/>
  <c r="J17" i="192"/>
  <c r="K17" i="192"/>
  <c r="L17" i="192"/>
  <c r="M17" i="192"/>
  <c r="N17" i="192"/>
  <c r="C17" i="192"/>
  <c r="D18" i="192"/>
  <c r="E18" i="192"/>
  <c r="F18" i="192"/>
  <c r="G18" i="192"/>
  <c r="H18" i="192"/>
  <c r="I18" i="192"/>
  <c r="J18" i="192"/>
  <c r="K18" i="192"/>
  <c r="L18" i="192"/>
  <c r="M18" i="192"/>
  <c r="N18" i="192"/>
  <c r="C18" i="192"/>
  <c r="A38" i="192"/>
  <c r="A33" i="192"/>
  <c r="A34" i="192" s="1"/>
  <c r="A35" i="192" s="1"/>
  <c r="A36" i="192" s="1"/>
  <c r="A32" i="192"/>
  <c r="A31" i="192"/>
  <c r="A24" i="192"/>
  <c r="A25" i="192" s="1"/>
  <c r="A26" i="192" s="1"/>
  <c r="A27" i="192" s="1"/>
  <c r="A28" i="192" s="1"/>
  <c r="A29" i="192" s="1"/>
  <c r="I29" i="192" l="1"/>
  <c r="J29" i="192"/>
  <c r="O21" i="208"/>
  <c r="O13" i="208"/>
  <c r="H29" i="192"/>
  <c r="L29" i="192"/>
  <c r="D29" i="192"/>
  <c r="C29" i="192"/>
  <c r="G29" i="192"/>
  <c r="N29" i="192"/>
  <c r="F29" i="192"/>
  <c r="O24" i="192"/>
  <c r="O26" i="192"/>
  <c r="M29" i="192"/>
  <c r="E29" i="192"/>
  <c r="M13" i="190"/>
  <c r="N13" i="190" s="1"/>
  <c r="O13" i="190" s="1"/>
  <c r="P13" i="190" s="1"/>
  <c r="Q13" i="190" s="1"/>
  <c r="R13" i="190" s="1"/>
  <c r="O25" i="192"/>
  <c r="K29" i="192"/>
  <c r="O28" i="192"/>
  <c r="O29" i="192" l="1"/>
  <c r="R29" i="192" s="1"/>
  <c r="I33" i="208"/>
  <c r="H33" i="208"/>
  <c r="G33" i="208"/>
  <c r="V27" i="205" l="1"/>
  <c r="K17" i="206" l="1"/>
  <c r="T17" i="193" l="1"/>
  <c r="F15" i="171" l="1"/>
  <c r="D20" i="217" l="1"/>
  <c r="AC33" i="205" l="1"/>
  <c r="AC32" i="205"/>
  <c r="AC31" i="205"/>
  <c r="AC30" i="205"/>
  <c r="AC29" i="205"/>
  <c r="L77" i="205"/>
  <c r="AC28" i="205"/>
  <c r="AC27" i="205"/>
  <c r="AB27" i="205"/>
  <c r="AE27" i="205" s="1"/>
  <c r="L27" i="205" s="1"/>
  <c r="H77" i="205"/>
  <c r="K77" i="205"/>
  <c r="J77" i="205"/>
  <c r="I77" i="205"/>
  <c r="G77" i="205"/>
  <c r="E77" i="205"/>
  <c r="C77" i="205"/>
  <c r="AF18" i="233"/>
  <c r="AF19" i="233"/>
  <c r="AF20" i="233"/>
  <c r="AF21" i="233"/>
  <c r="AF22" i="233"/>
  <c r="AF23" i="233"/>
  <c r="AF24" i="233"/>
  <c r="AF25" i="233"/>
  <c r="AF26" i="233"/>
  <c r="AF27" i="233"/>
  <c r="AF28" i="233"/>
  <c r="AF17" i="233"/>
  <c r="I12" i="233"/>
  <c r="J12" i="233"/>
  <c r="J11" i="233" s="1"/>
  <c r="K12" i="233"/>
  <c r="K11" i="233" s="1"/>
  <c r="L12" i="233"/>
  <c r="I13" i="233"/>
  <c r="J13" i="233"/>
  <c r="K13" i="233"/>
  <c r="L13" i="233"/>
  <c r="H12" i="233"/>
  <c r="I11" i="233" l="1"/>
  <c r="L11" i="233"/>
  <c r="M77" i="205"/>
  <c r="W16" i="206" l="1"/>
  <c r="AA23" i="206" l="1"/>
  <c r="I23" i="206" s="1"/>
  <c r="AA24" i="206"/>
  <c r="I24" i="206" s="1"/>
  <c r="AA25" i="206"/>
  <c r="I25" i="206" s="1"/>
  <c r="AA26" i="206"/>
  <c r="I26" i="206" s="1"/>
  <c r="AA27" i="206"/>
  <c r="I27" i="206" s="1"/>
  <c r="AA28" i="206"/>
  <c r="I28" i="206" s="1"/>
  <c r="Z18" i="206"/>
  <c r="Z19" i="206"/>
  <c r="Z20" i="206"/>
  <c r="Z21" i="206"/>
  <c r="Z22" i="206"/>
  <c r="Z23" i="206"/>
  <c r="Z24" i="206"/>
  <c r="Z25" i="206"/>
  <c r="Z26" i="206"/>
  <c r="Z27" i="206"/>
  <c r="Z28" i="206"/>
  <c r="Z17" i="206"/>
  <c r="I66" i="205"/>
  <c r="J66" i="205"/>
  <c r="K66" i="205"/>
  <c r="L66" i="205"/>
  <c r="H66" i="205"/>
  <c r="AD27" i="205"/>
  <c r="AD28" i="205" l="1"/>
  <c r="AD33" i="205" l="1"/>
  <c r="AD32" i="205"/>
  <c r="AD31" i="205"/>
  <c r="AD30" i="205"/>
  <c r="AD29" i="205"/>
  <c r="AD26" i="205"/>
  <c r="AD25" i="205"/>
  <c r="AD24" i="205"/>
  <c r="AD23" i="205"/>
  <c r="AD22" i="205"/>
  <c r="AD21" i="205"/>
  <c r="AC21" i="205" l="1"/>
  <c r="AC22" i="205" s="1"/>
  <c r="AC23" i="205" l="1"/>
  <c r="AC24" i="205" l="1"/>
  <c r="H17" i="205"/>
  <c r="H13" i="233" s="1"/>
  <c r="H11" i="233" s="1"/>
  <c r="AC25" i="205" l="1"/>
  <c r="L15" i="205"/>
  <c r="L65" i="205" s="1"/>
  <c r="K15" i="205"/>
  <c r="K65" i="205" s="1"/>
  <c r="J15" i="205"/>
  <c r="J65" i="205" s="1"/>
  <c r="I15" i="205"/>
  <c r="I65" i="205" s="1"/>
  <c r="H15" i="205"/>
  <c r="H65" i="205" s="1"/>
  <c r="I79" i="205" l="1"/>
  <c r="I78" i="205"/>
  <c r="I83" i="205"/>
  <c r="I82" i="205"/>
  <c r="I81" i="205"/>
  <c r="I80" i="205"/>
  <c r="J79" i="205"/>
  <c r="J78" i="205"/>
  <c r="J83" i="205"/>
  <c r="J82" i="205"/>
  <c r="J81" i="205"/>
  <c r="J80" i="205"/>
  <c r="K79" i="205"/>
  <c r="K78" i="205"/>
  <c r="K82" i="205"/>
  <c r="K81" i="205"/>
  <c r="K80" i="205"/>
  <c r="K83" i="205"/>
  <c r="H79" i="205"/>
  <c r="H78" i="205"/>
  <c r="H83" i="205"/>
  <c r="H82" i="205"/>
  <c r="H80" i="205"/>
  <c r="H81" i="205"/>
  <c r="K30" i="205"/>
  <c r="K31" i="205"/>
  <c r="K32" i="205"/>
  <c r="K33" i="205"/>
  <c r="K28" i="205"/>
  <c r="K29" i="205"/>
  <c r="I28" i="205"/>
  <c r="I29" i="205"/>
  <c r="I32" i="205"/>
  <c r="I30" i="205"/>
  <c r="I31" i="205"/>
  <c r="I33" i="205"/>
  <c r="J29" i="205"/>
  <c r="J28" i="205"/>
  <c r="J30" i="205"/>
  <c r="J31" i="205"/>
  <c r="J32" i="205"/>
  <c r="J33" i="205"/>
  <c r="AC26" i="205"/>
  <c r="H28" i="205"/>
  <c r="H31" i="205"/>
  <c r="H32" i="205"/>
  <c r="H29" i="205"/>
  <c r="H30" i="205"/>
  <c r="H33" i="205"/>
  <c r="G27" i="205" l="1"/>
  <c r="E27" i="205"/>
  <c r="C27" i="205"/>
  <c r="L12" i="190" l="1"/>
  <c r="H13" i="239" l="1"/>
  <c r="I13" i="239"/>
  <c r="J13" i="239"/>
  <c r="K13" i="239" s="1"/>
  <c r="L13" i="239" s="1"/>
  <c r="M13" i="239" s="1"/>
  <c r="N13" i="239" s="1"/>
  <c r="O13" i="239" s="1"/>
  <c r="P13" i="239" s="1"/>
  <c r="Q13" i="239" s="1"/>
  <c r="G13" i="239"/>
  <c r="G12" i="239"/>
  <c r="H12" i="239" s="1"/>
  <c r="I12" i="239" s="1"/>
  <c r="J12" i="239" s="1"/>
  <c r="K12" i="239" s="1"/>
  <c r="L12" i="239" s="1"/>
  <c r="M12" i="239" s="1"/>
  <c r="N12" i="239" s="1"/>
  <c r="O12" i="239" s="1"/>
  <c r="P12" i="239" s="1"/>
  <c r="Q12" i="239" s="1"/>
  <c r="D26" i="191" l="1"/>
  <c r="D27" i="191"/>
  <c r="D25" i="191"/>
  <c r="D16" i="191"/>
  <c r="D12" i="191"/>
  <c r="D13" i="191"/>
  <c r="D11" i="191"/>
  <c r="D26" i="190" l="1"/>
  <c r="D27" i="190"/>
  <c r="D12" i="190"/>
  <c r="D11" i="190"/>
  <c r="N14" i="125"/>
  <c r="N13" i="125"/>
  <c r="N14" i="100"/>
  <c r="N13" i="100"/>
  <c r="Z12" i="191" l="1"/>
  <c r="Z13" i="191"/>
  <c r="Z25" i="191"/>
  <c r="Z26" i="191"/>
  <c r="Z27" i="191"/>
  <c r="Z11" i="191"/>
  <c r="L14" i="180" l="1"/>
  <c r="B23" i="140" l="1"/>
  <c r="W26" i="190" l="1"/>
  <c r="AA26" i="190"/>
  <c r="AA27" i="190"/>
  <c r="AA12" i="190"/>
  <c r="AA11" i="190"/>
  <c r="T31" i="192" l="1"/>
  <c r="T10" i="192"/>
  <c r="Q29" i="211"/>
  <c r="F15" i="211"/>
  <c r="G15" i="211"/>
  <c r="H15" i="211"/>
  <c r="I15" i="211"/>
  <c r="J15" i="211"/>
  <c r="K15" i="211"/>
  <c r="L15" i="211"/>
  <c r="M15" i="211"/>
  <c r="N15" i="211"/>
  <c r="O15" i="211"/>
  <c r="P15" i="211"/>
  <c r="E15" i="211"/>
  <c r="F16" i="211"/>
  <c r="G16" i="211"/>
  <c r="H16" i="211"/>
  <c r="I16" i="211"/>
  <c r="J16" i="211"/>
  <c r="K16" i="211"/>
  <c r="L16" i="211"/>
  <c r="M16" i="211"/>
  <c r="N16" i="211"/>
  <c r="O16" i="211"/>
  <c r="P16" i="211"/>
  <c r="F29" i="211"/>
  <c r="G29" i="211"/>
  <c r="H29" i="211"/>
  <c r="I29" i="211"/>
  <c r="J29" i="211"/>
  <c r="E29" i="211"/>
  <c r="F28" i="211"/>
  <c r="G28" i="211"/>
  <c r="H28" i="211"/>
  <c r="I28" i="211"/>
  <c r="J28" i="211"/>
  <c r="E28" i="211"/>
  <c r="F24" i="211"/>
  <c r="G24" i="211"/>
  <c r="H24" i="211"/>
  <c r="I24" i="211"/>
  <c r="J24" i="211"/>
  <c r="F25" i="211"/>
  <c r="G25" i="211"/>
  <c r="H25" i="211"/>
  <c r="I25" i="211"/>
  <c r="J25" i="211"/>
  <c r="F26" i="211"/>
  <c r="G26" i="211"/>
  <c r="H26" i="211"/>
  <c r="I26" i="211"/>
  <c r="J26" i="211"/>
  <c r="E25" i="211"/>
  <c r="E26" i="211"/>
  <c r="E24" i="211"/>
  <c r="F17" i="211"/>
  <c r="G17" i="211"/>
  <c r="H17" i="211"/>
  <c r="I17" i="211"/>
  <c r="J17" i="211"/>
  <c r="F18" i="211"/>
  <c r="G18" i="211"/>
  <c r="H18" i="211"/>
  <c r="I18" i="211"/>
  <c r="J18" i="211"/>
  <c r="F19" i="211"/>
  <c r="G19" i="211"/>
  <c r="H19" i="211"/>
  <c r="I19" i="211"/>
  <c r="J19" i="211"/>
  <c r="E18" i="211"/>
  <c r="E19" i="211"/>
  <c r="E17" i="211"/>
  <c r="F8" i="211"/>
  <c r="G8" i="211"/>
  <c r="H8" i="211"/>
  <c r="I8" i="211"/>
  <c r="J8" i="211"/>
  <c r="E8" i="211"/>
  <c r="Q168" i="211"/>
  <c r="Q169" i="211"/>
  <c r="Q167" i="211"/>
  <c r="Q150" i="211"/>
  <c r="Q151" i="211"/>
  <c r="Q152" i="211"/>
  <c r="Q153" i="211"/>
  <c r="Q162" i="211" s="1"/>
  <c r="Q154" i="211"/>
  <c r="Q155" i="211"/>
  <c r="Q156" i="211"/>
  <c r="Q157" i="211"/>
  <c r="Q158" i="211"/>
  <c r="Q159" i="211"/>
  <c r="Q160" i="211"/>
  <c r="Q161" i="211"/>
  <c r="Q149" i="211"/>
  <c r="Q135" i="211"/>
  <c r="Q136" i="211"/>
  <c r="Q137" i="211"/>
  <c r="Q138" i="211"/>
  <c r="Q139" i="211"/>
  <c r="Q134" i="211"/>
  <c r="Q109" i="211"/>
  <c r="Q110" i="211"/>
  <c r="Q111" i="211"/>
  <c r="Q126" i="211" s="1"/>
  <c r="Q112" i="211"/>
  <c r="Q113" i="211"/>
  <c r="Q114" i="211"/>
  <c r="Q115" i="211"/>
  <c r="Q116" i="211"/>
  <c r="Q117" i="211"/>
  <c r="Q118" i="211"/>
  <c r="Q119" i="211"/>
  <c r="Q120" i="211"/>
  <c r="Q121" i="211"/>
  <c r="Q122" i="211"/>
  <c r="Q123" i="211"/>
  <c r="Q124" i="211"/>
  <c r="Q125" i="211"/>
  <c r="Q108" i="211"/>
  <c r="Q94" i="211"/>
  <c r="Q95" i="211"/>
  <c r="Q93" i="211"/>
  <c r="Q86" i="211"/>
  <c r="Q87" i="211"/>
  <c r="Q85" i="211"/>
  <c r="Q57" i="211"/>
  <c r="Q58" i="211"/>
  <c r="Q59" i="211"/>
  <c r="Q60" i="211"/>
  <c r="Q61" i="211"/>
  <c r="Q62" i="211"/>
  <c r="Q63" i="211"/>
  <c r="Q64" i="211"/>
  <c r="Q65" i="211"/>
  <c r="Q66" i="211"/>
  <c r="Q67" i="211"/>
  <c r="Q68" i="211"/>
  <c r="Q69" i="211"/>
  <c r="Q70" i="211"/>
  <c r="Q71" i="211"/>
  <c r="Q72" i="211"/>
  <c r="Q73" i="211"/>
  <c r="Q56" i="211"/>
  <c r="Q47" i="211"/>
  <c r="Q48" i="211"/>
  <c r="Q49" i="211"/>
  <c r="Q50" i="211"/>
  <c r="Q46" i="211"/>
  <c r="E173" i="211"/>
  <c r="F173" i="211"/>
  <c r="G173" i="211"/>
  <c r="H173" i="211"/>
  <c r="I173" i="211"/>
  <c r="J173" i="211"/>
  <c r="K173" i="211"/>
  <c r="L173" i="211"/>
  <c r="M173" i="211"/>
  <c r="N173" i="211"/>
  <c r="O173" i="211"/>
  <c r="P173" i="211"/>
  <c r="D173" i="211"/>
  <c r="E170" i="211"/>
  <c r="F170" i="211"/>
  <c r="G170" i="211"/>
  <c r="H170" i="211"/>
  <c r="I170" i="211"/>
  <c r="J170" i="211"/>
  <c r="K170" i="211"/>
  <c r="L170" i="211"/>
  <c r="M170" i="211"/>
  <c r="N170" i="211"/>
  <c r="O170" i="211"/>
  <c r="P170" i="211"/>
  <c r="Q170" i="211"/>
  <c r="D170" i="211"/>
  <c r="E162" i="211"/>
  <c r="F162" i="211"/>
  <c r="G162" i="211"/>
  <c r="H162" i="211"/>
  <c r="I162" i="211"/>
  <c r="J162" i="211"/>
  <c r="K162" i="211"/>
  <c r="L162" i="211"/>
  <c r="M162" i="211"/>
  <c r="N162" i="211"/>
  <c r="O162" i="211"/>
  <c r="P162" i="211"/>
  <c r="D162" i="211"/>
  <c r="Q140" i="211"/>
  <c r="E140" i="211"/>
  <c r="F140" i="211"/>
  <c r="G140" i="211"/>
  <c r="H140" i="211"/>
  <c r="I140" i="211"/>
  <c r="J140" i="211"/>
  <c r="K140" i="211"/>
  <c r="L140" i="211"/>
  <c r="M140" i="211"/>
  <c r="N140" i="211"/>
  <c r="O140" i="211"/>
  <c r="P140" i="211"/>
  <c r="D140" i="211"/>
  <c r="E126" i="211"/>
  <c r="F126" i="211"/>
  <c r="G126" i="211"/>
  <c r="H126" i="211"/>
  <c r="I126" i="211"/>
  <c r="J126" i="211"/>
  <c r="K126" i="211"/>
  <c r="L126" i="211"/>
  <c r="M126" i="211"/>
  <c r="N126" i="211"/>
  <c r="O126" i="211"/>
  <c r="P126" i="211"/>
  <c r="D126" i="211"/>
  <c r="E98" i="211"/>
  <c r="F98" i="211"/>
  <c r="G98" i="211"/>
  <c r="H98" i="211"/>
  <c r="I98" i="211"/>
  <c r="J98" i="211"/>
  <c r="K98" i="211"/>
  <c r="L98" i="211"/>
  <c r="M98" i="211"/>
  <c r="N98" i="211"/>
  <c r="O98" i="211"/>
  <c r="P98" i="211"/>
  <c r="D98" i="211"/>
  <c r="E96" i="211"/>
  <c r="F96" i="211"/>
  <c r="G96" i="211"/>
  <c r="H96" i="211"/>
  <c r="I96" i="211"/>
  <c r="J96" i="211"/>
  <c r="K96" i="211"/>
  <c r="L96" i="211"/>
  <c r="M96" i="211"/>
  <c r="N96" i="211"/>
  <c r="O96" i="211"/>
  <c r="P96" i="211"/>
  <c r="D96" i="211"/>
  <c r="Q88" i="211"/>
  <c r="E88" i="211"/>
  <c r="F88" i="211"/>
  <c r="G88" i="211"/>
  <c r="H88" i="211"/>
  <c r="I88" i="211"/>
  <c r="J88" i="211"/>
  <c r="K88" i="211"/>
  <c r="L88" i="211"/>
  <c r="M88" i="211"/>
  <c r="N88" i="211"/>
  <c r="O88" i="211"/>
  <c r="P88" i="211"/>
  <c r="D88" i="211"/>
  <c r="E77" i="211"/>
  <c r="F77" i="211"/>
  <c r="G77" i="211"/>
  <c r="H77" i="211"/>
  <c r="I77" i="211"/>
  <c r="J77" i="211"/>
  <c r="K77" i="211"/>
  <c r="L77" i="211"/>
  <c r="M77" i="211"/>
  <c r="N77" i="211"/>
  <c r="O77" i="211"/>
  <c r="P77" i="211"/>
  <c r="D77" i="211"/>
  <c r="E74" i="211"/>
  <c r="F74" i="211"/>
  <c r="G74" i="211"/>
  <c r="H74" i="211"/>
  <c r="I74" i="211"/>
  <c r="J74" i="211"/>
  <c r="K74" i="211"/>
  <c r="L74" i="211"/>
  <c r="M74" i="211"/>
  <c r="N74" i="211"/>
  <c r="O74" i="211"/>
  <c r="P74" i="211"/>
  <c r="D74" i="211"/>
  <c r="E51" i="211"/>
  <c r="F51" i="211"/>
  <c r="G51" i="211"/>
  <c r="H51" i="211"/>
  <c r="I51" i="211"/>
  <c r="J51" i="211"/>
  <c r="K51" i="211"/>
  <c r="L51" i="211"/>
  <c r="M51" i="211"/>
  <c r="N51" i="211"/>
  <c r="O51" i="211"/>
  <c r="P51" i="211"/>
  <c r="D51" i="211"/>
  <c r="Q173" i="211" l="1"/>
  <c r="Q96" i="211"/>
  <c r="Q98" i="211" s="1"/>
  <c r="Q51" i="211"/>
  <c r="Q74" i="211"/>
  <c r="Q77" i="211" l="1"/>
  <c r="D40" i="220" l="1"/>
  <c r="E40" i="220"/>
  <c r="F40" i="220"/>
  <c r="G40" i="220"/>
  <c r="H40" i="220"/>
  <c r="I40" i="220"/>
  <c r="J40" i="220"/>
  <c r="K40" i="220"/>
  <c r="L40" i="220"/>
  <c r="M40" i="220"/>
  <c r="N40" i="220"/>
  <c r="C40" i="220"/>
  <c r="R13" i="239"/>
  <c r="R12" i="239"/>
  <c r="R5" i="239"/>
  <c r="R6" i="239"/>
  <c r="R7" i="239"/>
  <c r="R8" i="239"/>
  <c r="G9" i="239"/>
  <c r="H9" i="239"/>
  <c r="I9" i="239"/>
  <c r="J9" i="239"/>
  <c r="K9" i="239"/>
  <c r="L9" i="239"/>
  <c r="M9" i="239"/>
  <c r="N9" i="239"/>
  <c r="O9" i="239"/>
  <c r="P9" i="239"/>
  <c r="Q9" i="239"/>
  <c r="F9" i="239"/>
  <c r="G17" i="238"/>
  <c r="H17" i="238"/>
  <c r="I17" i="238"/>
  <c r="J17" i="238"/>
  <c r="K17" i="238"/>
  <c r="L17" i="238"/>
  <c r="M17" i="238"/>
  <c r="N17" i="238"/>
  <c r="O17" i="238"/>
  <c r="P17" i="238"/>
  <c r="Q17" i="238"/>
  <c r="F17" i="238"/>
  <c r="F16" i="238"/>
  <c r="F18" i="238" s="1"/>
  <c r="G16" i="238"/>
  <c r="H16" i="238"/>
  <c r="I16" i="238"/>
  <c r="J16" i="238"/>
  <c r="J18" i="238" s="1"/>
  <c r="K16" i="238"/>
  <c r="K18" i="238" s="1"/>
  <c r="L16" i="238"/>
  <c r="M16" i="238"/>
  <c r="N16" i="238"/>
  <c r="O16" i="238"/>
  <c r="P16" i="238"/>
  <c r="Q16" i="238"/>
  <c r="R4" i="238"/>
  <c r="R5" i="238"/>
  <c r="R6" i="238"/>
  <c r="R7" i="238"/>
  <c r="R8" i="238"/>
  <c r="R9" i="238"/>
  <c r="R10" i="238"/>
  <c r="R11" i="238"/>
  <c r="R12" i="238"/>
  <c r="R13" i="238"/>
  <c r="R14" i="238"/>
  <c r="R15" i="238"/>
  <c r="R3" i="238"/>
  <c r="L18" i="238" l="1"/>
  <c r="Q18" i="238"/>
  <c r="P18" i="238"/>
  <c r="H18" i="238"/>
  <c r="O18" i="238"/>
  <c r="I18" i="238"/>
  <c r="G18" i="238"/>
  <c r="N18" i="238"/>
  <c r="M18" i="238"/>
  <c r="R17" i="238"/>
  <c r="R9" i="239"/>
  <c r="R16" i="238"/>
  <c r="R18" i="238" l="1"/>
  <c r="W45" i="211"/>
  <c r="W46" i="211"/>
  <c r="W47" i="211"/>
  <c r="W48" i="211"/>
  <c r="W49" i="211"/>
  <c r="W50" i="211"/>
  <c r="W51" i="211"/>
  <c r="W52" i="211"/>
  <c r="W53" i="211"/>
  <c r="W54" i="211"/>
  <c r="W55" i="211"/>
  <c r="W56" i="211"/>
  <c r="W57" i="211"/>
  <c r="W58" i="211"/>
  <c r="W59" i="211"/>
  <c r="W44" i="211"/>
  <c r="U45" i="211"/>
  <c r="U46" i="211"/>
  <c r="U47" i="211"/>
  <c r="U48" i="211"/>
  <c r="U49" i="211"/>
  <c r="U50" i="211"/>
  <c r="U51" i="211"/>
  <c r="U52" i="211"/>
  <c r="U53" i="211"/>
  <c r="U54" i="211"/>
  <c r="U55" i="211"/>
  <c r="U56" i="211"/>
  <c r="U57" i="211"/>
  <c r="U58" i="211"/>
  <c r="U59" i="211"/>
  <c r="U60" i="211"/>
  <c r="U61" i="211"/>
  <c r="U62" i="211"/>
  <c r="U63" i="211"/>
  <c r="U64" i="211"/>
  <c r="U65" i="211"/>
  <c r="U66" i="211"/>
  <c r="U67" i="211"/>
  <c r="U44" i="211"/>
  <c r="F27" i="211"/>
  <c r="G27" i="211"/>
  <c r="H27" i="211"/>
  <c r="I27" i="211"/>
  <c r="J27" i="211"/>
  <c r="K27" i="211"/>
  <c r="L27" i="211"/>
  <c r="M27" i="211"/>
  <c r="N27" i="211"/>
  <c r="O27" i="211"/>
  <c r="P27" i="211"/>
  <c r="E27" i="211"/>
  <c r="F20" i="211"/>
  <c r="G20" i="211"/>
  <c r="H20" i="211"/>
  <c r="I20" i="211"/>
  <c r="J20" i="211"/>
  <c r="K20" i="211"/>
  <c r="L20" i="211"/>
  <c r="M20" i="211"/>
  <c r="N20" i="211"/>
  <c r="O20" i="211"/>
  <c r="P20" i="211"/>
  <c r="F21" i="211"/>
  <c r="G21" i="211"/>
  <c r="H21" i="211"/>
  <c r="I21" i="211"/>
  <c r="J21" i="211"/>
  <c r="K21" i="211"/>
  <c r="L21" i="211"/>
  <c r="M21" i="211"/>
  <c r="N21" i="211"/>
  <c r="O21" i="211"/>
  <c r="P21" i="211"/>
  <c r="F22" i="211"/>
  <c r="G22" i="211"/>
  <c r="H22" i="211"/>
  <c r="I22" i="211"/>
  <c r="J22" i="211"/>
  <c r="K22" i="211"/>
  <c r="L22" i="211"/>
  <c r="M22" i="211"/>
  <c r="N22" i="211"/>
  <c r="O22" i="211"/>
  <c r="P22" i="211"/>
  <c r="F23" i="211"/>
  <c r="G23" i="211"/>
  <c r="H23" i="211"/>
  <c r="I23" i="211"/>
  <c r="J23" i="211"/>
  <c r="K23" i="211"/>
  <c r="L23" i="211"/>
  <c r="M23" i="211"/>
  <c r="N23" i="211"/>
  <c r="O23" i="211"/>
  <c r="P23" i="211"/>
  <c r="E21" i="211"/>
  <c r="E22" i="211"/>
  <c r="E23" i="211"/>
  <c r="E20" i="211"/>
  <c r="E9" i="211"/>
  <c r="F9" i="211"/>
  <c r="G9" i="211"/>
  <c r="H9" i="211"/>
  <c r="I9" i="211"/>
  <c r="J9" i="211"/>
  <c r="K9" i="211"/>
  <c r="L9" i="211"/>
  <c r="M9" i="211"/>
  <c r="N9" i="211"/>
  <c r="O9" i="211"/>
  <c r="P9" i="211"/>
  <c r="F10" i="211"/>
  <c r="G10" i="211"/>
  <c r="H10" i="211"/>
  <c r="I10" i="211"/>
  <c r="J10" i="211"/>
  <c r="K10" i="211"/>
  <c r="L10" i="211"/>
  <c r="M10" i="211"/>
  <c r="N10" i="211"/>
  <c r="O10" i="211"/>
  <c r="P10" i="211"/>
  <c r="F11" i="211"/>
  <c r="G11" i="211"/>
  <c r="H11" i="211"/>
  <c r="I11" i="211"/>
  <c r="J11" i="211"/>
  <c r="K11" i="211"/>
  <c r="L11" i="211"/>
  <c r="M11" i="211"/>
  <c r="N11" i="211"/>
  <c r="O11" i="211"/>
  <c r="P11" i="211"/>
  <c r="F12" i="211"/>
  <c r="G12" i="211"/>
  <c r="H12" i="211"/>
  <c r="I12" i="211"/>
  <c r="J12" i="211"/>
  <c r="K12" i="211"/>
  <c r="L12" i="211"/>
  <c r="M12" i="211"/>
  <c r="N12" i="211"/>
  <c r="O12" i="211"/>
  <c r="P12" i="211"/>
  <c r="F13" i="211"/>
  <c r="G13" i="211"/>
  <c r="H13" i="211"/>
  <c r="I13" i="211"/>
  <c r="J13" i="211"/>
  <c r="K13" i="211"/>
  <c r="L13" i="211"/>
  <c r="M13" i="211"/>
  <c r="N13" i="211"/>
  <c r="O13" i="211"/>
  <c r="P13" i="211"/>
  <c r="F14" i="211"/>
  <c r="G14" i="211"/>
  <c r="H14" i="211"/>
  <c r="I14" i="211"/>
  <c r="J14" i="211"/>
  <c r="K14" i="211"/>
  <c r="L14" i="211"/>
  <c r="M14" i="211"/>
  <c r="N14" i="211"/>
  <c r="O14" i="211"/>
  <c r="P14" i="211"/>
  <c r="E10" i="211"/>
  <c r="E11" i="211"/>
  <c r="E12" i="211"/>
  <c r="E13" i="211"/>
  <c r="E14" i="211"/>
  <c r="E16" i="211"/>
  <c r="F19" i="135"/>
  <c r="M58" i="233" l="1"/>
  <c r="C97" i="233"/>
  <c r="L37" i="232" l="1"/>
  <c r="L38" i="232"/>
  <c r="L36" i="232"/>
  <c r="L34" i="232"/>
  <c r="L33" i="232"/>
  <c r="L26" i="232"/>
  <c r="L27" i="232"/>
  <c r="L25" i="232"/>
  <c r="L23" i="232"/>
  <c r="L22" i="232"/>
  <c r="L17" i="232"/>
  <c r="L18" i="232"/>
  <c r="L16" i="232"/>
  <c r="L14" i="232"/>
  <c r="L13" i="232"/>
  <c r="L37" i="231"/>
  <c r="L38" i="231"/>
  <c r="L36" i="231"/>
  <c r="L34" i="231"/>
  <c r="L33" i="231"/>
  <c r="L26" i="231"/>
  <c r="L27" i="231"/>
  <c r="L25" i="231"/>
  <c r="L23" i="231"/>
  <c r="L22" i="231"/>
  <c r="L17" i="231"/>
  <c r="L18" i="231"/>
  <c r="L16" i="231"/>
  <c r="L14" i="231"/>
  <c r="L13" i="231"/>
  <c r="L37" i="230"/>
  <c r="L38" i="230"/>
  <c r="L36" i="230"/>
  <c r="L34" i="230"/>
  <c r="L33" i="230"/>
  <c r="L26" i="230"/>
  <c r="L27" i="230"/>
  <c r="L25" i="230"/>
  <c r="L23" i="230"/>
  <c r="L22" i="230"/>
  <c r="L17" i="230"/>
  <c r="L18" i="230"/>
  <c r="L16" i="230"/>
  <c r="L14" i="230"/>
  <c r="L13" i="230"/>
  <c r="L37" i="229"/>
  <c r="L38" i="229"/>
  <c r="L36" i="229"/>
  <c r="L34" i="229"/>
  <c r="L33" i="229"/>
  <c r="L26" i="229"/>
  <c r="L27" i="229"/>
  <c r="L25" i="229"/>
  <c r="L23" i="229"/>
  <c r="L22" i="229"/>
  <c r="L17" i="229"/>
  <c r="L18" i="229"/>
  <c r="L16" i="229"/>
  <c r="L14" i="229"/>
  <c r="L13" i="229"/>
  <c r="L37" i="228"/>
  <c r="L38" i="228"/>
  <c r="L36" i="228"/>
  <c r="L34" i="228"/>
  <c r="L33" i="228"/>
  <c r="L26" i="228"/>
  <c r="L27" i="228"/>
  <c r="L25" i="228"/>
  <c r="L23" i="228"/>
  <c r="L22" i="228"/>
  <c r="L17" i="228"/>
  <c r="L18" i="228"/>
  <c r="L16" i="228"/>
  <c r="L14" i="228"/>
  <c r="L13" i="228"/>
  <c r="L37" i="227"/>
  <c r="L38" i="227"/>
  <c r="L36" i="227"/>
  <c r="L34" i="227"/>
  <c r="L33" i="227"/>
  <c r="L26" i="227"/>
  <c r="L27" i="227"/>
  <c r="L25" i="227"/>
  <c r="L23" i="227"/>
  <c r="L22" i="227"/>
  <c r="L17" i="227"/>
  <c r="L18" i="227"/>
  <c r="L16" i="227"/>
  <c r="L14" i="227"/>
  <c r="L13" i="227"/>
  <c r="L37" i="226"/>
  <c r="L38" i="226"/>
  <c r="L36" i="226"/>
  <c r="L34" i="226"/>
  <c r="L33" i="226"/>
  <c r="L26" i="226"/>
  <c r="L27" i="226"/>
  <c r="L25" i="226"/>
  <c r="L23" i="226"/>
  <c r="L22" i="226"/>
  <c r="L17" i="226"/>
  <c r="L18" i="226"/>
  <c r="L16" i="226"/>
  <c r="L14" i="226"/>
  <c r="L13" i="226"/>
  <c r="L37" i="225"/>
  <c r="L38" i="225"/>
  <c r="L36" i="225"/>
  <c r="L34" i="225"/>
  <c r="L33" i="225"/>
  <c r="L26" i="225"/>
  <c r="L27" i="225"/>
  <c r="L25" i="225"/>
  <c r="L23" i="225"/>
  <c r="L22" i="225"/>
  <c r="L17" i="225"/>
  <c r="L18" i="225"/>
  <c r="L16" i="225"/>
  <c r="L14" i="225"/>
  <c r="L13" i="225"/>
  <c r="L37" i="224"/>
  <c r="L38" i="224"/>
  <c r="L36" i="224"/>
  <c r="L34" i="224"/>
  <c r="L33" i="224"/>
  <c r="L26" i="224"/>
  <c r="L27" i="224"/>
  <c r="L25" i="224"/>
  <c r="L23" i="224"/>
  <c r="L22" i="224"/>
  <c r="L18" i="224"/>
  <c r="L17" i="224"/>
  <c r="L16" i="224"/>
  <c r="L14" i="224"/>
  <c r="L13" i="224"/>
  <c r="L37" i="223"/>
  <c r="L38" i="223"/>
  <c r="L36" i="223"/>
  <c r="L34" i="223"/>
  <c r="L33" i="223"/>
  <c r="L26" i="223"/>
  <c r="L27" i="223"/>
  <c r="L25" i="223"/>
  <c r="L23" i="223"/>
  <c r="L22" i="223"/>
  <c r="L17" i="223"/>
  <c r="L18" i="223"/>
  <c r="L16" i="223"/>
  <c r="L14" i="223"/>
  <c r="L13" i="223"/>
  <c r="L37" i="222"/>
  <c r="L38" i="222"/>
  <c r="L36" i="222"/>
  <c r="L34" i="222"/>
  <c r="L33" i="222"/>
  <c r="L26" i="222"/>
  <c r="L27" i="222"/>
  <c r="L25" i="222"/>
  <c r="L23" i="222"/>
  <c r="L22" i="222"/>
  <c r="L17" i="222"/>
  <c r="L18" i="222"/>
  <c r="L16" i="222"/>
  <c r="L14" i="222"/>
  <c r="L13" i="222"/>
  <c r="L37" i="221"/>
  <c r="L38" i="221"/>
  <c r="L36" i="221"/>
  <c r="L34" i="221"/>
  <c r="L33" i="221"/>
  <c r="L17" i="221"/>
  <c r="L18" i="221"/>
  <c r="L16" i="221"/>
  <c r="L14" i="221"/>
  <c r="L13" i="221"/>
  <c r="L27" i="221"/>
  <c r="L26" i="221"/>
  <c r="L25" i="221"/>
  <c r="L23" i="221"/>
  <c r="L22" i="221"/>
  <c r="F26" i="217"/>
  <c r="G26" i="217"/>
  <c r="H26" i="217"/>
  <c r="I26" i="217"/>
  <c r="J26" i="217"/>
  <c r="K26" i="217"/>
  <c r="L26" i="217"/>
  <c r="M26" i="217"/>
  <c r="N26" i="217"/>
  <c r="O26" i="217"/>
  <c r="P26" i="217"/>
  <c r="D26" i="245" s="1"/>
  <c r="F27" i="217"/>
  <c r="G27" i="217"/>
  <c r="H27" i="217"/>
  <c r="I27" i="217"/>
  <c r="J27" i="217"/>
  <c r="K27" i="217"/>
  <c r="L27" i="217"/>
  <c r="M27" i="217"/>
  <c r="N27" i="217"/>
  <c r="O27" i="217"/>
  <c r="P27" i="217"/>
  <c r="D27" i="245" s="1"/>
  <c r="E27" i="217"/>
  <c r="E26" i="217"/>
  <c r="M57" i="233" l="1"/>
  <c r="N26" i="232" l="1"/>
  <c r="N25" i="230"/>
  <c r="N18" i="230"/>
  <c r="N26" i="227"/>
  <c r="N13" i="227"/>
  <c r="N15" i="226"/>
  <c r="N27" i="221"/>
  <c r="N17" i="221"/>
  <c r="F35" i="221"/>
  <c r="R35" i="221" s="1"/>
  <c r="F35" i="222" s="1"/>
  <c r="R35" i="222" s="1"/>
  <c r="F35" i="223" s="1"/>
  <c r="R35" i="223" s="1"/>
  <c r="F35" i="224" s="1"/>
  <c r="R35" i="224" s="1"/>
  <c r="F35" i="225" s="1"/>
  <c r="R35" i="225" s="1"/>
  <c r="F35" i="226" s="1"/>
  <c r="R35" i="226" s="1"/>
  <c r="F35" i="227" s="1"/>
  <c r="R35" i="227" s="1"/>
  <c r="F35" i="228" s="1"/>
  <c r="R35" i="228" s="1"/>
  <c r="F35" i="229" s="1"/>
  <c r="R35" i="229" s="1"/>
  <c r="F35" i="230" s="1"/>
  <c r="R35" i="230" s="1"/>
  <c r="F35" i="231" s="1"/>
  <c r="R35" i="231" s="1"/>
  <c r="F35" i="232" s="1"/>
  <c r="R35" i="232" s="1"/>
  <c r="F32" i="249" s="1"/>
  <c r="R32" i="249" s="1"/>
  <c r="F32" i="250" s="1"/>
  <c r="R32" i="250" s="1"/>
  <c r="F32" i="251" s="1"/>
  <c r="R32" i="251" s="1"/>
  <c r="F32" i="252" s="1"/>
  <c r="R32" i="252" s="1"/>
  <c r="F32" i="253" s="1"/>
  <c r="R32" i="253" s="1"/>
  <c r="F32" i="254" s="1"/>
  <c r="R32" i="254" s="1"/>
  <c r="F32" i="255" s="1"/>
  <c r="R32" i="255" s="1"/>
  <c r="F32" i="256" s="1"/>
  <c r="R32" i="256" s="1"/>
  <c r="F32" i="257" s="1"/>
  <c r="R32" i="257" s="1"/>
  <c r="F32" i="258" s="1"/>
  <c r="R32" i="258" s="1"/>
  <c r="F32" i="259" s="1"/>
  <c r="R32" i="259" s="1"/>
  <c r="F32" i="260" s="1"/>
  <c r="R32" i="260" s="1"/>
  <c r="P39" i="221"/>
  <c r="N39" i="221"/>
  <c r="L39" i="221"/>
  <c r="O17" i="233" s="1"/>
  <c r="O63" i="233" s="1"/>
  <c r="J39" i="221"/>
  <c r="L28" i="221"/>
  <c r="H27" i="221"/>
  <c r="H26" i="221"/>
  <c r="N26" i="221" s="1"/>
  <c r="H25" i="221"/>
  <c r="N25" i="221" s="1"/>
  <c r="H24" i="221"/>
  <c r="N24" i="221" s="1"/>
  <c r="H23" i="221"/>
  <c r="N23" i="221" s="1"/>
  <c r="H22" i="221"/>
  <c r="N22" i="221" s="1"/>
  <c r="L19" i="221"/>
  <c r="H18" i="221"/>
  <c r="N18" i="221" s="1"/>
  <c r="H17" i="221"/>
  <c r="H16" i="221"/>
  <c r="N16" i="221" s="1"/>
  <c r="H15" i="221"/>
  <c r="N15" i="221" s="1"/>
  <c r="H14" i="221"/>
  <c r="N14" i="221" s="1"/>
  <c r="A14" i="221"/>
  <c r="A16" i="221" s="1"/>
  <c r="A17" i="221" s="1"/>
  <c r="A18" i="221" s="1"/>
  <c r="A19" i="221" s="1"/>
  <c r="A22" i="221" s="1"/>
  <c r="A23" i="221" s="1"/>
  <c r="A25" i="221" s="1"/>
  <c r="A26" i="221" s="1"/>
  <c r="A27" i="221" s="1"/>
  <c r="A28" i="221" s="1"/>
  <c r="A30" i="221" s="1"/>
  <c r="A33" i="221" s="1"/>
  <c r="A34" i="221" s="1"/>
  <c r="A36" i="221" s="1"/>
  <c r="A37" i="221" s="1"/>
  <c r="A38" i="221" s="1"/>
  <c r="A39" i="221" s="1"/>
  <c r="H13" i="221"/>
  <c r="N13" i="221" s="1"/>
  <c r="E20" i="217"/>
  <c r="F20" i="217"/>
  <c r="G20" i="217"/>
  <c r="H20" i="217"/>
  <c r="I20" i="217"/>
  <c r="J20" i="217"/>
  <c r="K20" i="217"/>
  <c r="L20" i="217"/>
  <c r="M20" i="217"/>
  <c r="N20" i="217"/>
  <c r="O20" i="217"/>
  <c r="P20" i="217"/>
  <c r="D20" i="245" s="1"/>
  <c r="P39" i="232"/>
  <c r="N39" i="232"/>
  <c r="L39" i="232"/>
  <c r="O28" i="233" s="1"/>
  <c r="O74" i="233" s="1"/>
  <c r="J39" i="232"/>
  <c r="L28" i="232"/>
  <c r="H27" i="232"/>
  <c r="N27" i="232" s="1"/>
  <c r="H26" i="232"/>
  <c r="H25" i="232"/>
  <c r="N25" i="232" s="1"/>
  <c r="H24" i="232"/>
  <c r="N24" i="232" s="1"/>
  <c r="H23" i="232"/>
  <c r="N23" i="232" s="1"/>
  <c r="H22" i="232"/>
  <c r="N22" i="232" s="1"/>
  <c r="L19" i="232"/>
  <c r="H18" i="232"/>
  <c r="N18" i="232" s="1"/>
  <c r="H17" i="232"/>
  <c r="N17" i="232" s="1"/>
  <c r="H16" i="232"/>
  <c r="N16" i="232" s="1"/>
  <c r="H15" i="232"/>
  <c r="N15" i="232" s="1"/>
  <c r="H14" i="232"/>
  <c r="N14" i="232" s="1"/>
  <c r="A14" i="232"/>
  <c r="A16" i="232" s="1"/>
  <c r="A17" i="232" s="1"/>
  <c r="A18" i="232" s="1"/>
  <c r="A19" i="232" s="1"/>
  <c r="A22" i="232" s="1"/>
  <c r="A23" i="232" s="1"/>
  <c r="A25" i="232" s="1"/>
  <c r="A26" i="232" s="1"/>
  <c r="A27" i="232" s="1"/>
  <c r="A28" i="232" s="1"/>
  <c r="A30" i="232" s="1"/>
  <c r="A33" i="232" s="1"/>
  <c r="A34" i="232" s="1"/>
  <c r="A36" i="232" s="1"/>
  <c r="A37" i="232" s="1"/>
  <c r="A38" i="232" s="1"/>
  <c r="A39" i="232" s="1"/>
  <c r="H13" i="232"/>
  <c r="N13" i="232" s="1"/>
  <c r="P39" i="231"/>
  <c r="N39" i="231"/>
  <c r="L39" i="231"/>
  <c r="O27" i="233" s="1"/>
  <c r="O73" i="233" s="1"/>
  <c r="J39" i="231"/>
  <c r="L28" i="231"/>
  <c r="H27" i="231"/>
  <c r="N27" i="231" s="1"/>
  <c r="H26" i="231"/>
  <c r="N26" i="231" s="1"/>
  <c r="H25" i="231"/>
  <c r="N25" i="231" s="1"/>
  <c r="H24" i="231"/>
  <c r="N24" i="231" s="1"/>
  <c r="H23" i="231"/>
  <c r="N23" i="231" s="1"/>
  <c r="H22" i="231"/>
  <c r="N22" i="231" s="1"/>
  <c r="L19" i="231"/>
  <c r="H18" i="231"/>
  <c r="N18" i="231" s="1"/>
  <c r="H17" i="231"/>
  <c r="N17" i="231" s="1"/>
  <c r="H16" i="231"/>
  <c r="N16" i="231" s="1"/>
  <c r="H15" i="231"/>
  <c r="N15" i="231" s="1"/>
  <c r="H14" i="231"/>
  <c r="N14" i="231" s="1"/>
  <c r="A14" i="231"/>
  <c r="A16" i="231" s="1"/>
  <c r="A17" i="231" s="1"/>
  <c r="A18" i="231" s="1"/>
  <c r="A19" i="231" s="1"/>
  <c r="A22" i="231" s="1"/>
  <c r="A23" i="231" s="1"/>
  <c r="A25" i="231" s="1"/>
  <c r="A26" i="231" s="1"/>
  <c r="A27" i="231" s="1"/>
  <c r="A28" i="231" s="1"/>
  <c r="A30" i="231" s="1"/>
  <c r="A33" i="231" s="1"/>
  <c r="A34" i="231" s="1"/>
  <c r="A36" i="231" s="1"/>
  <c r="A37" i="231" s="1"/>
  <c r="A38" i="231" s="1"/>
  <c r="A39" i="231" s="1"/>
  <c r="H13" i="231"/>
  <c r="N13" i="231" s="1"/>
  <c r="P39" i="230"/>
  <c r="N39" i="230"/>
  <c r="L39" i="230"/>
  <c r="O26" i="233" s="1"/>
  <c r="O72" i="233" s="1"/>
  <c r="J39" i="230"/>
  <c r="L28" i="230"/>
  <c r="H27" i="230"/>
  <c r="N27" i="230" s="1"/>
  <c r="H26" i="230"/>
  <c r="N26" i="230" s="1"/>
  <c r="H25" i="230"/>
  <c r="H24" i="230"/>
  <c r="N24" i="230" s="1"/>
  <c r="H23" i="230"/>
  <c r="N23" i="230" s="1"/>
  <c r="H22" i="230"/>
  <c r="N22" i="230" s="1"/>
  <c r="L19" i="230"/>
  <c r="H18" i="230"/>
  <c r="H17" i="230"/>
  <c r="N17" i="230" s="1"/>
  <c r="H16" i="230"/>
  <c r="N16" i="230" s="1"/>
  <c r="H15" i="230"/>
  <c r="N15" i="230" s="1"/>
  <c r="H14" i="230"/>
  <c r="N14" i="230" s="1"/>
  <c r="A14" i="230"/>
  <c r="A16" i="230" s="1"/>
  <c r="A17" i="230" s="1"/>
  <c r="A18" i="230" s="1"/>
  <c r="A19" i="230" s="1"/>
  <c r="A22" i="230" s="1"/>
  <c r="A23" i="230" s="1"/>
  <c r="A25" i="230" s="1"/>
  <c r="A26" i="230" s="1"/>
  <c r="A27" i="230" s="1"/>
  <c r="A28" i="230" s="1"/>
  <c r="A30" i="230" s="1"/>
  <c r="A33" i="230" s="1"/>
  <c r="A34" i="230" s="1"/>
  <c r="A36" i="230" s="1"/>
  <c r="A37" i="230" s="1"/>
  <c r="A38" i="230" s="1"/>
  <c r="A39" i="230" s="1"/>
  <c r="H13" i="230"/>
  <c r="N13" i="230" s="1"/>
  <c r="P39" i="229"/>
  <c r="N39" i="229"/>
  <c r="L39" i="229"/>
  <c r="O25" i="233" s="1"/>
  <c r="O71" i="233" s="1"/>
  <c r="J39" i="229"/>
  <c r="L28" i="229"/>
  <c r="H27" i="229"/>
  <c r="N27" i="229" s="1"/>
  <c r="H26" i="229"/>
  <c r="N26" i="229" s="1"/>
  <c r="H25" i="229"/>
  <c r="N25" i="229" s="1"/>
  <c r="H24" i="229"/>
  <c r="N24" i="229" s="1"/>
  <c r="H23" i="229"/>
  <c r="N23" i="229" s="1"/>
  <c r="H22" i="229"/>
  <c r="N22" i="229" s="1"/>
  <c r="L19" i="229"/>
  <c r="H18" i="229"/>
  <c r="N18" i="229" s="1"/>
  <c r="H17" i="229"/>
  <c r="N17" i="229" s="1"/>
  <c r="H16" i="229"/>
  <c r="N16" i="229" s="1"/>
  <c r="H15" i="229"/>
  <c r="N15" i="229" s="1"/>
  <c r="H14" i="229"/>
  <c r="N14" i="229" s="1"/>
  <c r="A14" i="229"/>
  <c r="A16" i="229" s="1"/>
  <c r="A17" i="229" s="1"/>
  <c r="A18" i="229" s="1"/>
  <c r="A19" i="229" s="1"/>
  <c r="A22" i="229" s="1"/>
  <c r="A23" i="229" s="1"/>
  <c r="A25" i="229" s="1"/>
  <c r="A26" i="229" s="1"/>
  <c r="A27" i="229" s="1"/>
  <c r="A28" i="229" s="1"/>
  <c r="A30" i="229" s="1"/>
  <c r="A33" i="229" s="1"/>
  <c r="A34" i="229" s="1"/>
  <c r="A36" i="229" s="1"/>
  <c r="A37" i="229" s="1"/>
  <c r="A38" i="229" s="1"/>
  <c r="A39" i="229" s="1"/>
  <c r="H13" i="229"/>
  <c r="N13" i="229" s="1"/>
  <c r="P39" i="228"/>
  <c r="N39" i="228"/>
  <c r="L39" i="228"/>
  <c r="O24" i="233" s="1"/>
  <c r="O70" i="233" s="1"/>
  <c r="J39" i="228"/>
  <c r="L28" i="228"/>
  <c r="H27" i="228"/>
  <c r="N27" i="228" s="1"/>
  <c r="H26" i="228"/>
  <c r="N26" i="228" s="1"/>
  <c r="H25" i="228"/>
  <c r="N25" i="228" s="1"/>
  <c r="H24" i="228"/>
  <c r="N24" i="228" s="1"/>
  <c r="H23" i="228"/>
  <c r="N23" i="228" s="1"/>
  <c r="H22" i="228"/>
  <c r="N22" i="228" s="1"/>
  <c r="L19" i="228"/>
  <c r="H18" i="228"/>
  <c r="N18" i="228" s="1"/>
  <c r="H17" i="228"/>
  <c r="N17" i="228" s="1"/>
  <c r="H16" i="228"/>
  <c r="N16" i="228" s="1"/>
  <c r="H15" i="228"/>
  <c r="N15" i="228" s="1"/>
  <c r="H14" i="228"/>
  <c r="N14" i="228" s="1"/>
  <c r="A14" i="228"/>
  <c r="A16" i="228" s="1"/>
  <c r="A17" i="228" s="1"/>
  <c r="A18" i="228" s="1"/>
  <c r="A19" i="228" s="1"/>
  <c r="A22" i="228" s="1"/>
  <c r="A23" i="228" s="1"/>
  <c r="A25" i="228" s="1"/>
  <c r="A26" i="228" s="1"/>
  <c r="A27" i="228" s="1"/>
  <c r="A28" i="228" s="1"/>
  <c r="A30" i="228" s="1"/>
  <c r="A33" i="228" s="1"/>
  <c r="A34" i="228" s="1"/>
  <c r="A36" i="228" s="1"/>
  <c r="A37" i="228" s="1"/>
  <c r="A38" i="228" s="1"/>
  <c r="A39" i="228" s="1"/>
  <c r="H13" i="228"/>
  <c r="N13" i="228" s="1"/>
  <c r="P39" i="227"/>
  <c r="N39" i="227"/>
  <c r="L39" i="227"/>
  <c r="O23" i="233" s="1"/>
  <c r="O69" i="233" s="1"/>
  <c r="J39" i="227"/>
  <c r="L28" i="227"/>
  <c r="H27" i="227"/>
  <c r="N27" i="227" s="1"/>
  <c r="H26" i="227"/>
  <c r="H25" i="227"/>
  <c r="N25" i="227" s="1"/>
  <c r="H24" i="227"/>
  <c r="N24" i="227" s="1"/>
  <c r="H23" i="227"/>
  <c r="N23" i="227" s="1"/>
  <c r="H22" i="227"/>
  <c r="N22" i="227" s="1"/>
  <c r="L19" i="227"/>
  <c r="H18" i="227"/>
  <c r="N18" i="227" s="1"/>
  <c r="H17" i="227"/>
  <c r="N17" i="227" s="1"/>
  <c r="H16" i="227"/>
  <c r="N16" i="227" s="1"/>
  <c r="H15" i="227"/>
  <c r="N15" i="227" s="1"/>
  <c r="H14" i="227"/>
  <c r="N14" i="227" s="1"/>
  <c r="A14" i="227"/>
  <c r="A16" i="227" s="1"/>
  <c r="A17" i="227" s="1"/>
  <c r="A18" i="227" s="1"/>
  <c r="A19" i="227" s="1"/>
  <c r="A22" i="227" s="1"/>
  <c r="A23" i="227" s="1"/>
  <c r="A25" i="227" s="1"/>
  <c r="A26" i="227" s="1"/>
  <c r="A27" i="227" s="1"/>
  <c r="A28" i="227" s="1"/>
  <c r="A30" i="227" s="1"/>
  <c r="A33" i="227" s="1"/>
  <c r="A34" i="227" s="1"/>
  <c r="A36" i="227" s="1"/>
  <c r="A37" i="227" s="1"/>
  <c r="A38" i="227" s="1"/>
  <c r="A39" i="227" s="1"/>
  <c r="H13" i="227"/>
  <c r="P39" i="226"/>
  <c r="N39" i="226"/>
  <c r="L39" i="226"/>
  <c r="O22" i="233" s="1"/>
  <c r="O68" i="233" s="1"/>
  <c r="J39" i="226"/>
  <c r="L28" i="226"/>
  <c r="H27" i="226"/>
  <c r="N27" i="226" s="1"/>
  <c r="H26" i="226"/>
  <c r="N26" i="226" s="1"/>
  <c r="H25" i="226"/>
  <c r="N25" i="226" s="1"/>
  <c r="H24" i="226"/>
  <c r="N24" i="226" s="1"/>
  <c r="H23" i="226"/>
  <c r="N23" i="226" s="1"/>
  <c r="H22" i="226"/>
  <c r="N22" i="226" s="1"/>
  <c r="L19" i="226"/>
  <c r="H18" i="226"/>
  <c r="N18" i="226" s="1"/>
  <c r="H17" i="226"/>
  <c r="N17" i="226" s="1"/>
  <c r="H16" i="226"/>
  <c r="N16" i="226" s="1"/>
  <c r="H15" i="226"/>
  <c r="H14" i="226"/>
  <c r="N14" i="226" s="1"/>
  <c r="A14" i="226"/>
  <c r="A16" i="226" s="1"/>
  <c r="A17" i="226" s="1"/>
  <c r="A18" i="226" s="1"/>
  <c r="A19" i="226" s="1"/>
  <c r="A22" i="226" s="1"/>
  <c r="A23" i="226" s="1"/>
  <c r="A25" i="226" s="1"/>
  <c r="A26" i="226" s="1"/>
  <c r="A27" i="226" s="1"/>
  <c r="A28" i="226" s="1"/>
  <c r="A30" i="226" s="1"/>
  <c r="A33" i="226" s="1"/>
  <c r="A34" i="226" s="1"/>
  <c r="A36" i="226" s="1"/>
  <c r="A37" i="226" s="1"/>
  <c r="A38" i="226" s="1"/>
  <c r="A39" i="226" s="1"/>
  <c r="H13" i="226"/>
  <c r="N13" i="226" s="1"/>
  <c r="P39" i="225"/>
  <c r="N39" i="225"/>
  <c r="L39" i="225"/>
  <c r="O21" i="233" s="1"/>
  <c r="O67" i="233" s="1"/>
  <c r="J39" i="225"/>
  <c r="L28" i="225"/>
  <c r="H27" i="225"/>
  <c r="N27" i="225" s="1"/>
  <c r="H26" i="225"/>
  <c r="N26" i="225" s="1"/>
  <c r="H25" i="225"/>
  <c r="N25" i="225" s="1"/>
  <c r="H24" i="225"/>
  <c r="N24" i="225" s="1"/>
  <c r="H23" i="225"/>
  <c r="N23" i="225" s="1"/>
  <c r="H22" i="225"/>
  <c r="N22" i="225" s="1"/>
  <c r="L19" i="225"/>
  <c r="H18" i="225"/>
  <c r="N18" i="225" s="1"/>
  <c r="H17" i="225"/>
  <c r="N17" i="225" s="1"/>
  <c r="H16" i="225"/>
  <c r="N16" i="225" s="1"/>
  <c r="H15" i="225"/>
  <c r="N15" i="225" s="1"/>
  <c r="H14" i="225"/>
  <c r="N14" i="225" s="1"/>
  <c r="A14" i="225"/>
  <c r="A16" i="225" s="1"/>
  <c r="A17" i="225" s="1"/>
  <c r="A18" i="225" s="1"/>
  <c r="A19" i="225" s="1"/>
  <c r="A22" i="225" s="1"/>
  <c r="A23" i="225" s="1"/>
  <c r="A25" i="225" s="1"/>
  <c r="A26" i="225" s="1"/>
  <c r="A27" i="225" s="1"/>
  <c r="A28" i="225" s="1"/>
  <c r="A30" i="225" s="1"/>
  <c r="A33" i="225" s="1"/>
  <c r="A34" i="225" s="1"/>
  <c r="A36" i="225" s="1"/>
  <c r="A37" i="225" s="1"/>
  <c r="A38" i="225" s="1"/>
  <c r="A39" i="225" s="1"/>
  <c r="H13" i="225"/>
  <c r="N13" i="225" s="1"/>
  <c r="P39" i="224"/>
  <c r="N39" i="224"/>
  <c r="L39" i="224"/>
  <c r="O20" i="233" s="1"/>
  <c r="O66" i="233" s="1"/>
  <c r="J39" i="224"/>
  <c r="L28" i="224"/>
  <c r="H27" i="224"/>
  <c r="N27" i="224" s="1"/>
  <c r="H26" i="224"/>
  <c r="N26" i="224" s="1"/>
  <c r="H25" i="224"/>
  <c r="N25" i="224" s="1"/>
  <c r="H24" i="224"/>
  <c r="N24" i="224" s="1"/>
  <c r="H23" i="224"/>
  <c r="N23" i="224" s="1"/>
  <c r="H22" i="224"/>
  <c r="N22" i="224" s="1"/>
  <c r="L19" i="224"/>
  <c r="H18" i="224"/>
  <c r="N18" i="224" s="1"/>
  <c r="H17" i="224"/>
  <c r="N17" i="224" s="1"/>
  <c r="H16" i="224"/>
  <c r="N16" i="224" s="1"/>
  <c r="H15" i="224"/>
  <c r="N15" i="224" s="1"/>
  <c r="H14" i="224"/>
  <c r="N14" i="224" s="1"/>
  <c r="A14" i="224"/>
  <c r="A16" i="224" s="1"/>
  <c r="A17" i="224" s="1"/>
  <c r="A18" i="224" s="1"/>
  <c r="A19" i="224" s="1"/>
  <c r="A22" i="224" s="1"/>
  <c r="A23" i="224" s="1"/>
  <c r="A25" i="224" s="1"/>
  <c r="A26" i="224" s="1"/>
  <c r="A27" i="224" s="1"/>
  <c r="A28" i="224" s="1"/>
  <c r="A30" i="224" s="1"/>
  <c r="A33" i="224" s="1"/>
  <c r="A34" i="224" s="1"/>
  <c r="A36" i="224" s="1"/>
  <c r="A37" i="224" s="1"/>
  <c r="A38" i="224" s="1"/>
  <c r="A39" i="224" s="1"/>
  <c r="H13" i="224"/>
  <c r="N13" i="224" s="1"/>
  <c r="P39" i="223"/>
  <c r="N39" i="223"/>
  <c r="L39" i="223"/>
  <c r="O19" i="233" s="1"/>
  <c r="O65" i="233" s="1"/>
  <c r="J39" i="223"/>
  <c r="L28" i="223"/>
  <c r="H27" i="223"/>
  <c r="N27" i="223" s="1"/>
  <c r="H26" i="223"/>
  <c r="N26" i="223" s="1"/>
  <c r="H25" i="223"/>
  <c r="N25" i="223" s="1"/>
  <c r="H24" i="223"/>
  <c r="N24" i="223" s="1"/>
  <c r="H23" i="223"/>
  <c r="N23" i="223" s="1"/>
  <c r="H22" i="223"/>
  <c r="N22" i="223" s="1"/>
  <c r="L19" i="223"/>
  <c r="H18" i="223"/>
  <c r="N18" i="223" s="1"/>
  <c r="H17" i="223"/>
  <c r="N17" i="223" s="1"/>
  <c r="H16" i="223"/>
  <c r="N16" i="223" s="1"/>
  <c r="H15" i="223"/>
  <c r="N15" i="223" s="1"/>
  <c r="H14" i="223"/>
  <c r="N14" i="223" s="1"/>
  <c r="A14" i="223"/>
  <c r="A16" i="223" s="1"/>
  <c r="A17" i="223" s="1"/>
  <c r="A18" i="223" s="1"/>
  <c r="A19" i="223" s="1"/>
  <c r="A22" i="223" s="1"/>
  <c r="A23" i="223" s="1"/>
  <c r="A25" i="223" s="1"/>
  <c r="A26" i="223" s="1"/>
  <c r="A27" i="223" s="1"/>
  <c r="A28" i="223" s="1"/>
  <c r="A30" i="223" s="1"/>
  <c r="A33" i="223" s="1"/>
  <c r="A34" i="223" s="1"/>
  <c r="A36" i="223" s="1"/>
  <c r="A37" i="223" s="1"/>
  <c r="A38" i="223" s="1"/>
  <c r="A39" i="223" s="1"/>
  <c r="H13" i="223"/>
  <c r="N13" i="223" s="1"/>
  <c r="H13" i="222"/>
  <c r="N13" i="222" s="1"/>
  <c r="A14" i="222"/>
  <c r="A16" i="222" s="1"/>
  <c r="A17" i="222" s="1"/>
  <c r="A18" i="222" s="1"/>
  <c r="A19" i="222" s="1"/>
  <c r="A22" i="222" s="1"/>
  <c r="A23" i="222" s="1"/>
  <c r="A25" i="222" s="1"/>
  <c r="A26" i="222" s="1"/>
  <c r="A27" i="222" s="1"/>
  <c r="A28" i="222" s="1"/>
  <c r="A30" i="222" s="1"/>
  <c r="A33" i="222" s="1"/>
  <c r="A34" i="222" s="1"/>
  <c r="A36" i="222" s="1"/>
  <c r="A37" i="222" s="1"/>
  <c r="A38" i="222" s="1"/>
  <c r="A39" i="222" s="1"/>
  <c r="H14" i="222"/>
  <c r="N14" i="222" s="1"/>
  <c r="H15" i="222"/>
  <c r="N15" i="222" s="1"/>
  <c r="H16" i="222"/>
  <c r="N16" i="222" s="1"/>
  <c r="H17" i="222"/>
  <c r="N17" i="222" s="1"/>
  <c r="H18" i="222"/>
  <c r="N18" i="222" s="1"/>
  <c r="L19" i="222"/>
  <c r="H22" i="222"/>
  <c r="N22" i="222" s="1"/>
  <c r="H23" i="222"/>
  <c r="N23" i="222" s="1"/>
  <c r="H24" i="222"/>
  <c r="N24" i="222" s="1"/>
  <c r="H25" i="222"/>
  <c r="N25" i="222" s="1"/>
  <c r="H26" i="222"/>
  <c r="N26" i="222" s="1"/>
  <c r="H27" i="222"/>
  <c r="N27" i="222" s="1"/>
  <c r="L28" i="222"/>
  <c r="J39" i="222"/>
  <c r="L39" i="222"/>
  <c r="O18" i="233" s="1"/>
  <c r="O64" i="233" s="1"/>
  <c r="N39" i="222"/>
  <c r="P39" i="222"/>
  <c r="C96" i="233"/>
  <c r="C95" i="233"/>
  <c r="C94" i="233"/>
  <c r="C93" i="233"/>
  <c r="C92" i="233"/>
  <c r="Q89" i="233"/>
  <c r="R89" i="233" s="1"/>
  <c r="X89" i="233" s="1"/>
  <c r="Q88" i="233"/>
  <c r="R88" i="233" s="1"/>
  <c r="X88" i="233" s="1"/>
  <c r="Q87" i="233"/>
  <c r="R87" i="233" s="1"/>
  <c r="X87" i="233" s="1"/>
  <c r="Q86" i="233"/>
  <c r="R86" i="233" s="1"/>
  <c r="X86" i="233" s="1"/>
  <c r="Q85" i="233"/>
  <c r="R85" i="233" s="1"/>
  <c r="X85" i="233" s="1"/>
  <c r="Q84" i="233"/>
  <c r="R84" i="233" s="1"/>
  <c r="X84" i="233" s="1"/>
  <c r="Q83" i="233"/>
  <c r="R83" i="233" s="1"/>
  <c r="X83" i="233" s="1"/>
  <c r="Q82" i="233"/>
  <c r="R82" i="233" s="1"/>
  <c r="X82" i="233" s="1"/>
  <c r="Q81" i="233"/>
  <c r="R81" i="233" s="1"/>
  <c r="X81" i="233" s="1"/>
  <c r="Q80" i="233"/>
  <c r="R80" i="233" s="1"/>
  <c r="X80" i="233" s="1"/>
  <c r="Q79" i="233"/>
  <c r="R79" i="233" s="1"/>
  <c r="X79" i="233" s="1"/>
  <c r="Q78" i="233"/>
  <c r="R78" i="233" s="1"/>
  <c r="X78" i="233" s="1"/>
  <c r="Q77" i="233"/>
  <c r="R77" i="233" s="1"/>
  <c r="X77" i="233" s="1"/>
  <c r="Q76" i="233"/>
  <c r="R76" i="233" s="1"/>
  <c r="X76" i="233" s="1"/>
  <c r="Q75" i="233"/>
  <c r="R75" i="233" s="1"/>
  <c r="X75" i="233" s="1"/>
  <c r="A63" i="233"/>
  <c r="A64" i="233" s="1"/>
  <c r="A65" i="233" s="1"/>
  <c r="A66" i="233" s="1"/>
  <c r="A67" i="233" s="1"/>
  <c r="A68" i="233" s="1"/>
  <c r="A69" i="233" s="1"/>
  <c r="A70" i="233" s="1"/>
  <c r="A71" i="233" s="1"/>
  <c r="A72" i="233" s="1"/>
  <c r="A73" i="233" s="1"/>
  <c r="A74" i="233" s="1"/>
  <c r="A75" i="233" s="1"/>
  <c r="A76" i="233" s="1"/>
  <c r="A77" i="233" s="1"/>
  <c r="A78" i="233" s="1"/>
  <c r="A79" i="233" s="1"/>
  <c r="A80" i="233" s="1"/>
  <c r="A81" i="233" s="1"/>
  <c r="A82" i="233" s="1"/>
  <c r="A83" i="233" s="1"/>
  <c r="A84" i="233" s="1"/>
  <c r="A85" i="233" s="1"/>
  <c r="A86" i="233" s="1"/>
  <c r="A87" i="233" s="1"/>
  <c r="A88" i="233" s="1"/>
  <c r="A89" i="233" s="1"/>
  <c r="A90" i="233" s="1"/>
  <c r="X43" i="233"/>
  <c r="W43" i="233"/>
  <c r="X42" i="233"/>
  <c r="W42" i="233"/>
  <c r="X41" i="233"/>
  <c r="W41" i="233"/>
  <c r="X40" i="233"/>
  <c r="W40" i="233"/>
  <c r="X39" i="233"/>
  <c r="W39" i="233"/>
  <c r="X38" i="233"/>
  <c r="W38" i="233"/>
  <c r="X37" i="233"/>
  <c r="W37" i="233"/>
  <c r="X36" i="233"/>
  <c r="W36" i="233"/>
  <c r="X35" i="233"/>
  <c r="W35" i="233"/>
  <c r="X34" i="233"/>
  <c r="W34" i="233"/>
  <c r="X33" i="233"/>
  <c r="W33" i="233"/>
  <c r="X32" i="233"/>
  <c r="W32" i="233"/>
  <c r="X31" i="233"/>
  <c r="W31" i="233"/>
  <c r="X30" i="233"/>
  <c r="W30" i="233"/>
  <c r="W29" i="233"/>
  <c r="A17" i="233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O40" i="220"/>
  <c r="O39" i="220"/>
  <c r="R39" i="220" s="1"/>
  <c r="O38" i="220"/>
  <c r="O37" i="220"/>
  <c r="R37" i="220" s="1"/>
  <c r="N35" i="220"/>
  <c r="H35" i="220"/>
  <c r="O34" i="220"/>
  <c r="O33" i="220"/>
  <c r="I35" i="220"/>
  <c r="C35" i="220"/>
  <c r="M35" i="220"/>
  <c r="L35" i="220"/>
  <c r="K35" i="220"/>
  <c r="J35" i="220"/>
  <c r="G35" i="220"/>
  <c r="F35" i="220"/>
  <c r="E35" i="220"/>
  <c r="D35" i="220"/>
  <c r="O31" i="220"/>
  <c r="O30" i="220"/>
  <c r="M21" i="220"/>
  <c r="L21" i="220"/>
  <c r="G21" i="220"/>
  <c r="F21" i="220"/>
  <c r="O20" i="220"/>
  <c r="O19" i="220"/>
  <c r="O18" i="220"/>
  <c r="N21" i="220"/>
  <c r="K21" i="220"/>
  <c r="J21" i="220"/>
  <c r="I21" i="220"/>
  <c r="H21" i="220"/>
  <c r="E21" i="220"/>
  <c r="D21" i="220"/>
  <c r="O17" i="220"/>
  <c r="O16" i="220"/>
  <c r="O13" i="220"/>
  <c r="O12" i="220"/>
  <c r="O11" i="220"/>
  <c r="N14" i="220"/>
  <c r="M14" i="220"/>
  <c r="L14" i="220"/>
  <c r="K14" i="220"/>
  <c r="J14" i="220"/>
  <c r="I14" i="220"/>
  <c r="H14" i="220"/>
  <c r="G14" i="220"/>
  <c r="F14" i="220"/>
  <c r="E14" i="220"/>
  <c r="D14" i="220"/>
  <c r="C14" i="220"/>
  <c r="A10" i="220"/>
  <c r="A12" i="220" s="1"/>
  <c r="A13" i="220" s="1"/>
  <c r="A14" i="220" s="1"/>
  <c r="A16" i="220" s="1"/>
  <c r="A17" i="220" s="1"/>
  <c r="A19" i="220" s="1"/>
  <c r="A20" i="220" s="1"/>
  <c r="A21" i="220" s="1"/>
  <c r="A23" i="220" s="1"/>
  <c r="O9" i="220"/>
  <c r="D11" i="219"/>
  <c r="D12" i="219"/>
  <c r="E12" i="219" s="1"/>
  <c r="D10" i="219"/>
  <c r="C11" i="219"/>
  <c r="C12" i="219"/>
  <c r="C10" i="219"/>
  <c r="E11" i="219"/>
  <c r="G11" i="219" s="1"/>
  <c r="C13" i="219"/>
  <c r="Q6" i="217"/>
  <c r="P6" i="217"/>
  <c r="O6" i="217"/>
  <c r="N6" i="217"/>
  <c r="M6" i="217"/>
  <c r="L6" i="217"/>
  <c r="K6" i="217"/>
  <c r="J6" i="217"/>
  <c r="I6" i="217"/>
  <c r="H6" i="217"/>
  <c r="G6" i="217"/>
  <c r="F6" i="217"/>
  <c r="D23" i="207"/>
  <c r="D22" i="207"/>
  <c r="D21" i="207"/>
  <c r="C23" i="207"/>
  <c r="C22" i="207"/>
  <c r="C21" i="207"/>
  <c r="O44" i="233" l="1"/>
  <c r="AD17" i="233"/>
  <c r="AD18" i="233" s="1"/>
  <c r="AD19" i="233" s="1"/>
  <c r="AD20" i="233" s="1"/>
  <c r="AD21" i="233" s="1"/>
  <c r="AD22" i="233" s="1"/>
  <c r="AD23" i="233" s="1"/>
  <c r="AD24" i="233" s="1"/>
  <c r="AD25" i="233" s="1"/>
  <c r="AD26" i="233" s="1"/>
  <c r="AD27" i="233" s="1"/>
  <c r="AD28" i="233" s="1"/>
  <c r="Q20" i="217"/>
  <c r="W44" i="233"/>
  <c r="N28" i="223"/>
  <c r="N28" i="225"/>
  <c r="N28" i="227"/>
  <c r="N28" i="232"/>
  <c r="N28" i="222"/>
  <c r="N28" i="226"/>
  <c r="N28" i="228"/>
  <c r="L30" i="222"/>
  <c r="A24" i="220"/>
  <c r="A26" i="220" s="1"/>
  <c r="A27" i="220" s="1"/>
  <c r="A28" i="220" s="1"/>
  <c r="A30" i="220" s="1"/>
  <c r="A31" i="220" s="1"/>
  <c r="A33" i="220" s="1"/>
  <c r="A34" i="220" s="1"/>
  <c r="A35" i="220" s="1"/>
  <c r="A37" i="220" s="1"/>
  <c r="A38" i="220" s="1"/>
  <c r="A40" i="220" s="1"/>
  <c r="L30" i="225"/>
  <c r="L30" i="226"/>
  <c r="AG17" i="233"/>
  <c r="M17" i="233" s="1"/>
  <c r="L30" i="223"/>
  <c r="L30" i="231"/>
  <c r="N19" i="225"/>
  <c r="N19" i="226"/>
  <c r="N19" i="228"/>
  <c r="N19" i="230"/>
  <c r="N19" i="232"/>
  <c r="L30" i="224"/>
  <c r="N28" i="231"/>
  <c r="L30" i="228"/>
  <c r="L30" i="232"/>
  <c r="N19" i="231"/>
  <c r="N28" i="229"/>
  <c r="L30" i="229"/>
  <c r="N19" i="229"/>
  <c r="L30" i="227"/>
  <c r="N19" i="227"/>
  <c r="N28" i="224"/>
  <c r="N19" i="224"/>
  <c r="N19" i="223"/>
  <c r="N19" i="222"/>
  <c r="N19" i="221"/>
  <c r="N28" i="221"/>
  <c r="L30" i="221"/>
  <c r="N28" i="230"/>
  <c r="L30" i="230"/>
  <c r="O90" i="233"/>
  <c r="O21" i="220"/>
  <c r="O32" i="220"/>
  <c r="O35" i="220" s="1"/>
  <c r="R35" i="220" s="1"/>
  <c r="C21" i="220"/>
  <c r="O10" i="220"/>
  <c r="O14" i="220" s="1"/>
  <c r="R14" i="220" s="1"/>
  <c r="G12" i="219"/>
  <c r="F12" i="219"/>
  <c r="F13" i="219" s="1"/>
  <c r="E10" i="219"/>
  <c r="Q26" i="217"/>
  <c r="Q27" i="217"/>
  <c r="S20" i="190"/>
  <c r="K20" i="190"/>
  <c r="K20" i="191"/>
  <c r="Q16" i="132"/>
  <c r="Q16" i="111"/>
  <c r="H27" i="204"/>
  <c r="H26" i="204"/>
  <c r="H25" i="204"/>
  <c r="H24" i="204"/>
  <c r="H23" i="204"/>
  <c r="H22" i="204"/>
  <c r="H27" i="203"/>
  <c r="H26" i="203"/>
  <c r="H25" i="203"/>
  <c r="H24" i="203"/>
  <c r="H23" i="203"/>
  <c r="H22" i="203"/>
  <c r="H27" i="202"/>
  <c r="H26" i="202"/>
  <c r="H25" i="202"/>
  <c r="H24" i="202"/>
  <c r="H23" i="202"/>
  <c r="H22" i="202"/>
  <c r="H27" i="201"/>
  <c r="H26" i="201"/>
  <c r="H25" i="201"/>
  <c r="H24" i="201"/>
  <c r="H23" i="201"/>
  <c r="H22" i="201"/>
  <c r="H27" i="200"/>
  <c r="H26" i="200"/>
  <c r="H25" i="200"/>
  <c r="H24" i="200"/>
  <c r="H23" i="200"/>
  <c r="H22" i="200"/>
  <c r="H27" i="199"/>
  <c r="H26" i="199"/>
  <c r="H25" i="199"/>
  <c r="H24" i="199"/>
  <c r="H23" i="199"/>
  <c r="H22" i="199"/>
  <c r="H27" i="198"/>
  <c r="H26" i="198"/>
  <c r="H25" i="198"/>
  <c r="H24" i="198"/>
  <c r="H23" i="198"/>
  <c r="H22" i="198"/>
  <c r="H27" i="197"/>
  <c r="H26" i="197"/>
  <c r="H25" i="197"/>
  <c r="H24" i="197"/>
  <c r="H23" i="197"/>
  <c r="H22" i="197"/>
  <c r="H27" i="196"/>
  <c r="H26" i="196"/>
  <c r="H25" i="196"/>
  <c r="H24" i="196"/>
  <c r="H23" i="196"/>
  <c r="H22" i="196"/>
  <c r="H27" i="195"/>
  <c r="H26" i="195"/>
  <c r="H25" i="195"/>
  <c r="H24" i="195"/>
  <c r="H23" i="195"/>
  <c r="H22" i="195"/>
  <c r="H27" i="194"/>
  <c r="H26" i="194"/>
  <c r="H25" i="194"/>
  <c r="H24" i="194"/>
  <c r="H23" i="194"/>
  <c r="H22" i="194"/>
  <c r="H27" i="182"/>
  <c r="H26" i="182"/>
  <c r="H25" i="182"/>
  <c r="H24" i="182"/>
  <c r="H23" i="182"/>
  <c r="H22" i="182"/>
  <c r="H27" i="181"/>
  <c r="H26" i="181"/>
  <c r="H25" i="181"/>
  <c r="H24" i="181"/>
  <c r="H23" i="181"/>
  <c r="H22" i="181"/>
  <c r="H27" i="180"/>
  <c r="H26" i="180"/>
  <c r="H25" i="180"/>
  <c r="H24" i="180"/>
  <c r="H23" i="180"/>
  <c r="H22" i="180"/>
  <c r="H27" i="179"/>
  <c r="H26" i="179"/>
  <c r="H25" i="179"/>
  <c r="H24" i="179"/>
  <c r="H23" i="179"/>
  <c r="H22" i="179"/>
  <c r="H27" i="178"/>
  <c r="H26" i="178"/>
  <c r="H25" i="178"/>
  <c r="H24" i="178"/>
  <c r="H23" i="178"/>
  <c r="H22" i="178"/>
  <c r="H27" i="177"/>
  <c r="H26" i="177"/>
  <c r="H25" i="177"/>
  <c r="H24" i="177"/>
  <c r="H23" i="177"/>
  <c r="H22" i="177"/>
  <c r="H27" i="176"/>
  <c r="H26" i="176"/>
  <c r="H25" i="176"/>
  <c r="H24" i="176"/>
  <c r="H23" i="176"/>
  <c r="H22" i="176"/>
  <c r="H27" i="175"/>
  <c r="H26" i="175"/>
  <c r="H25" i="175"/>
  <c r="H24" i="175"/>
  <c r="H23" i="175"/>
  <c r="H22" i="175"/>
  <c r="H27" i="174"/>
  <c r="H26" i="174"/>
  <c r="H25" i="174"/>
  <c r="H24" i="174"/>
  <c r="H23" i="174"/>
  <c r="H22" i="174"/>
  <c r="H27" i="173"/>
  <c r="H26" i="173"/>
  <c r="H25" i="173"/>
  <c r="H24" i="173"/>
  <c r="H23" i="173"/>
  <c r="H22" i="173"/>
  <c r="H27" i="172"/>
  <c r="H26" i="172"/>
  <c r="H25" i="172"/>
  <c r="H24" i="172"/>
  <c r="H23" i="172"/>
  <c r="H22" i="172"/>
  <c r="N30" i="232" l="1"/>
  <c r="N30" i="227"/>
  <c r="N30" i="225"/>
  <c r="N30" i="223"/>
  <c r="N30" i="228"/>
  <c r="N30" i="222"/>
  <c r="N30" i="226"/>
  <c r="AG18" i="233"/>
  <c r="M18" i="233" s="1"/>
  <c r="M64" i="233" s="1"/>
  <c r="T14" i="220"/>
  <c r="T15" i="220" s="1"/>
  <c r="N30" i="224"/>
  <c r="N30" i="230"/>
  <c r="N30" i="229"/>
  <c r="M63" i="233"/>
  <c r="T33" i="220"/>
  <c r="T34" i="220" s="1"/>
  <c r="N30" i="231"/>
  <c r="N30" i="221"/>
  <c r="G10" i="219"/>
  <c r="G13" i="219" s="1"/>
  <c r="E13" i="219"/>
  <c r="T20" i="191"/>
  <c r="AG19" i="233" l="1"/>
  <c r="M19" i="233" s="1"/>
  <c r="M65" i="233" s="1"/>
  <c r="AG20" i="233" l="1"/>
  <c r="M20" i="233" s="1"/>
  <c r="M66" i="233" s="1"/>
  <c r="C24" i="207"/>
  <c r="E23" i="207"/>
  <c r="G23" i="207" s="1"/>
  <c r="E22" i="207"/>
  <c r="G22" i="207" s="1"/>
  <c r="E21" i="207"/>
  <c r="G21" i="207" s="1"/>
  <c r="AG21" i="233" l="1"/>
  <c r="M21" i="233" s="1"/>
  <c r="M67" i="233" s="1"/>
  <c r="G24" i="207"/>
  <c r="F23" i="207"/>
  <c r="F24" i="207" s="1"/>
  <c r="E24" i="207"/>
  <c r="AG22" i="233" l="1"/>
  <c r="M22" i="233" s="1"/>
  <c r="M68" i="233" s="1"/>
  <c r="AG23" i="233" l="1"/>
  <c r="M23" i="233" s="1"/>
  <c r="M69" i="233" s="1"/>
  <c r="AG24" i="233" l="1"/>
  <c r="M24" i="233" s="1"/>
  <c r="M70" i="233" s="1"/>
  <c r="AG25" i="233" l="1"/>
  <c r="M25" i="233" s="1"/>
  <c r="M71" i="233" s="1"/>
  <c r="AG26" i="233" l="1"/>
  <c r="M26" i="233" s="1"/>
  <c r="M72" i="233" s="1"/>
  <c r="AG27" i="233" l="1"/>
  <c r="M27" i="233" s="1"/>
  <c r="D14" i="191"/>
  <c r="D29" i="191"/>
  <c r="Z29" i="191" s="1"/>
  <c r="D20" i="191"/>
  <c r="Z20" i="191" s="1"/>
  <c r="D20" i="190"/>
  <c r="N20" i="190"/>
  <c r="O20" i="190"/>
  <c r="P20" i="190"/>
  <c r="Q20" i="190"/>
  <c r="R20" i="190"/>
  <c r="M20" i="190"/>
  <c r="AG28" i="233" l="1"/>
  <c r="M28" i="233" s="1"/>
  <c r="M74" i="233" s="1"/>
  <c r="M73" i="233"/>
  <c r="D18" i="191"/>
  <c r="D22" i="191" s="1"/>
  <c r="D31" i="191" s="1"/>
  <c r="Z14" i="191"/>
  <c r="E20" i="190"/>
  <c r="F20" i="190"/>
  <c r="G20" i="190"/>
  <c r="H20" i="190"/>
  <c r="I20" i="190"/>
  <c r="J20" i="190"/>
  <c r="S26" i="110"/>
  <c r="S27" i="110"/>
  <c r="S28" i="110"/>
  <c r="S29" i="110"/>
  <c r="S30" i="110"/>
  <c r="S31" i="110"/>
  <c r="S23" i="110"/>
  <c r="S4" i="110"/>
  <c r="S5" i="110"/>
  <c r="S6" i="110"/>
  <c r="S7" i="110"/>
  <c r="S8" i="110"/>
  <c r="S9" i="110"/>
  <c r="S10" i="110"/>
  <c r="S11" i="110"/>
  <c r="S12" i="110"/>
  <c r="S13" i="110"/>
  <c r="S14" i="110"/>
  <c r="S15" i="110"/>
  <c r="S16" i="110"/>
  <c r="S17" i="110"/>
  <c r="S18" i="110"/>
  <c r="S19" i="110"/>
  <c r="S3" i="110"/>
  <c r="M44" i="233" l="1"/>
  <c r="M90" i="233"/>
  <c r="S34" i="110"/>
  <c r="C12" i="214" l="1"/>
  <c r="E11" i="214"/>
  <c r="G11" i="214" s="1"/>
  <c r="E10" i="214"/>
  <c r="G10" i="214" s="1"/>
  <c r="E9" i="214"/>
  <c r="F11" i="214" l="1"/>
  <c r="F12" i="214" s="1"/>
  <c r="E12" i="214"/>
  <c r="G9" i="214"/>
  <c r="G12" i="214" s="1"/>
  <c r="T17" i="198" l="1"/>
  <c r="T17" i="197"/>
  <c r="T17" i="196"/>
  <c r="T17" i="195"/>
  <c r="T16" i="198"/>
  <c r="T15" i="198"/>
  <c r="T16" i="196"/>
  <c r="T15" i="196"/>
  <c r="T16" i="197"/>
  <c r="T15" i="197"/>
  <c r="T16" i="195"/>
  <c r="T15" i="195"/>
  <c r="T17" i="194" l="1"/>
  <c r="T16" i="194"/>
  <c r="T15" i="193"/>
  <c r="T15" i="194"/>
  <c r="H20" i="212" l="1"/>
  <c r="D20" i="212"/>
  <c r="C20" i="212"/>
  <c r="B20" i="212"/>
  <c r="E20" i="212" s="1"/>
  <c r="E18" i="212"/>
  <c r="D18" i="212"/>
  <c r="B18" i="212"/>
  <c r="J17" i="212"/>
  <c r="J16" i="212"/>
  <c r="J15" i="212"/>
  <c r="E13" i="212"/>
  <c r="B13" i="212"/>
  <c r="J12" i="212"/>
  <c r="J11" i="212"/>
  <c r="J10" i="212"/>
  <c r="E30" i="211" l="1"/>
  <c r="F30" i="211"/>
  <c r="G30" i="211"/>
  <c r="H30" i="211"/>
  <c r="I30" i="211"/>
  <c r="J30" i="211"/>
  <c r="K30" i="211"/>
  <c r="L30" i="211"/>
  <c r="M30" i="211"/>
  <c r="N30" i="211"/>
  <c r="O30" i="211"/>
  <c r="P30" i="211"/>
  <c r="C12" i="170" l="1"/>
  <c r="F10" i="184"/>
  <c r="N24" i="204" l="1"/>
  <c r="N24" i="203"/>
  <c r="N24" i="202"/>
  <c r="N24" i="201"/>
  <c r="N24" i="200"/>
  <c r="N24" i="199"/>
  <c r="N24" i="198"/>
  <c r="N24" i="197"/>
  <c r="N24" i="196"/>
  <c r="N24" i="195"/>
  <c r="N24" i="194"/>
  <c r="N24" i="193"/>
  <c r="N24" i="182"/>
  <c r="N24" i="181"/>
  <c r="N24" i="180"/>
  <c r="N24" i="179"/>
  <c r="N24" i="178"/>
  <c r="N24" i="177"/>
  <c r="N24" i="176"/>
  <c r="N24" i="175"/>
  <c r="N24" i="174"/>
  <c r="N24" i="173"/>
  <c r="N24" i="172"/>
  <c r="N24" i="171"/>
  <c r="F9" i="184" l="1"/>
  <c r="AA17" i="183" l="1"/>
  <c r="AA18" i="183" s="1"/>
  <c r="AA19" i="183" s="1"/>
  <c r="AA20" i="183" s="1"/>
  <c r="AA21" i="183" s="1"/>
  <c r="AA22" i="183" s="1"/>
  <c r="AA23" i="183" s="1"/>
  <c r="AA24" i="183" s="1"/>
  <c r="AA25" i="183" s="1"/>
  <c r="AA26" i="183" s="1"/>
  <c r="AA27" i="183" s="1"/>
  <c r="AA28" i="183" s="1"/>
  <c r="U31" i="204" l="1"/>
  <c r="Q16" i="147" l="1"/>
  <c r="L15" i="204"/>
  <c r="L15" i="203"/>
  <c r="L15" i="202"/>
  <c r="L15" i="201"/>
  <c r="L15" i="200"/>
  <c r="L15" i="199"/>
  <c r="L15" i="198"/>
  <c r="L15" i="197"/>
  <c r="L15" i="196"/>
  <c r="L15" i="195"/>
  <c r="L15" i="194"/>
  <c r="D12" i="192"/>
  <c r="E12" i="192"/>
  <c r="F12" i="192"/>
  <c r="G12" i="192"/>
  <c r="H12" i="192"/>
  <c r="I12" i="192"/>
  <c r="J12" i="192"/>
  <c r="K12" i="192"/>
  <c r="L12" i="192"/>
  <c r="M12" i="192"/>
  <c r="N12" i="192"/>
  <c r="C12" i="192"/>
  <c r="L15" i="193"/>
  <c r="L16" i="200" l="1"/>
  <c r="L16" i="196"/>
  <c r="L16" i="199"/>
  <c r="L16" i="198"/>
  <c r="L16" i="197"/>
  <c r="L16" i="203"/>
  <c r="L16" i="202"/>
  <c r="L16" i="194"/>
  <c r="L16" i="195"/>
  <c r="L16" i="204"/>
  <c r="L16" i="201"/>
  <c r="L15" i="181"/>
  <c r="N15" i="181" s="1"/>
  <c r="L15" i="180"/>
  <c r="L15" i="179"/>
  <c r="L15" i="178"/>
  <c r="L15" i="177"/>
  <c r="N15" i="177" s="1"/>
  <c r="L15" i="176"/>
  <c r="N15" i="176" s="1"/>
  <c r="L15" i="175"/>
  <c r="L15" i="174"/>
  <c r="L15" i="173"/>
  <c r="N15" i="173" s="1"/>
  <c r="L15" i="172"/>
  <c r="N15" i="172" s="1"/>
  <c r="L15" i="171"/>
  <c r="L16" i="171" s="1"/>
  <c r="L15" i="182"/>
  <c r="H15" i="193"/>
  <c r="H15" i="194"/>
  <c r="H15" i="195"/>
  <c r="H15" i="196"/>
  <c r="H15" i="197"/>
  <c r="H15" i="198"/>
  <c r="H15" i="199"/>
  <c r="H15" i="200"/>
  <c r="H15" i="201"/>
  <c r="H15" i="202"/>
  <c r="H15" i="203"/>
  <c r="H15" i="204"/>
  <c r="H15" i="171"/>
  <c r="H15" i="172"/>
  <c r="H15" i="173"/>
  <c r="H15" i="174"/>
  <c r="H15" i="175"/>
  <c r="H15" i="176"/>
  <c r="H15" i="177"/>
  <c r="H15" i="178"/>
  <c r="H15" i="179"/>
  <c r="H15" i="180"/>
  <c r="H15" i="181"/>
  <c r="H15" i="182"/>
  <c r="N15" i="182" s="1"/>
  <c r="H24" i="193"/>
  <c r="H24" i="171"/>
  <c r="H16" i="193"/>
  <c r="H16" i="194"/>
  <c r="H16" i="195"/>
  <c r="H16" i="196"/>
  <c r="H16" i="197"/>
  <c r="H16" i="198"/>
  <c r="H16" i="199"/>
  <c r="H16" i="200"/>
  <c r="H16" i="201"/>
  <c r="H16" i="202"/>
  <c r="H16" i="203"/>
  <c r="H16" i="204"/>
  <c r="H16" i="171"/>
  <c r="H16" i="172"/>
  <c r="H16" i="173"/>
  <c r="H16" i="174"/>
  <c r="H16" i="175"/>
  <c r="H16" i="176"/>
  <c r="H16" i="177"/>
  <c r="H16" i="178"/>
  <c r="H16" i="179"/>
  <c r="H16" i="180"/>
  <c r="H16" i="181"/>
  <c r="H16" i="182"/>
  <c r="A36" i="193"/>
  <c r="A36" i="194"/>
  <c r="A36" i="195"/>
  <c r="A36" i="196"/>
  <c r="A36" i="197"/>
  <c r="A36" i="198"/>
  <c r="A36" i="199"/>
  <c r="A36" i="200"/>
  <c r="A36" i="201"/>
  <c r="A36" i="202"/>
  <c r="A36" i="203"/>
  <c r="A36" i="204"/>
  <c r="A36" i="171"/>
  <c r="A36" i="172"/>
  <c r="A36" i="173"/>
  <c r="A36" i="174"/>
  <c r="A36" i="175"/>
  <c r="A36" i="176"/>
  <c r="A36" i="177"/>
  <c r="A36" i="178"/>
  <c r="A36" i="179"/>
  <c r="A36" i="180"/>
  <c r="A36" i="181"/>
  <c r="A36" i="182"/>
  <c r="A25" i="193"/>
  <c r="A25" i="194"/>
  <c r="A25" i="195"/>
  <c r="A25" i="196"/>
  <c r="A25" i="197"/>
  <c r="A25" i="198"/>
  <c r="A25" i="199"/>
  <c r="A25" i="200"/>
  <c r="A25" i="201"/>
  <c r="A25" i="202"/>
  <c r="A25" i="203"/>
  <c r="A25" i="204"/>
  <c r="A25" i="171"/>
  <c r="A25" i="172"/>
  <c r="A25" i="173"/>
  <c r="A25" i="174"/>
  <c r="A25" i="175"/>
  <c r="A25" i="176"/>
  <c r="A25" i="177"/>
  <c r="A25" i="178"/>
  <c r="A25" i="179"/>
  <c r="A25" i="180"/>
  <c r="A25" i="181"/>
  <c r="A25" i="182"/>
  <c r="A16" i="193"/>
  <c r="A16" i="194"/>
  <c r="A16" i="195"/>
  <c r="A16" i="196"/>
  <c r="A16" i="197"/>
  <c r="A16" i="198"/>
  <c r="A16" i="199"/>
  <c r="A16" i="200"/>
  <c r="A16" i="201"/>
  <c r="A16" i="202"/>
  <c r="A16" i="203"/>
  <c r="A16" i="204"/>
  <c r="A16" i="171"/>
  <c r="A16" i="172"/>
  <c r="A16" i="173"/>
  <c r="A16" i="174"/>
  <c r="A16" i="175"/>
  <c r="A16" i="176"/>
  <c r="A16" i="177"/>
  <c r="A16" i="178"/>
  <c r="A16" i="179"/>
  <c r="A16" i="180"/>
  <c r="A16" i="181"/>
  <c r="A16" i="182"/>
  <c r="A15" i="182"/>
  <c r="A15" i="181"/>
  <c r="A15" i="180"/>
  <c r="A15" i="179"/>
  <c r="A15" i="178"/>
  <c r="A15" i="177"/>
  <c r="A15" i="176"/>
  <c r="A15" i="175"/>
  <c r="A15" i="174"/>
  <c r="A15" i="173"/>
  <c r="A15" i="172"/>
  <c r="A15" i="171"/>
  <c r="A15" i="204"/>
  <c r="A15" i="203"/>
  <c r="A15" i="202"/>
  <c r="A15" i="201"/>
  <c r="A15" i="200"/>
  <c r="A15" i="199"/>
  <c r="A15" i="198"/>
  <c r="A15" i="197"/>
  <c r="A15" i="196"/>
  <c r="A15" i="195"/>
  <c r="A15" i="194"/>
  <c r="A15" i="193"/>
  <c r="R35" i="171"/>
  <c r="F35" i="172" s="1"/>
  <c r="R35" i="172" s="1"/>
  <c r="F35" i="173" s="1"/>
  <c r="R35" i="173" s="1"/>
  <c r="F35" i="174" s="1"/>
  <c r="R35" i="174" s="1"/>
  <c r="F35" i="175" s="1"/>
  <c r="R35" i="175" s="1"/>
  <c r="F35" i="176" s="1"/>
  <c r="R35" i="176" s="1"/>
  <c r="F35" i="177" s="1"/>
  <c r="R35" i="177" s="1"/>
  <c r="F35" i="178" s="1"/>
  <c r="R35" i="178" s="1"/>
  <c r="F35" i="179" s="1"/>
  <c r="R35" i="179" s="1"/>
  <c r="F35" i="180" s="1"/>
  <c r="R35" i="180" s="1"/>
  <c r="F35" i="181" s="1"/>
  <c r="R35" i="181" s="1"/>
  <c r="F35" i="182" s="1"/>
  <c r="R35" i="182" s="1"/>
  <c r="F35" i="193" s="1"/>
  <c r="J24" i="171"/>
  <c r="R24" i="171"/>
  <c r="F24" i="172" s="1"/>
  <c r="J24" i="172" s="1"/>
  <c r="N15" i="171"/>
  <c r="N15" i="175"/>
  <c r="N15" i="179"/>
  <c r="N15" i="180"/>
  <c r="N15" i="178" l="1"/>
  <c r="P24" i="172"/>
  <c r="P24" i="171"/>
  <c r="R24" i="172"/>
  <c r="F24" i="173" s="1"/>
  <c r="J24" i="173" s="1"/>
  <c r="P24" i="173" s="1"/>
  <c r="N15" i="174"/>
  <c r="D12" i="170"/>
  <c r="L16" i="172" s="1"/>
  <c r="E12" i="170"/>
  <c r="L16" i="173" s="1"/>
  <c r="F12" i="170"/>
  <c r="L16" i="174" s="1"/>
  <c r="G12" i="170"/>
  <c r="L16" i="175" s="1"/>
  <c r="H12" i="170"/>
  <c r="L16" i="176" s="1"/>
  <c r="I12" i="170"/>
  <c r="L16" i="177" s="1"/>
  <c r="J12" i="170"/>
  <c r="L16" i="178" s="1"/>
  <c r="K12" i="170"/>
  <c r="L16" i="179" s="1"/>
  <c r="L12" i="170"/>
  <c r="L16" i="180" s="1"/>
  <c r="M12" i="170"/>
  <c r="L16" i="181" s="1"/>
  <c r="N12" i="170"/>
  <c r="L16" i="182" s="1"/>
  <c r="L17" i="172"/>
  <c r="G89" i="184"/>
  <c r="H89" i="184"/>
  <c r="I89" i="184"/>
  <c r="J89" i="184"/>
  <c r="K89" i="184"/>
  <c r="L89" i="184"/>
  <c r="M89" i="184"/>
  <c r="N89" i="184"/>
  <c r="O89" i="184"/>
  <c r="P89" i="184"/>
  <c r="Q89" i="184"/>
  <c r="F89" i="184"/>
  <c r="H84" i="184"/>
  <c r="I84" i="184" s="1"/>
  <c r="J84" i="184" s="1"/>
  <c r="K84" i="184" s="1"/>
  <c r="L84" i="184" s="1"/>
  <c r="M84" i="184" s="1"/>
  <c r="N84" i="184" s="1"/>
  <c r="O84" i="184" s="1"/>
  <c r="P84" i="184" s="1"/>
  <c r="Q84" i="184" s="1"/>
  <c r="G84" i="184"/>
  <c r="R24" i="173" l="1"/>
  <c r="F24" i="174" s="1"/>
  <c r="J24" i="174" l="1"/>
  <c r="P24" i="174" s="1"/>
  <c r="R24" i="174"/>
  <c r="F24" i="175" s="1"/>
  <c r="J24" i="175" l="1"/>
  <c r="P24" i="175" s="1"/>
  <c r="R24" i="175"/>
  <c r="F24" i="176" s="1"/>
  <c r="J24" i="176" l="1"/>
  <c r="P24" i="176" s="1"/>
  <c r="R24" i="176"/>
  <c r="F24" i="177" s="1"/>
  <c r="L35" i="192"/>
  <c r="M35" i="192"/>
  <c r="N35" i="192"/>
  <c r="D35" i="192"/>
  <c r="E35" i="192"/>
  <c r="F35" i="192"/>
  <c r="G35" i="192"/>
  <c r="H35" i="192"/>
  <c r="I35" i="192"/>
  <c r="J35" i="192"/>
  <c r="K35" i="192"/>
  <c r="C35" i="192"/>
  <c r="F31" i="211"/>
  <c r="G31" i="211"/>
  <c r="H31" i="211"/>
  <c r="I31" i="211"/>
  <c r="J31" i="211"/>
  <c r="K31" i="211"/>
  <c r="L31" i="211"/>
  <c r="M31" i="211"/>
  <c r="N31" i="211"/>
  <c r="O31" i="211"/>
  <c r="P31" i="211"/>
  <c r="E31" i="211"/>
  <c r="Q28" i="211"/>
  <c r="J24" i="177" l="1"/>
  <c r="P24" i="177" s="1"/>
  <c r="R24" i="177"/>
  <c r="F24" i="178" s="1"/>
  <c r="D24" i="170"/>
  <c r="E24" i="170"/>
  <c r="F24" i="170"/>
  <c r="G24" i="170"/>
  <c r="H24" i="170"/>
  <c r="I24" i="170"/>
  <c r="J24" i="170"/>
  <c r="K24" i="170"/>
  <c r="L24" i="170"/>
  <c r="M24" i="170"/>
  <c r="N24" i="170"/>
  <c r="D25" i="170"/>
  <c r="E25" i="170"/>
  <c r="F25" i="170"/>
  <c r="G25" i="170"/>
  <c r="H25" i="170"/>
  <c r="I25" i="170"/>
  <c r="J25" i="170"/>
  <c r="K25" i="170"/>
  <c r="L25" i="170"/>
  <c r="M25" i="170"/>
  <c r="N25" i="170"/>
  <c r="D26" i="170"/>
  <c r="E26" i="170"/>
  <c r="F26" i="170"/>
  <c r="G26" i="170"/>
  <c r="H26" i="170"/>
  <c r="I26" i="170"/>
  <c r="J26" i="170"/>
  <c r="K26" i="170"/>
  <c r="L26" i="170"/>
  <c r="M26" i="170"/>
  <c r="N26" i="170"/>
  <c r="D27" i="170"/>
  <c r="E27" i="170"/>
  <c r="F27" i="170"/>
  <c r="G27" i="170"/>
  <c r="H27" i="170"/>
  <c r="I27" i="170"/>
  <c r="J27" i="170"/>
  <c r="K27" i="170"/>
  <c r="L27" i="170"/>
  <c r="M27" i="170"/>
  <c r="N27" i="170"/>
  <c r="D28" i="170"/>
  <c r="E28" i="170"/>
  <c r="F28" i="170"/>
  <c r="G28" i="170"/>
  <c r="H28" i="170"/>
  <c r="I28" i="170"/>
  <c r="J28" i="170"/>
  <c r="K28" i="170"/>
  <c r="L28" i="170"/>
  <c r="M28" i="170"/>
  <c r="N28" i="170"/>
  <c r="C25" i="170"/>
  <c r="C26" i="170"/>
  <c r="C27" i="170"/>
  <c r="C28" i="170"/>
  <c r="C24" i="170"/>
  <c r="M22" i="188"/>
  <c r="L22" i="188"/>
  <c r="K22" i="188"/>
  <c r="J22" i="188"/>
  <c r="I22" i="188"/>
  <c r="H22" i="188"/>
  <c r="G22" i="188"/>
  <c r="F22" i="188"/>
  <c r="E22" i="188"/>
  <c r="D22" i="188"/>
  <c r="C22" i="188"/>
  <c r="B22" i="188"/>
  <c r="N21" i="188"/>
  <c r="N20" i="188"/>
  <c r="N19" i="188"/>
  <c r="N18" i="188"/>
  <c r="N17" i="188"/>
  <c r="D17" i="170"/>
  <c r="E17" i="170"/>
  <c r="F17" i="170"/>
  <c r="G17" i="170"/>
  <c r="H17" i="170"/>
  <c r="I17" i="170"/>
  <c r="J17" i="170"/>
  <c r="K17" i="170"/>
  <c r="L17" i="170"/>
  <c r="M17" i="170"/>
  <c r="N17" i="170"/>
  <c r="D18" i="170"/>
  <c r="E18" i="170"/>
  <c r="F18" i="170"/>
  <c r="G18" i="170"/>
  <c r="H18" i="170"/>
  <c r="I18" i="170"/>
  <c r="J18" i="170"/>
  <c r="K18" i="170"/>
  <c r="L18" i="170"/>
  <c r="M18" i="170"/>
  <c r="N18" i="170"/>
  <c r="D19" i="170"/>
  <c r="E19" i="170"/>
  <c r="F19" i="170"/>
  <c r="G19" i="170"/>
  <c r="H19" i="170"/>
  <c r="I19" i="170"/>
  <c r="J19" i="170"/>
  <c r="K19" i="170"/>
  <c r="L19" i="170"/>
  <c r="M19" i="170"/>
  <c r="N19" i="170"/>
  <c r="D20" i="170"/>
  <c r="E20" i="170"/>
  <c r="F20" i="170"/>
  <c r="G20" i="170"/>
  <c r="H20" i="170"/>
  <c r="I20" i="170"/>
  <c r="J20" i="170"/>
  <c r="K20" i="170"/>
  <c r="L20" i="170"/>
  <c r="M20" i="170"/>
  <c r="N20" i="170"/>
  <c r="D21" i="170"/>
  <c r="E21" i="170"/>
  <c r="F21" i="170"/>
  <c r="G21" i="170"/>
  <c r="H21" i="170"/>
  <c r="I21" i="170"/>
  <c r="J21" i="170"/>
  <c r="K21" i="170"/>
  <c r="L21" i="170"/>
  <c r="M21" i="170"/>
  <c r="N21" i="170"/>
  <c r="C20" i="170"/>
  <c r="C19" i="170"/>
  <c r="C17" i="170"/>
  <c r="N6" i="188"/>
  <c r="N10" i="188"/>
  <c r="N9" i="188"/>
  <c r="N8" i="188"/>
  <c r="N7" i="188"/>
  <c r="M11" i="188"/>
  <c r="L11" i="188"/>
  <c r="K11" i="188"/>
  <c r="J11" i="188"/>
  <c r="I11" i="188"/>
  <c r="H11" i="188"/>
  <c r="G11" i="188"/>
  <c r="F11" i="188"/>
  <c r="E11" i="188"/>
  <c r="D11" i="188"/>
  <c r="C11" i="188"/>
  <c r="B11" i="188"/>
  <c r="L29" i="170" l="1"/>
  <c r="C29" i="170"/>
  <c r="O27" i="170"/>
  <c r="D29" i="170"/>
  <c r="O28" i="170"/>
  <c r="K29" i="170"/>
  <c r="O26" i="170"/>
  <c r="I29" i="170"/>
  <c r="H29" i="170"/>
  <c r="N29" i="170"/>
  <c r="F29" i="170"/>
  <c r="G29" i="170"/>
  <c r="J29" i="170"/>
  <c r="M29" i="170"/>
  <c r="E29" i="170"/>
  <c r="O25" i="170"/>
  <c r="T13" i="196"/>
  <c r="T13" i="195"/>
  <c r="T13" i="194"/>
  <c r="T13" i="193"/>
  <c r="J24" i="178"/>
  <c r="P24" i="178" s="1"/>
  <c r="R24" i="178"/>
  <c r="F24" i="179" s="1"/>
  <c r="O24" i="170"/>
  <c r="O19" i="170"/>
  <c r="O20" i="170"/>
  <c r="O17" i="170"/>
  <c r="N22" i="188"/>
  <c r="N11" i="188"/>
  <c r="J24" i="179" l="1"/>
  <c r="P24" i="179" s="1"/>
  <c r="R24" i="179"/>
  <c r="F24" i="180" s="1"/>
  <c r="W17" i="187"/>
  <c r="W18" i="187" s="1"/>
  <c r="W19" i="187" s="1"/>
  <c r="W20" i="187" s="1"/>
  <c r="W21" i="187" s="1"/>
  <c r="W22" i="187" s="1"/>
  <c r="W23" i="187" s="1"/>
  <c r="W24" i="187" s="1"/>
  <c r="W25" i="187" s="1"/>
  <c r="Y18" i="187"/>
  <c r="AB18" i="183"/>
  <c r="AB19" i="183"/>
  <c r="AB20" i="183"/>
  <c r="AB21" i="183"/>
  <c r="AB22" i="183"/>
  <c r="AB23" i="183"/>
  <c r="AB24" i="183"/>
  <c r="AB25" i="183"/>
  <c r="AB26" i="183"/>
  <c r="AB27" i="183"/>
  <c r="AB28" i="183"/>
  <c r="AB17" i="183"/>
  <c r="Y19" i="187"/>
  <c r="Y20" i="187"/>
  <c r="Y21" i="187"/>
  <c r="Y22" i="187"/>
  <c r="Y23" i="187"/>
  <c r="Y24" i="187"/>
  <c r="Y25" i="187"/>
  <c r="Y26" i="187"/>
  <c r="Y27" i="187"/>
  <c r="Y28" i="187"/>
  <c r="Y17" i="187"/>
  <c r="D16" i="147"/>
  <c r="D16" i="168"/>
  <c r="Q16" i="187"/>
  <c r="J24" i="180" l="1"/>
  <c r="P24" i="180" s="1"/>
  <c r="R24" i="180"/>
  <c r="F24" i="181" s="1"/>
  <c r="Z17" i="187"/>
  <c r="H17" i="187" s="1"/>
  <c r="Z19" i="187"/>
  <c r="H19" i="187" s="1"/>
  <c r="Z18" i="187"/>
  <c r="H18" i="187" s="1"/>
  <c r="J24" i="181" l="1"/>
  <c r="P24" i="181" s="1"/>
  <c r="R24" i="181"/>
  <c r="F24" i="182" s="1"/>
  <c r="Z20" i="187"/>
  <c r="H20" i="187" s="1"/>
  <c r="Q8" i="211"/>
  <c r="J24" i="182" l="1"/>
  <c r="P24" i="182" s="1"/>
  <c r="R24" i="182"/>
  <c r="F24" i="193" s="1"/>
  <c r="Z21" i="187"/>
  <c r="H21" i="187" s="1"/>
  <c r="J24" i="193" l="1"/>
  <c r="P24" i="193" s="1"/>
  <c r="R24" i="193"/>
  <c r="F24" i="194" s="1"/>
  <c r="Z22" i="187"/>
  <c r="H22" i="187" s="1"/>
  <c r="G11" i="170"/>
  <c r="G10" i="184"/>
  <c r="H10" i="184"/>
  <c r="I10" i="184"/>
  <c r="J10" i="184"/>
  <c r="K10" i="184"/>
  <c r="L10" i="184"/>
  <c r="M10" i="184"/>
  <c r="N10" i="184"/>
  <c r="O10" i="184"/>
  <c r="P10" i="184"/>
  <c r="Q10" i="184"/>
  <c r="F11" i="184"/>
  <c r="G11" i="184"/>
  <c r="H11" i="184"/>
  <c r="I11" i="184"/>
  <c r="J11" i="184"/>
  <c r="K11" i="184"/>
  <c r="L11" i="184"/>
  <c r="M11" i="184"/>
  <c r="N11" i="184"/>
  <c r="O11" i="184"/>
  <c r="P11" i="184"/>
  <c r="Q11" i="184"/>
  <c r="F12" i="184"/>
  <c r="G12" i="184"/>
  <c r="H12" i="184"/>
  <c r="I12" i="184"/>
  <c r="J12" i="184"/>
  <c r="K12" i="184"/>
  <c r="L12" i="184"/>
  <c r="M12" i="184"/>
  <c r="N12" i="184"/>
  <c r="O12" i="184"/>
  <c r="P12" i="184"/>
  <c r="Q12" i="184"/>
  <c r="F13" i="184"/>
  <c r="G13" i="184"/>
  <c r="H13" i="184"/>
  <c r="I13" i="184"/>
  <c r="J13" i="184"/>
  <c r="K13" i="184"/>
  <c r="L13" i="184"/>
  <c r="M13" i="184"/>
  <c r="N13" i="184"/>
  <c r="O13" i="184"/>
  <c r="P13" i="184"/>
  <c r="Q13" i="184"/>
  <c r="F14" i="184"/>
  <c r="G14" i="184"/>
  <c r="H14" i="184"/>
  <c r="I14" i="184"/>
  <c r="J14" i="184"/>
  <c r="K14" i="184"/>
  <c r="L14" i="184"/>
  <c r="M14" i="184"/>
  <c r="N14" i="184"/>
  <c r="O14" i="184"/>
  <c r="P14" i="184"/>
  <c r="Q14" i="184"/>
  <c r="F16" i="184"/>
  <c r="G16" i="184"/>
  <c r="H16" i="184"/>
  <c r="I16" i="184"/>
  <c r="J16" i="184"/>
  <c r="K16" i="184"/>
  <c r="L16" i="184"/>
  <c r="M16" i="184"/>
  <c r="N16" i="184"/>
  <c r="O16" i="184"/>
  <c r="P16" i="184"/>
  <c r="Q16" i="184"/>
  <c r="F17" i="184"/>
  <c r="G17" i="184"/>
  <c r="H17" i="184"/>
  <c r="I17" i="184"/>
  <c r="J17" i="184"/>
  <c r="K17" i="184"/>
  <c r="L17" i="184"/>
  <c r="M17" i="184"/>
  <c r="N17" i="184"/>
  <c r="O17" i="184"/>
  <c r="P17" i="184"/>
  <c r="Q17" i="184"/>
  <c r="F18" i="184"/>
  <c r="G18" i="184"/>
  <c r="H18" i="184"/>
  <c r="I18" i="184"/>
  <c r="J18" i="184"/>
  <c r="K18" i="184"/>
  <c r="L18" i="184"/>
  <c r="M18" i="184"/>
  <c r="N18" i="184"/>
  <c r="O18" i="184"/>
  <c r="P18" i="184"/>
  <c r="Q18" i="184"/>
  <c r="F19" i="184"/>
  <c r="G19" i="184"/>
  <c r="H19" i="184"/>
  <c r="I19" i="184"/>
  <c r="J19" i="184"/>
  <c r="K19" i="184"/>
  <c r="L19" i="184"/>
  <c r="M19" i="184"/>
  <c r="N19" i="184"/>
  <c r="O19" i="184"/>
  <c r="P19" i="184"/>
  <c r="Q19" i="184"/>
  <c r="F20" i="184"/>
  <c r="G20" i="184"/>
  <c r="H20" i="184"/>
  <c r="I20" i="184"/>
  <c r="J20" i="184"/>
  <c r="K20" i="184"/>
  <c r="L20" i="184"/>
  <c r="M20" i="184"/>
  <c r="N20" i="184"/>
  <c r="O20" i="184"/>
  <c r="P20" i="184"/>
  <c r="Q20" i="184"/>
  <c r="F21" i="184"/>
  <c r="G21" i="184"/>
  <c r="H21" i="184"/>
  <c r="I21" i="184"/>
  <c r="J21" i="184"/>
  <c r="K21" i="184"/>
  <c r="L21" i="184"/>
  <c r="M21" i="184"/>
  <c r="N21" i="184"/>
  <c r="O21" i="184"/>
  <c r="P21" i="184"/>
  <c r="Q21" i="184"/>
  <c r="C11" i="170"/>
  <c r="D11" i="170"/>
  <c r="E11" i="170"/>
  <c r="F11" i="170"/>
  <c r="H11" i="170"/>
  <c r="I11" i="170"/>
  <c r="J11" i="170"/>
  <c r="K11" i="170"/>
  <c r="L11" i="170"/>
  <c r="M11" i="170"/>
  <c r="N11" i="170"/>
  <c r="R29" i="184"/>
  <c r="G9" i="184"/>
  <c r="H9" i="184"/>
  <c r="I9" i="184"/>
  <c r="J9" i="184"/>
  <c r="K9" i="184"/>
  <c r="L9" i="184"/>
  <c r="M9" i="184"/>
  <c r="N9" i="184"/>
  <c r="O9" i="184"/>
  <c r="P9" i="184"/>
  <c r="Q9" i="184"/>
  <c r="J24" i="194" l="1"/>
  <c r="P24" i="194" s="1"/>
  <c r="R24" i="194"/>
  <c r="F24" i="195" s="1"/>
  <c r="Z23" i="187"/>
  <c r="H23" i="187" s="1"/>
  <c r="J24" i="195" l="1"/>
  <c r="P24" i="195" s="1"/>
  <c r="R24" i="195"/>
  <c r="F24" i="196" s="1"/>
  <c r="Z24" i="187"/>
  <c r="H24" i="187" s="1"/>
  <c r="G50" i="184"/>
  <c r="H50" i="184" s="1"/>
  <c r="R74" i="184"/>
  <c r="R72" i="184"/>
  <c r="R71" i="184"/>
  <c r="R69" i="184"/>
  <c r="R67" i="184"/>
  <c r="R66" i="184"/>
  <c r="R65" i="184"/>
  <c r="R64" i="184"/>
  <c r="R63" i="184"/>
  <c r="R62" i="184"/>
  <c r="R61" i="184"/>
  <c r="R60" i="184"/>
  <c r="R58" i="184"/>
  <c r="R56" i="184"/>
  <c r="R54" i="184"/>
  <c r="S1048492" i="167"/>
  <c r="J24" i="196" l="1"/>
  <c r="P24" i="196" s="1"/>
  <c r="R24" i="196"/>
  <c r="F24" i="197" s="1"/>
  <c r="Z25" i="187"/>
  <c r="H25" i="187" s="1"/>
  <c r="R57" i="184"/>
  <c r="I50" i="184"/>
  <c r="R59" i="184"/>
  <c r="R55" i="184"/>
  <c r="R24" i="197" l="1"/>
  <c r="F24" i="198" s="1"/>
  <c r="J24" i="197"/>
  <c r="P24" i="197" s="1"/>
  <c r="J50" i="184"/>
  <c r="R81" i="184"/>
  <c r="R78" i="184"/>
  <c r="R80" i="184"/>
  <c r="R79" i="184"/>
  <c r="J24" i="198" l="1"/>
  <c r="P24" i="198" s="1"/>
  <c r="R24" i="198"/>
  <c r="K50" i="184"/>
  <c r="C105" i="205"/>
  <c r="C104" i="205"/>
  <c r="C103" i="205"/>
  <c r="C102" i="205"/>
  <c r="C101" i="205"/>
  <c r="J24" i="199" l="1"/>
  <c r="P24" i="199" s="1"/>
  <c r="R24" i="199"/>
  <c r="F24" i="200" s="1"/>
  <c r="L50" i="184"/>
  <c r="J24" i="200" l="1"/>
  <c r="P24" i="200" s="1"/>
  <c r="R24" i="200"/>
  <c r="F24" i="201" s="1"/>
  <c r="M50" i="184"/>
  <c r="J24" i="201" l="1"/>
  <c r="P24" i="201" s="1"/>
  <c r="R24" i="201"/>
  <c r="F24" i="202" s="1"/>
  <c r="N50" i="184"/>
  <c r="T18" i="206"/>
  <c r="T19" i="206"/>
  <c r="T20" i="206"/>
  <c r="T21" i="206"/>
  <c r="T22" i="206"/>
  <c r="T23" i="206"/>
  <c r="T24" i="206"/>
  <c r="T25" i="206"/>
  <c r="T26" i="206"/>
  <c r="T27" i="206"/>
  <c r="T28" i="206"/>
  <c r="T17" i="206"/>
  <c r="J24" i="202" l="1"/>
  <c r="P24" i="202" s="1"/>
  <c r="R24" i="202"/>
  <c r="F24" i="203" s="1"/>
  <c r="O50" i="184"/>
  <c r="J24" i="203" l="1"/>
  <c r="P24" i="203" s="1"/>
  <c r="R24" i="203"/>
  <c r="F24" i="204" s="1"/>
  <c r="P50" i="184"/>
  <c r="J24" i="204" l="1"/>
  <c r="P24" i="204" s="1"/>
  <c r="R24" i="204"/>
  <c r="F24" i="221" s="1"/>
  <c r="Q50" i="184"/>
  <c r="L14" i="181"/>
  <c r="R24" i="221" l="1"/>
  <c r="F24" i="222" s="1"/>
  <c r="J24" i="221"/>
  <c r="P24" i="221" s="1"/>
  <c r="W26" i="187"/>
  <c r="W27" i="187" s="1"/>
  <c r="R24" i="222" l="1"/>
  <c r="F24" i="223" s="1"/>
  <c r="J24" i="222"/>
  <c r="P24" i="222" s="1"/>
  <c r="T13" i="198"/>
  <c r="T13" i="197"/>
  <c r="Z26" i="187"/>
  <c r="H26" i="187" s="1"/>
  <c r="I26" i="187" s="1"/>
  <c r="Z27" i="187"/>
  <c r="H27" i="187" s="1"/>
  <c r="L14" i="182"/>
  <c r="R52" i="184"/>
  <c r="R73" i="184"/>
  <c r="L37" i="204"/>
  <c r="L33" i="204"/>
  <c r="L27" i="204"/>
  <c r="N27" i="204" s="1"/>
  <c r="L23" i="204"/>
  <c r="N23" i="204" s="1"/>
  <c r="L25" i="204"/>
  <c r="N25" i="204" s="1"/>
  <c r="L26" i="204"/>
  <c r="N26" i="204" s="1"/>
  <c r="L22" i="204"/>
  <c r="N22" i="204" s="1"/>
  <c r="L17" i="204"/>
  <c r="L13" i="204"/>
  <c r="L37" i="203"/>
  <c r="L33" i="203"/>
  <c r="L27" i="203"/>
  <c r="N27" i="203" s="1"/>
  <c r="L23" i="203"/>
  <c r="N23" i="203" s="1"/>
  <c r="L25" i="203"/>
  <c r="N25" i="203" s="1"/>
  <c r="L26" i="203"/>
  <c r="N26" i="203" s="1"/>
  <c r="L22" i="203"/>
  <c r="N22" i="203" s="1"/>
  <c r="L17" i="203"/>
  <c r="L13" i="203"/>
  <c r="L37" i="202"/>
  <c r="L33" i="202"/>
  <c r="L27" i="202"/>
  <c r="N27" i="202" s="1"/>
  <c r="L23" i="202"/>
  <c r="N23" i="202" s="1"/>
  <c r="L25" i="202"/>
  <c r="N25" i="202" s="1"/>
  <c r="L26" i="202"/>
  <c r="N26" i="202" s="1"/>
  <c r="L22" i="202"/>
  <c r="N22" i="202" s="1"/>
  <c r="L17" i="202"/>
  <c r="L13" i="202"/>
  <c r="L37" i="201"/>
  <c r="L33" i="201"/>
  <c r="L27" i="201"/>
  <c r="N27" i="201" s="1"/>
  <c r="L23" i="201"/>
  <c r="N23" i="201" s="1"/>
  <c r="L25" i="201"/>
  <c r="N25" i="201" s="1"/>
  <c r="L26" i="201"/>
  <c r="N26" i="201" s="1"/>
  <c r="L22" i="201"/>
  <c r="N22" i="201" s="1"/>
  <c r="L17" i="201"/>
  <c r="L13" i="201"/>
  <c r="L37" i="200"/>
  <c r="L33" i="200"/>
  <c r="L27" i="200"/>
  <c r="N27" i="200" s="1"/>
  <c r="L23" i="200"/>
  <c r="N23" i="200" s="1"/>
  <c r="L25" i="200"/>
  <c r="N25" i="200" s="1"/>
  <c r="L26" i="200"/>
  <c r="N26" i="200" s="1"/>
  <c r="L22" i="200"/>
  <c r="N22" i="200" s="1"/>
  <c r="L17" i="200"/>
  <c r="L13" i="200"/>
  <c r="L37" i="199"/>
  <c r="L33" i="199"/>
  <c r="L27" i="199"/>
  <c r="N27" i="199" s="1"/>
  <c r="L23" i="199"/>
  <c r="N23" i="199" s="1"/>
  <c r="L25" i="199"/>
  <c r="N25" i="199" s="1"/>
  <c r="L26" i="199"/>
  <c r="N26" i="199" s="1"/>
  <c r="L22" i="199"/>
  <c r="N22" i="199" s="1"/>
  <c r="L17" i="199"/>
  <c r="L13" i="199"/>
  <c r="L37" i="198"/>
  <c r="L33" i="198"/>
  <c r="L27" i="198"/>
  <c r="N27" i="198" s="1"/>
  <c r="L23" i="198"/>
  <c r="N23" i="198" s="1"/>
  <c r="L25" i="198"/>
  <c r="N25" i="198" s="1"/>
  <c r="L26" i="198"/>
  <c r="N26" i="198" s="1"/>
  <c r="L22" i="198"/>
  <c r="N22" i="198" s="1"/>
  <c r="L17" i="198"/>
  <c r="L13" i="198"/>
  <c r="L37" i="197"/>
  <c r="L33" i="197"/>
  <c r="L27" i="197"/>
  <c r="N27" i="197" s="1"/>
  <c r="L23" i="197"/>
  <c r="N23" i="197" s="1"/>
  <c r="L25" i="197"/>
  <c r="N25" i="197" s="1"/>
  <c r="L26" i="197"/>
  <c r="N26" i="197" s="1"/>
  <c r="L22" i="197"/>
  <c r="N22" i="197" s="1"/>
  <c r="L17" i="197"/>
  <c r="L13" i="197"/>
  <c r="L37" i="196"/>
  <c r="L33" i="196"/>
  <c r="L27" i="196"/>
  <c r="N27" i="196" s="1"/>
  <c r="L23" i="196"/>
  <c r="N23" i="196" s="1"/>
  <c r="L25" i="196"/>
  <c r="N25" i="196" s="1"/>
  <c r="L26" i="196"/>
  <c r="N26" i="196" s="1"/>
  <c r="L22" i="196"/>
  <c r="N22" i="196" s="1"/>
  <c r="L17" i="196"/>
  <c r="L13" i="196"/>
  <c r="L37" i="195"/>
  <c r="L33" i="195"/>
  <c r="L27" i="195"/>
  <c r="N27" i="195" s="1"/>
  <c r="L23" i="195"/>
  <c r="N23" i="195" s="1"/>
  <c r="N25" i="195"/>
  <c r="L26" i="195"/>
  <c r="N26" i="195" s="1"/>
  <c r="L22" i="195"/>
  <c r="N22" i="195" s="1"/>
  <c r="L17" i="195"/>
  <c r="L13" i="195"/>
  <c r="L37" i="194"/>
  <c r="L33" i="194"/>
  <c r="L27" i="194"/>
  <c r="N27" i="194" s="1"/>
  <c r="L23" i="194"/>
  <c r="N23" i="194" s="1"/>
  <c r="L25" i="194"/>
  <c r="N25" i="194" s="1"/>
  <c r="L26" i="194"/>
  <c r="N26" i="194" s="1"/>
  <c r="L22" i="194"/>
  <c r="N22" i="194" s="1"/>
  <c r="L17" i="194"/>
  <c r="L13" i="194"/>
  <c r="L37" i="193"/>
  <c r="L33" i="193"/>
  <c r="L27" i="193"/>
  <c r="N27" i="193" s="1"/>
  <c r="L26" i="193"/>
  <c r="N26" i="193" s="1"/>
  <c r="L25" i="193"/>
  <c r="N25" i="193" s="1"/>
  <c r="L23" i="193"/>
  <c r="N23" i="193" s="1"/>
  <c r="L22" i="193"/>
  <c r="N22" i="193" s="1"/>
  <c r="L17" i="193"/>
  <c r="L13" i="193"/>
  <c r="D14" i="192"/>
  <c r="L18" i="194" s="1"/>
  <c r="E14" i="192"/>
  <c r="L18" i="195" s="1"/>
  <c r="F14" i="192"/>
  <c r="L18" i="196" s="1"/>
  <c r="G14" i="192"/>
  <c r="L18" i="197" s="1"/>
  <c r="H14" i="192"/>
  <c r="L18" i="198" s="1"/>
  <c r="J14" i="192"/>
  <c r="L18" i="200" s="1"/>
  <c r="N14" i="192"/>
  <c r="L18" i="204" s="1"/>
  <c r="C14" i="192"/>
  <c r="D11" i="192"/>
  <c r="L14" i="194" s="1"/>
  <c r="AC18" i="206" s="1"/>
  <c r="E11" i="192"/>
  <c r="L14" i="195" s="1"/>
  <c r="F11" i="192"/>
  <c r="L14" i="196" s="1"/>
  <c r="G11" i="192"/>
  <c r="L14" i="197" s="1"/>
  <c r="H11" i="192"/>
  <c r="L14" i="198" s="1"/>
  <c r="C11" i="192"/>
  <c r="E11" i="191" s="1"/>
  <c r="E42" i="191" s="1"/>
  <c r="E44" i="191" s="1"/>
  <c r="D33" i="192"/>
  <c r="E33" i="192"/>
  <c r="F33" i="192"/>
  <c r="G33" i="192"/>
  <c r="H33" i="192"/>
  <c r="I33" i="192"/>
  <c r="J33" i="192"/>
  <c r="K33" i="192"/>
  <c r="L33" i="192"/>
  <c r="M33" i="192"/>
  <c r="N33" i="192"/>
  <c r="C33" i="192"/>
  <c r="E12" i="190" s="1"/>
  <c r="D32" i="192"/>
  <c r="E32" i="192"/>
  <c r="F32" i="192"/>
  <c r="G32" i="192"/>
  <c r="H32" i="192"/>
  <c r="I32" i="192"/>
  <c r="J32" i="192"/>
  <c r="K32" i="192"/>
  <c r="M32" i="192"/>
  <c r="L34" i="203" s="1"/>
  <c r="N32" i="192"/>
  <c r="C32" i="192"/>
  <c r="E12" i="191" s="1"/>
  <c r="L38" i="194"/>
  <c r="L38" i="195"/>
  <c r="L38" i="196"/>
  <c r="L38" i="197"/>
  <c r="L38" i="198"/>
  <c r="L38" i="199"/>
  <c r="L38" i="200"/>
  <c r="L38" i="201"/>
  <c r="L38" i="202"/>
  <c r="L38" i="203"/>
  <c r="L38" i="204"/>
  <c r="L38" i="193"/>
  <c r="D38" i="192"/>
  <c r="F26" i="190" s="1"/>
  <c r="E38" i="192"/>
  <c r="G26" i="190" s="1"/>
  <c r="F38" i="192"/>
  <c r="H26" i="190" s="1"/>
  <c r="G38" i="192"/>
  <c r="I26" i="190" s="1"/>
  <c r="H38" i="192"/>
  <c r="J26" i="190" s="1"/>
  <c r="I38" i="192"/>
  <c r="M26" i="190" s="1"/>
  <c r="J38" i="192"/>
  <c r="N26" i="190" s="1"/>
  <c r="K38" i="192"/>
  <c r="O26" i="190" s="1"/>
  <c r="L38" i="192"/>
  <c r="P26" i="190" s="1"/>
  <c r="M38" i="192"/>
  <c r="Q26" i="190" s="1"/>
  <c r="N38" i="192"/>
  <c r="R26" i="190" s="1"/>
  <c r="D26" i="217" s="1"/>
  <c r="D39" i="192"/>
  <c r="F26" i="191" s="1"/>
  <c r="E39" i="192"/>
  <c r="G26" i="191" s="1"/>
  <c r="F39" i="192"/>
  <c r="H26" i="191" s="1"/>
  <c r="G39" i="192"/>
  <c r="I26" i="191" s="1"/>
  <c r="H39" i="192"/>
  <c r="J26" i="191" s="1"/>
  <c r="I39" i="192"/>
  <c r="M26" i="191" s="1"/>
  <c r="J39" i="192"/>
  <c r="N26" i="191" s="1"/>
  <c r="K39" i="192"/>
  <c r="O26" i="191" s="1"/>
  <c r="L39" i="192"/>
  <c r="P26" i="191" s="1"/>
  <c r="M39" i="192"/>
  <c r="Q26" i="191" s="1"/>
  <c r="N39" i="192"/>
  <c r="R26" i="191" s="1"/>
  <c r="C39" i="192"/>
  <c r="E26" i="191" s="1"/>
  <c r="C38" i="192"/>
  <c r="E26" i="190" s="1"/>
  <c r="Q27" i="211"/>
  <c r="Q26" i="211"/>
  <c r="Q25" i="211"/>
  <c r="Q24" i="211"/>
  <c r="Q23" i="211"/>
  <c r="Q22" i="211"/>
  <c r="Q21" i="211"/>
  <c r="Q20" i="211"/>
  <c r="K11" i="192"/>
  <c r="L14" i="201" s="1"/>
  <c r="N11" i="192"/>
  <c r="L14" i="204" s="1"/>
  <c r="M11" i="192"/>
  <c r="L14" i="203" s="1"/>
  <c r="L11" i="192"/>
  <c r="L14" i="202" s="1"/>
  <c r="J11" i="192"/>
  <c r="Q17" i="211"/>
  <c r="Q16" i="211"/>
  <c r="Q15" i="211"/>
  <c r="Q14" i="211"/>
  <c r="Q13" i="211"/>
  <c r="Q12" i="211"/>
  <c r="Q11" i="211"/>
  <c r="Q10" i="211"/>
  <c r="Q9" i="211"/>
  <c r="R24" i="223" l="1"/>
  <c r="F24" i="224" s="1"/>
  <c r="J24" i="223"/>
  <c r="P24" i="223" s="1"/>
  <c r="T26" i="191"/>
  <c r="V26" i="191" s="1"/>
  <c r="T26" i="190"/>
  <c r="F11" i="191"/>
  <c r="F12" i="191"/>
  <c r="G12" i="191" s="1"/>
  <c r="H12" i="191" s="1"/>
  <c r="I12" i="191" s="1"/>
  <c r="J12" i="191" s="1"/>
  <c r="F12" i="190"/>
  <c r="G12" i="190" s="1"/>
  <c r="H12" i="190" s="1"/>
  <c r="I12" i="190" s="1"/>
  <c r="J12" i="190" s="1"/>
  <c r="L18" i="193"/>
  <c r="E11" i="190"/>
  <c r="L14" i="193"/>
  <c r="L14" i="200"/>
  <c r="L34" i="193"/>
  <c r="K59" i="206" s="1"/>
  <c r="L58" i="233"/>
  <c r="L36" i="202"/>
  <c r="N31" i="205" s="1"/>
  <c r="L36" i="198"/>
  <c r="N26" i="205" s="1"/>
  <c r="L36" i="193"/>
  <c r="R35" i="193"/>
  <c r="F35" i="194" s="1"/>
  <c r="R35" i="194" s="1"/>
  <c r="F35" i="195" s="1"/>
  <c r="R35" i="195" s="1"/>
  <c r="F35" i="196" s="1"/>
  <c r="R35" i="196" s="1"/>
  <c r="F35" i="197" s="1"/>
  <c r="R35" i="197" s="1"/>
  <c r="F35" i="198" s="1"/>
  <c r="R35" i="198" s="1"/>
  <c r="F35" i="199" s="1"/>
  <c r="R35" i="199" s="1"/>
  <c r="F35" i="200" s="1"/>
  <c r="R35" i="200" s="1"/>
  <c r="F35" i="201" s="1"/>
  <c r="R35" i="201" s="1"/>
  <c r="F35" i="202" s="1"/>
  <c r="R35" i="202" s="1"/>
  <c r="F35" i="203" s="1"/>
  <c r="R35" i="203" s="1"/>
  <c r="F35" i="204" s="1"/>
  <c r="R35" i="204" s="1"/>
  <c r="L36" i="201"/>
  <c r="N30" i="205" s="1"/>
  <c r="L36" i="197"/>
  <c r="N25" i="205" s="1"/>
  <c r="Q31" i="211"/>
  <c r="L36" i="194"/>
  <c r="N22" i="205" s="1"/>
  <c r="L36" i="204"/>
  <c r="N33" i="205" s="1"/>
  <c r="L36" i="200"/>
  <c r="N29" i="205" s="1"/>
  <c r="L36" i="196"/>
  <c r="N24" i="205" s="1"/>
  <c r="L36" i="203"/>
  <c r="N32" i="205" s="1"/>
  <c r="L36" i="199"/>
  <c r="N28" i="205" s="1"/>
  <c r="L36" i="195"/>
  <c r="N23" i="205" s="1"/>
  <c r="W28" i="187"/>
  <c r="Z28" i="187" s="1"/>
  <c r="H28" i="187" s="1"/>
  <c r="G32" i="211"/>
  <c r="L34" i="204"/>
  <c r="K28" i="206" s="1"/>
  <c r="L34" i="199"/>
  <c r="K23" i="206" s="1"/>
  <c r="L34" i="195"/>
  <c r="K19" i="206" s="1"/>
  <c r="L34" i="196"/>
  <c r="K20" i="206" s="1"/>
  <c r="H32" i="211"/>
  <c r="K27" i="206"/>
  <c r="L34" i="198"/>
  <c r="K22" i="206" s="1"/>
  <c r="L34" i="194"/>
  <c r="K18" i="206" s="1"/>
  <c r="L34" i="200"/>
  <c r="K24" i="206" s="1"/>
  <c r="L34" i="201"/>
  <c r="K25" i="206" s="1"/>
  <c r="L34" i="197"/>
  <c r="K21" i="206" s="1"/>
  <c r="F32" i="211"/>
  <c r="J32" i="211"/>
  <c r="M32" i="211"/>
  <c r="E32" i="211"/>
  <c r="I32" i="211"/>
  <c r="L12" i="205"/>
  <c r="L62" i="205" s="1"/>
  <c r="C36" i="192"/>
  <c r="O32" i="211"/>
  <c r="Q19" i="211"/>
  <c r="I11" i="192"/>
  <c r="L14" i="199" s="1"/>
  <c r="M14" i="192"/>
  <c r="L18" i="203" s="1"/>
  <c r="I14" i="192"/>
  <c r="L18" i="199" s="1"/>
  <c r="K14" i="192"/>
  <c r="L18" i="201" s="1"/>
  <c r="L32" i="211"/>
  <c r="P32" i="211"/>
  <c r="Q18" i="211"/>
  <c r="L32" i="192"/>
  <c r="L34" i="202" s="1"/>
  <c r="L14" i="192"/>
  <c r="L18" i="202" s="1"/>
  <c r="N32" i="211"/>
  <c r="K32" i="211"/>
  <c r="J24" i="224" l="1"/>
  <c r="P24" i="224" s="1"/>
  <c r="R24" i="224"/>
  <c r="F24" i="225" s="1"/>
  <c r="G11" i="191"/>
  <c r="F42" i="191"/>
  <c r="F44" i="191" s="1"/>
  <c r="X17" i="206"/>
  <c r="AA17" i="206" s="1"/>
  <c r="I17" i="206" s="1"/>
  <c r="I59" i="206" s="1"/>
  <c r="K12" i="191"/>
  <c r="T12" i="191" s="1"/>
  <c r="V12" i="191" s="1"/>
  <c r="N21" i="205"/>
  <c r="N27" i="205" s="1"/>
  <c r="F11" i="190"/>
  <c r="K12" i="190"/>
  <c r="Q30" i="211"/>
  <c r="I11" i="206"/>
  <c r="W12" i="206" s="1"/>
  <c r="L11" i="205"/>
  <c r="AA12" i="205" s="1"/>
  <c r="L20" i="233"/>
  <c r="N15" i="195"/>
  <c r="N15" i="204"/>
  <c r="N15" i="198"/>
  <c r="N15" i="199"/>
  <c r="N15" i="200"/>
  <c r="N15" i="197"/>
  <c r="N15" i="193"/>
  <c r="N15" i="194"/>
  <c r="N15" i="202"/>
  <c r="N15" i="203"/>
  <c r="N15" i="196"/>
  <c r="N15" i="201"/>
  <c r="K26" i="206"/>
  <c r="I41" i="192"/>
  <c r="M27" i="191" s="1"/>
  <c r="C41" i="192"/>
  <c r="E27" i="191" s="1"/>
  <c r="C40" i="192"/>
  <c r="E27" i="190" s="1"/>
  <c r="D41" i="192"/>
  <c r="F27" i="191" s="1"/>
  <c r="E40" i="192"/>
  <c r="G27" i="190" s="1"/>
  <c r="P10" i="210"/>
  <c r="P9" i="210"/>
  <c r="P3" i="210"/>
  <c r="P4" i="210"/>
  <c r="P5" i="210"/>
  <c r="P6" i="210"/>
  <c r="P7" i="210"/>
  <c r="P2" i="210"/>
  <c r="R24" i="225" l="1"/>
  <c r="F24" i="226" s="1"/>
  <c r="J24" i="225"/>
  <c r="P24" i="225" s="1"/>
  <c r="H11" i="191"/>
  <c r="G42" i="191"/>
  <c r="G44" i="191" s="1"/>
  <c r="N71" i="205"/>
  <c r="X18" i="206"/>
  <c r="D40" i="192"/>
  <c r="F27" i="190" s="1"/>
  <c r="G11" i="190"/>
  <c r="E41" i="192"/>
  <c r="G27" i="191" s="1"/>
  <c r="Q32" i="211"/>
  <c r="R40" i="211" s="1"/>
  <c r="L23" i="233"/>
  <c r="L57" i="233"/>
  <c r="L69" i="233" s="1"/>
  <c r="L19" i="233"/>
  <c r="L27" i="233"/>
  <c r="L21" i="233"/>
  <c r="L24" i="233"/>
  <c r="L25" i="233"/>
  <c r="L28" i="233"/>
  <c r="L22" i="233"/>
  <c r="L26" i="233"/>
  <c r="L18" i="233"/>
  <c r="L17" i="233"/>
  <c r="E20" i="191"/>
  <c r="F20" i="191"/>
  <c r="G20" i="191"/>
  <c r="H20" i="191"/>
  <c r="I20" i="191"/>
  <c r="J20" i="191"/>
  <c r="R24" i="226" l="1"/>
  <c r="F24" i="227" s="1"/>
  <c r="J24" i="226"/>
  <c r="P24" i="226" s="1"/>
  <c r="I11" i="191"/>
  <c r="H42" i="191"/>
  <c r="H44" i="191" s="1"/>
  <c r="AA18" i="206"/>
  <c r="I18" i="206" s="1"/>
  <c r="X19" i="206"/>
  <c r="F40" i="192"/>
  <c r="H27" i="190" s="1"/>
  <c r="H11" i="190"/>
  <c r="L64" i="233"/>
  <c r="L72" i="233"/>
  <c r="L70" i="233"/>
  <c r="F41" i="192"/>
  <c r="H27" i="191" s="1"/>
  <c r="L71" i="233"/>
  <c r="L65" i="233"/>
  <c r="L67" i="233"/>
  <c r="L68" i="233"/>
  <c r="L73" i="233"/>
  <c r="L66" i="233"/>
  <c r="L63" i="233"/>
  <c r="L74" i="233"/>
  <c r="L44" i="233"/>
  <c r="X20" i="191"/>
  <c r="J41" i="192"/>
  <c r="N27" i="191" s="1"/>
  <c r="J24" i="227" l="1"/>
  <c r="P24" i="227" s="1"/>
  <c r="R24" i="227"/>
  <c r="F24" i="228" s="1"/>
  <c r="J11" i="191"/>
  <c r="I42" i="191"/>
  <c r="I44" i="191" s="1"/>
  <c r="AA19" i="206"/>
  <c r="I19" i="206" s="1"/>
  <c r="X20" i="206"/>
  <c r="H40" i="192"/>
  <c r="J27" i="190" s="1"/>
  <c r="G40" i="192"/>
  <c r="I27" i="190" s="1"/>
  <c r="I11" i="190"/>
  <c r="G41" i="192"/>
  <c r="I27" i="191" s="1"/>
  <c r="L90" i="233"/>
  <c r="K41" i="192"/>
  <c r="O27" i="191" s="1"/>
  <c r="R24" i="228" l="1"/>
  <c r="F24" i="229" s="1"/>
  <c r="J24" i="228"/>
  <c r="P24" i="228" s="1"/>
  <c r="K11" i="191"/>
  <c r="T11" i="191" s="1"/>
  <c r="V11" i="191" s="1"/>
  <c r="J42" i="191"/>
  <c r="J44" i="191" s="1"/>
  <c r="AA20" i="206"/>
  <c r="I20" i="206" s="1"/>
  <c r="X21" i="206"/>
  <c r="J11" i="190"/>
  <c r="H41" i="192"/>
  <c r="J27" i="191" s="1"/>
  <c r="T27" i="191" s="1"/>
  <c r="P13" i="210"/>
  <c r="L41" i="192"/>
  <c r="P27" i="191" s="1"/>
  <c r="R24" i="229" l="1"/>
  <c r="F24" i="230" s="1"/>
  <c r="J24" i="229"/>
  <c r="P24" i="229" s="1"/>
  <c r="K11" i="190"/>
  <c r="AA21" i="206"/>
  <c r="I21" i="206" s="1"/>
  <c r="X22" i="206"/>
  <c r="AA22" i="206" s="1"/>
  <c r="I22" i="206" s="1"/>
  <c r="T12" i="192"/>
  <c r="N41" i="192"/>
  <c r="R27" i="191" s="1"/>
  <c r="M41" i="192"/>
  <c r="Q27" i="191" s="1"/>
  <c r="J15" i="138"/>
  <c r="J16" i="138"/>
  <c r="J17" i="138"/>
  <c r="J18" i="138"/>
  <c r="J19" i="138"/>
  <c r="J20" i="138"/>
  <c r="J21" i="138"/>
  <c r="J22" i="138"/>
  <c r="J23" i="138"/>
  <c r="J24" i="138"/>
  <c r="J25" i="138"/>
  <c r="J14" i="138"/>
  <c r="C12" i="207"/>
  <c r="E11" i="207"/>
  <c r="G11" i="207" s="1"/>
  <c r="G10" i="207"/>
  <c r="E10" i="207"/>
  <c r="E9" i="207"/>
  <c r="G9" i="207" s="1"/>
  <c r="R24" i="230" l="1"/>
  <c r="F24" i="231" s="1"/>
  <c r="J24" i="230"/>
  <c r="P24" i="230" s="1"/>
  <c r="G12" i="207"/>
  <c r="E12" i="207"/>
  <c r="F11" i="207"/>
  <c r="F12" i="207" s="1"/>
  <c r="R24" i="231" l="1"/>
  <c r="F24" i="232" s="1"/>
  <c r="J24" i="231"/>
  <c r="P24" i="231" s="1"/>
  <c r="R24" i="232" l="1"/>
  <c r="F22" i="249" s="1"/>
  <c r="J24" i="232"/>
  <c r="P24" i="232" s="1"/>
  <c r="I54" i="206"/>
  <c r="I53" i="206"/>
  <c r="I60" i="206"/>
  <c r="I61" i="206"/>
  <c r="I62" i="206"/>
  <c r="I63" i="206"/>
  <c r="I64" i="206"/>
  <c r="I65" i="206"/>
  <c r="I66" i="206"/>
  <c r="I67" i="206"/>
  <c r="I68" i="206"/>
  <c r="I69" i="206"/>
  <c r="I70" i="206"/>
  <c r="I44" i="206"/>
  <c r="H12" i="206"/>
  <c r="H54" i="206" s="1"/>
  <c r="H13" i="206"/>
  <c r="K13" i="205"/>
  <c r="M85" i="206"/>
  <c r="N85" i="206" s="1"/>
  <c r="R85" i="206" s="1"/>
  <c r="M84" i="206"/>
  <c r="N84" i="206" s="1"/>
  <c r="R84" i="206" s="1"/>
  <c r="M83" i="206"/>
  <c r="N83" i="206" s="1"/>
  <c r="R83" i="206" s="1"/>
  <c r="M82" i="206"/>
  <c r="N82" i="206" s="1"/>
  <c r="R82" i="206" s="1"/>
  <c r="M81" i="206"/>
  <c r="N81" i="206" s="1"/>
  <c r="R81" i="206" s="1"/>
  <c r="M80" i="206"/>
  <c r="N80" i="206" s="1"/>
  <c r="R80" i="206" s="1"/>
  <c r="M79" i="206"/>
  <c r="N79" i="206" s="1"/>
  <c r="R79" i="206" s="1"/>
  <c r="M78" i="206"/>
  <c r="N78" i="206" s="1"/>
  <c r="R78" i="206" s="1"/>
  <c r="M77" i="206"/>
  <c r="N77" i="206" s="1"/>
  <c r="R77" i="206" s="1"/>
  <c r="M76" i="206"/>
  <c r="N76" i="206" s="1"/>
  <c r="R76" i="206" s="1"/>
  <c r="M75" i="206"/>
  <c r="N75" i="206" s="1"/>
  <c r="R75" i="206" s="1"/>
  <c r="M74" i="206"/>
  <c r="N74" i="206" s="1"/>
  <c r="R74" i="206" s="1"/>
  <c r="M73" i="206"/>
  <c r="N73" i="206" s="1"/>
  <c r="R73" i="206" s="1"/>
  <c r="M72" i="206"/>
  <c r="N72" i="206" s="1"/>
  <c r="R72" i="206" s="1"/>
  <c r="M71" i="206"/>
  <c r="N71" i="206" s="1"/>
  <c r="R71" i="206" s="1"/>
  <c r="K70" i="206"/>
  <c r="K69" i="206"/>
  <c r="K68" i="206"/>
  <c r="K67" i="206"/>
  <c r="K66" i="206"/>
  <c r="K65" i="206"/>
  <c r="K64" i="206"/>
  <c r="K63" i="206"/>
  <c r="K62" i="206"/>
  <c r="K61" i="206"/>
  <c r="K60" i="206"/>
  <c r="A59" i="206"/>
  <c r="A60" i="206" s="1"/>
  <c r="A61" i="206" s="1"/>
  <c r="A62" i="206" s="1"/>
  <c r="A63" i="206" s="1"/>
  <c r="A64" i="206" s="1"/>
  <c r="A65" i="206" s="1"/>
  <c r="A66" i="206" s="1"/>
  <c r="A67" i="206" s="1"/>
  <c r="A68" i="206" s="1"/>
  <c r="A69" i="206" s="1"/>
  <c r="A70" i="206" s="1"/>
  <c r="A71" i="206" s="1"/>
  <c r="A72" i="206" s="1"/>
  <c r="A73" i="206" s="1"/>
  <c r="A74" i="206" s="1"/>
  <c r="A75" i="206" s="1"/>
  <c r="A76" i="206" s="1"/>
  <c r="A77" i="206" s="1"/>
  <c r="A78" i="206" s="1"/>
  <c r="A79" i="206" s="1"/>
  <c r="A80" i="206" s="1"/>
  <c r="A81" i="206" s="1"/>
  <c r="A82" i="206" s="1"/>
  <c r="A83" i="206" s="1"/>
  <c r="A84" i="206" s="1"/>
  <c r="A85" i="206" s="1"/>
  <c r="A86" i="206" s="1"/>
  <c r="K44" i="206"/>
  <c r="R43" i="206"/>
  <c r="Q43" i="206"/>
  <c r="R42" i="206"/>
  <c r="Q42" i="206"/>
  <c r="R41" i="206"/>
  <c r="Q41" i="206"/>
  <c r="R40" i="206"/>
  <c r="Q40" i="206"/>
  <c r="R39" i="206"/>
  <c r="Q39" i="206"/>
  <c r="R38" i="206"/>
  <c r="Q38" i="206"/>
  <c r="R37" i="206"/>
  <c r="Q37" i="206"/>
  <c r="R36" i="206"/>
  <c r="Q36" i="206"/>
  <c r="R35" i="206"/>
  <c r="Q35" i="206"/>
  <c r="R34" i="206"/>
  <c r="Q34" i="206"/>
  <c r="R33" i="206"/>
  <c r="Q33" i="206"/>
  <c r="R32" i="206"/>
  <c r="Q32" i="206"/>
  <c r="R31" i="206"/>
  <c r="Q31" i="206"/>
  <c r="R30" i="206"/>
  <c r="Q30" i="206"/>
  <c r="Q29" i="206"/>
  <c r="A17" i="206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P98" i="205"/>
  <c r="Q98" i="205" s="1"/>
  <c r="V98" i="205" s="1"/>
  <c r="P97" i="205"/>
  <c r="Q97" i="205" s="1"/>
  <c r="V97" i="205" s="1"/>
  <c r="P96" i="205"/>
  <c r="Q96" i="205" s="1"/>
  <c r="V96" i="205" s="1"/>
  <c r="P95" i="205"/>
  <c r="Q95" i="205" s="1"/>
  <c r="V95" i="205" s="1"/>
  <c r="P94" i="205"/>
  <c r="Q94" i="205" s="1"/>
  <c r="V94" i="205" s="1"/>
  <c r="P93" i="205"/>
  <c r="Q93" i="205" s="1"/>
  <c r="V93" i="205" s="1"/>
  <c r="P92" i="205"/>
  <c r="Q92" i="205" s="1"/>
  <c r="V92" i="205" s="1"/>
  <c r="P91" i="205"/>
  <c r="Q91" i="205" s="1"/>
  <c r="V91" i="205" s="1"/>
  <c r="P90" i="205"/>
  <c r="Q90" i="205" s="1"/>
  <c r="V90" i="205" s="1"/>
  <c r="P89" i="205"/>
  <c r="Q89" i="205" s="1"/>
  <c r="V89" i="205" s="1"/>
  <c r="P88" i="205"/>
  <c r="Q88" i="205" s="1"/>
  <c r="V88" i="205" s="1"/>
  <c r="P87" i="205"/>
  <c r="Q87" i="205" s="1"/>
  <c r="V87" i="205" s="1"/>
  <c r="P86" i="205"/>
  <c r="Q86" i="205" s="1"/>
  <c r="V86" i="205" s="1"/>
  <c r="P85" i="205"/>
  <c r="Q85" i="205" s="1"/>
  <c r="V85" i="205" s="1"/>
  <c r="P84" i="205"/>
  <c r="Q84" i="205" s="1"/>
  <c r="V84" i="205" s="1"/>
  <c r="A71" i="205"/>
  <c r="A72" i="205" s="1"/>
  <c r="A73" i="205" s="1"/>
  <c r="A74" i="205" s="1"/>
  <c r="A75" i="205" s="1"/>
  <c r="A76" i="205" s="1"/>
  <c r="A78" i="205" s="1"/>
  <c r="A79" i="205" s="1"/>
  <c r="A80" i="205" s="1"/>
  <c r="A81" i="205" s="1"/>
  <c r="A82" i="205" s="1"/>
  <c r="A83" i="205" s="1"/>
  <c r="A84" i="205" s="1"/>
  <c r="A85" i="205" s="1"/>
  <c r="A86" i="205" s="1"/>
  <c r="A87" i="205" s="1"/>
  <c r="A88" i="205" s="1"/>
  <c r="A89" i="205" s="1"/>
  <c r="A90" i="205" s="1"/>
  <c r="A91" i="205" s="1"/>
  <c r="A92" i="205" s="1"/>
  <c r="A93" i="205" s="1"/>
  <c r="A94" i="205" s="1"/>
  <c r="A95" i="205" s="1"/>
  <c r="A96" i="205" s="1"/>
  <c r="A97" i="205" s="1"/>
  <c r="A98" i="205" s="1"/>
  <c r="A99" i="205" s="1"/>
  <c r="V48" i="205"/>
  <c r="U48" i="205"/>
  <c r="V47" i="205"/>
  <c r="U47" i="205"/>
  <c r="V46" i="205"/>
  <c r="U46" i="205"/>
  <c r="V45" i="205"/>
  <c r="U45" i="205"/>
  <c r="V44" i="205"/>
  <c r="U44" i="205"/>
  <c r="V43" i="205"/>
  <c r="U43" i="205"/>
  <c r="V42" i="205"/>
  <c r="U42" i="205"/>
  <c r="V41" i="205"/>
  <c r="U41" i="205"/>
  <c r="V40" i="205"/>
  <c r="U40" i="205"/>
  <c r="V39" i="205"/>
  <c r="U39" i="205"/>
  <c r="V38" i="205"/>
  <c r="U38" i="205"/>
  <c r="V37" i="205"/>
  <c r="U37" i="205"/>
  <c r="V36" i="205"/>
  <c r="U36" i="205"/>
  <c r="V35" i="205"/>
  <c r="U35" i="205"/>
  <c r="U34" i="205"/>
  <c r="N83" i="205"/>
  <c r="N82" i="205"/>
  <c r="N81" i="205"/>
  <c r="N80" i="205"/>
  <c r="N79" i="205"/>
  <c r="N78" i="205"/>
  <c r="N76" i="205"/>
  <c r="N75" i="205"/>
  <c r="N74" i="205"/>
  <c r="N73" i="205"/>
  <c r="N72" i="205"/>
  <c r="A21" i="205"/>
  <c r="A22" i="205" s="1"/>
  <c r="A23" i="205" s="1"/>
  <c r="A24" i="205" s="1"/>
  <c r="A25" i="205" s="1"/>
  <c r="A26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A45" i="205" s="1"/>
  <c r="A46" i="205" s="1"/>
  <c r="A47" i="205" s="1"/>
  <c r="A48" i="205" s="1"/>
  <c r="A49" i="205" s="1"/>
  <c r="J13" i="205"/>
  <c r="I13" i="205"/>
  <c r="R22" i="249" l="1"/>
  <c r="F22" i="250" s="1"/>
  <c r="J22" i="249"/>
  <c r="P22" i="249" s="1"/>
  <c r="N77" i="205"/>
  <c r="K86" i="206"/>
  <c r="U49" i="205"/>
  <c r="I86" i="206"/>
  <c r="N99" i="205"/>
  <c r="N49" i="205"/>
  <c r="Q44" i="206"/>
  <c r="R22" i="250" l="1"/>
  <c r="F22" i="251" s="1"/>
  <c r="J22" i="250"/>
  <c r="P22" i="250" s="1"/>
  <c r="P39" i="204"/>
  <c r="N39" i="204"/>
  <c r="J39" i="204"/>
  <c r="L28" i="204"/>
  <c r="L19" i="204"/>
  <c r="H18" i="204"/>
  <c r="N18" i="204" s="1"/>
  <c r="H17" i="204"/>
  <c r="N17" i="204" s="1"/>
  <c r="N16" i="204"/>
  <c r="N14" i="204"/>
  <c r="H14" i="204"/>
  <c r="A14" i="204"/>
  <c r="A17" i="204" s="1"/>
  <c r="A18" i="204" s="1"/>
  <c r="A19" i="204" s="1"/>
  <c r="A22" i="204" s="1"/>
  <c r="A23" i="204" s="1"/>
  <c r="N13" i="204"/>
  <c r="H13" i="204"/>
  <c r="P39" i="203"/>
  <c r="N39" i="203"/>
  <c r="L39" i="203"/>
  <c r="J39" i="203"/>
  <c r="L19" i="203"/>
  <c r="H18" i="203"/>
  <c r="N18" i="203" s="1"/>
  <c r="H17" i="203"/>
  <c r="N16" i="203"/>
  <c r="N14" i="203"/>
  <c r="H14" i="203"/>
  <c r="A14" i="203"/>
  <c r="A17" i="203" s="1"/>
  <c r="A18" i="203" s="1"/>
  <c r="A19" i="203" s="1"/>
  <c r="A22" i="203" s="1"/>
  <c r="A23" i="203" s="1"/>
  <c r="H13" i="203"/>
  <c r="N13" i="203" s="1"/>
  <c r="P39" i="202"/>
  <c r="N39" i="202"/>
  <c r="J39" i="202"/>
  <c r="L19" i="202"/>
  <c r="H18" i="202"/>
  <c r="N18" i="202" s="1"/>
  <c r="N17" i="202"/>
  <c r="H17" i="202"/>
  <c r="N16" i="202"/>
  <c r="N14" i="202"/>
  <c r="H14" i="202"/>
  <c r="A14" i="202"/>
  <c r="A17" i="202" s="1"/>
  <c r="A18" i="202" s="1"/>
  <c r="A19" i="202" s="1"/>
  <c r="A22" i="202" s="1"/>
  <c r="A23" i="202" s="1"/>
  <c r="N13" i="202"/>
  <c r="H13" i="202"/>
  <c r="P39" i="201"/>
  <c r="N39" i="201"/>
  <c r="L39" i="201"/>
  <c r="J39" i="201"/>
  <c r="L19" i="201"/>
  <c r="N18" i="201"/>
  <c r="H18" i="201"/>
  <c r="H17" i="201"/>
  <c r="N16" i="201"/>
  <c r="N14" i="201"/>
  <c r="H14" i="201"/>
  <c r="A14" i="201"/>
  <c r="A17" i="201" s="1"/>
  <c r="A18" i="201" s="1"/>
  <c r="A19" i="201" s="1"/>
  <c r="A22" i="201" s="1"/>
  <c r="A23" i="201" s="1"/>
  <c r="N13" i="201"/>
  <c r="H13" i="201"/>
  <c r="P39" i="200"/>
  <c r="N39" i="200"/>
  <c r="J39" i="200"/>
  <c r="L39" i="200"/>
  <c r="H18" i="200"/>
  <c r="H17" i="200"/>
  <c r="H14" i="200"/>
  <c r="A14" i="200"/>
  <c r="A17" i="200" s="1"/>
  <c r="A18" i="200" s="1"/>
  <c r="A19" i="200" s="1"/>
  <c r="A22" i="200" s="1"/>
  <c r="A23" i="200" s="1"/>
  <c r="H13" i="200"/>
  <c r="P39" i="199"/>
  <c r="N39" i="199"/>
  <c r="J39" i="199"/>
  <c r="H18" i="199"/>
  <c r="N18" i="199" s="1"/>
  <c r="H17" i="199"/>
  <c r="N17" i="199" s="1"/>
  <c r="N16" i="199"/>
  <c r="H14" i="199"/>
  <c r="N14" i="199" s="1"/>
  <c r="A14" i="199"/>
  <c r="A17" i="199" s="1"/>
  <c r="A18" i="199" s="1"/>
  <c r="A19" i="199" s="1"/>
  <c r="A22" i="199" s="1"/>
  <c r="A23" i="199" s="1"/>
  <c r="L19" i="199"/>
  <c r="H13" i="199"/>
  <c r="N13" i="199" s="1"/>
  <c r="P39" i="198"/>
  <c r="N39" i="198"/>
  <c r="J39" i="198"/>
  <c r="L39" i="198"/>
  <c r="H18" i="198"/>
  <c r="H17" i="198"/>
  <c r="N16" i="198"/>
  <c r="H14" i="198"/>
  <c r="A14" i="198"/>
  <c r="A17" i="198" s="1"/>
  <c r="A18" i="198" s="1"/>
  <c r="A19" i="198" s="1"/>
  <c r="A22" i="198" s="1"/>
  <c r="A23" i="198" s="1"/>
  <c r="N13" i="198"/>
  <c r="H13" i="198"/>
  <c r="P39" i="197"/>
  <c r="N39" i="197"/>
  <c r="J39" i="197"/>
  <c r="L39" i="197"/>
  <c r="L28" i="197"/>
  <c r="H18" i="197"/>
  <c r="N18" i="197" s="1"/>
  <c r="H17" i="197"/>
  <c r="N17" i="197" s="1"/>
  <c r="N16" i="197"/>
  <c r="H14" i="197"/>
  <c r="A14" i="197"/>
  <c r="A17" i="197" s="1"/>
  <c r="A18" i="197" s="1"/>
  <c r="A19" i="197" s="1"/>
  <c r="A22" i="197" s="1"/>
  <c r="A23" i="197" s="1"/>
  <c r="N13" i="197"/>
  <c r="H13" i="197"/>
  <c r="P39" i="196"/>
  <c r="N39" i="196"/>
  <c r="L39" i="196"/>
  <c r="J39" i="196"/>
  <c r="L28" i="196"/>
  <c r="L19" i="196"/>
  <c r="H18" i="196"/>
  <c r="N18" i="196" s="1"/>
  <c r="H17" i="196"/>
  <c r="N17" i="196" s="1"/>
  <c r="N16" i="196"/>
  <c r="H14" i="196"/>
  <c r="A14" i="196"/>
  <c r="A17" i="196" s="1"/>
  <c r="A18" i="196" s="1"/>
  <c r="A19" i="196" s="1"/>
  <c r="A22" i="196" s="1"/>
  <c r="A23" i="196" s="1"/>
  <c r="N13" i="196"/>
  <c r="H13" i="196"/>
  <c r="P39" i="195"/>
  <c r="N39" i="195"/>
  <c r="L39" i="195"/>
  <c r="J39" i="195"/>
  <c r="L28" i="195"/>
  <c r="L19" i="195"/>
  <c r="H18" i="195"/>
  <c r="N18" i="195" s="1"/>
  <c r="H17" i="195"/>
  <c r="N17" i="195" s="1"/>
  <c r="N16" i="195"/>
  <c r="H14" i="195"/>
  <c r="A14" i="195"/>
  <c r="A17" i="195" s="1"/>
  <c r="A18" i="195" s="1"/>
  <c r="A19" i="195" s="1"/>
  <c r="A22" i="195" s="1"/>
  <c r="A23" i="195" s="1"/>
  <c r="N13" i="195"/>
  <c r="H13" i="195"/>
  <c r="P39" i="194"/>
  <c r="N39" i="194"/>
  <c r="L39" i="194"/>
  <c r="J39" i="194"/>
  <c r="L19" i="194"/>
  <c r="AG22" i="205" s="1"/>
  <c r="N18" i="194"/>
  <c r="H18" i="194"/>
  <c r="N17" i="194"/>
  <c r="H17" i="194"/>
  <c r="N16" i="194"/>
  <c r="H14" i="194"/>
  <c r="A14" i="194"/>
  <c r="A17" i="194" s="1"/>
  <c r="A18" i="194" s="1"/>
  <c r="A19" i="194" s="1"/>
  <c r="A22" i="194" s="1"/>
  <c r="A23" i="194" s="1"/>
  <c r="N13" i="194"/>
  <c r="H13" i="194"/>
  <c r="P39" i="193"/>
  <c r="N39" i="193"/>
  <c r="J39" i="193"/>
  <c r="L28" i="193"/>
  <c r="H27" i="193"/>
  <c r="H26" i="193"/>
  <c r="H25" i="193"/>
  <c r="H23" i="193"/>
  <c r="H22" i="193"/>
  <c r="H18" i="193"/>
  <c r="N18" i="193" s="1"/>
  <c r="H17" i="193"/>
  <c r="N17" i="193" s="1"/>
  <c r="N16" i="193"/>
  <c r="N14" i="193"/>
  <c r="H14" i="193"/>
  <c r="A14" i="193"/>
  <c r="A17" i="193" s="1"/>
  <c r="A18" i="193" s="1"/>
  <c r="A19" i="193" s="1"/>
  <c r="A22" i="193" s="1"/>
  <c r="A23" i="193" s="1"/>
  <c r="H13" i="193"/>
  <c r="R22" i="251" l="1"/>
  <c r="F22" i="252" s="1"/>
  <c r="J22" i="251"/>
  <c r="P22" i="251" s="1"/>
  <c r="A26" i="194"/>
  <c r="A27" i="194" s="1"/>
  <c r="A28" i="194" s="1"/>
  <c r="A30" i="194" s="1"/>
  <c r="A33" i="194" s="1"/>
  <c r="A34" i="194" s="1"/>
  <c r="A24" i="194"/>
  <c r="A26" i="203"/>
  <c r="A27" i="203" s="1"/>
  <c r="A28" i="203" s="1"/>
  <c r="A30" i="203" s="1"/>
  <c r="A33" i="203" s="1"/>
  <c r="A34" i="203" s="1"/>
  <c r="A24" i="203"/>
  <c r="A26" i="198"/>
  <c r="A27" i="198" s="1"/>
  <c r="A28" i="198" s="1"/>
  <c r="A30" i="198" s="1"/>
  <c r="A33" i="198" s="1"/>
  <c r="A34" i="198" s="1"/>
  <c r="A24" i="198"/>
  <c r="A26" i="199"/>
  <c r="A27" i="199" s="1"/>
  <c r="A28" i="199" s="1"/>
  <c r="A30" i="199" s="1"/>
  <c r="A33" i="199" s="1"/>
  <c r="A34" i="199" s="1"/>
  <c r="A24" i="199"/>
  <c r="A26" i="204"/>
  <c r="A27" i="204" s="1"/>
  <c r="A28" i="204" s="1"/>
  <c r="A30" i="204" s="1"/>
  <c r="A33" i="204" s="1"/>
  <c r="A34" i="204" s="1"/>
  <c r="A24" i="204"/>
  <c r="A26" i="200"/>
  <c r="A27" i="200" s="1"/>
  <c r="A28" i="200" s="1"/>
  <c r="A30" i="200" s="1"/>
  <c r="A33" i="200" s="1"/>
  <c r="A34" i="200" s="1"/>
  <c r="A24" i="200"/>
  <c r="A26" i="196"/>
  <c r="A27" i="196" s="1"/>
  <c r="A28" i="196" s="1"/>
  <c r="A30" i="196" s="1"/>
  <c r="A33" i="196" s="1"/>
  <c r="A34" i="196" s="1"/>
  <c r="A24" i="196"/>
  <c r="A26" i="202"/>
  <c r="A27" i="202" s="1"/>
  <c r="A28" i="202" s="1"/>
  <c r="A30" i="202" s="1"/>
  <c r="A33" i="202" s="1"/>
  <c r="A34" i="202" s="1"/>
  <c r="A24" i="202"/>
  <c r="A26" i="197"/>
  <c r="A27" i="197" s="1"/>
  <c r="A28" i="197" s="1"/>
  <c r="A30" i="197" s="1"/>
  <c r="A33" i="197" s="1"/>
  <c r="A34" i="197" s="1"/>
  <c r="A24" i="197"/>
  <c r="A26" i="201"/>
  <c r="A27" i="201" s="1"/>
  <c r="A28" i="201" s="1"/>
  <c r="A30" i="201" s="1"/>
  <c r="A33" i="201" s="1"/>
  <c r="A34" i="201" s="1"/>
  <c r="A24" i="201"/>
  <c r="A26" i="193"/>
  <c r="A27" i="193" s="1"/>
  <c r="A28" i="193" s="1"/>
  <c r="A30" i="193" s="1"/>
  <c r="A33" i="193" s="1"/>
  <c r="A34" i="193" s="1"/>
  <c r="A24" i="193"/>
  <c r="A26" i="195"/>
  <c r="A27" i="195" s="1"/>
  <c r="A28" i="195" s="1"/>
  <c r="A30" i="195" s="1"/>
  <c r="A33" i="195" s="1"/>
  <c r="A34" i="195" s="1"/>
  <c r="A24" i="195"/>
  <c r="N19" i="202"/>
  <c r="N28" i="193"/>
  <c r="N14" i="195"/>
  <c r="N19" i="195" s="1"/>
  <c r="L39" i="193"/>
  <c r="N14" i="194"/>
  <c r="N19" i="194" s="1"/>
  <c r="N14" i="196"/>
  <c r="N19" i="196" s="1"/>
  <c r="N13" i="193"/>
  <c r="N19" i="193" s="1"/>
  <c r="L30" i="195"/>
  <c r="N28" i="195"/>
  <c r="N14" i="197"/>
  <c r="N19" i="197" s="1"/>
  <c r="L19" i="193"/>
  <c r="L30" i="196"/>
  <c r="N28" i="196"/>
  <c r="L19" i="197"/>
  <c r="N14" i="198"/>
  <c r="N18" i="198"/>
  <c r="N14" i="200"/>
  <c r="L28" i="199"/>
  <c r="L30" i="199" s="1"/>
  <c r="L39" i="199"/>
  <c r="N16" i="200"/>
  <c r="L28" i="194"/>
  <c r="L30" i="194" s="1"/>
  <c r="N17" i="198"/>
  <c r="N28" i="198"/>
  <c r="N19" i="199"/>
  <c r="L19" i="200"/>
  <c r="N13" i="200"/>
  <c r="N18" i="200"/>
  <c r="L19" i="198"/>
  <c r="N17" i="200"/>
  <c r="L28" i="198"/>
  <c r="L28" i="201"/>
  <c r="L30" i="201" s="1"/>
  <c r="N28" i="203"/>
  <c r="L28" i="203"/>
  <c r="L30" i="203" s="1"/>
  <c r="L39" i="204"/>
  <c r="L28" i="200"/>
  <c r="L28" i="202"/>
  <c r="L30" i="202" s="1"/>
  <c r="L39" i="202"/>
  <c r="N19" i="204"/>
  <c r="N17" i="201"/>
  <c r="N19" i="201" s="1"/>
  <c r="N17" i="203"/>
  <c r="N19" i="203" s="1"/>
  <c r="L30" i="204"/>
  <c r="O41" i="192"/>
  <c r="R41" i="192" s="1"/>
  <c r="O39" i="192"/>
  <c r="R39" i="192" s="1"/>
  <c r="O38" i="192"/>
  <c r="R38" i="192" s="1"/>
  <c r="O35" i="192"/>
  <c r="O34" i="192"/>
  <c r="O33" i="192"/>
  <c r="N36" i="192"/>
  <c r="M36" i="192"/>
  <c r="L36" i="192"/>
  <c r="K36" i="192"/>
  <c r="J36" i="192"/>
  <c r="I36" i="192"/>
  <c r="H36" i="192"/>
  <c r="G36" i="192"/>
  <c r="F36" i="192"/>
  <c r="E36" i="192"/>
  <c r="D36" i="192"/>
  <c r="O32" i="192"/>
  <c r="O31" i="192"/>
  <c r="O21" i="192"/>
  <c r="O20" i="192"/>
  <c r="O19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17" i="192"/>
  <c r="O14" i="192"/>
  <c r="O13" i="192"/>
  <c r="O12" i="192"/>
  <c r="M15" i="192"/>
  <c r="I15" i="192"/>
  <c r="E15" i="192"/>
  <c r="O11" i="192"/>
  <c r="A11" i="192"/>
  <c r="A12" i="192" s="1"/>
  <c r="A13" i="192" s="1"/>
  <c r="A14" i="192" s="1"/>
  <c r="A15" i="192" s="1"/>
  <c r="A17" i="192" s="1"/>
  <c r="A18" i="192" s="1"/>
  <c r="A19" i="192" s="1"/>
  <c r="A20" i="192" s="1"/>
  <c r="A21" i="192" s="1"/>
  <c r="A22" i="192" s="1"/>
  <c r="N15" i="192"/>
  <c r="L15" i="192"/>
  <c r="K15" i="192"/>
  <c r="J15" i="192"/>
  <c r="H15" i="192"/>
  <c r="G15" i="192"/>
  <c r="F15" i="192"/>
  <c r="D15" i="192"/>
  <c r="C15" i="192"/>
  <c r="S1048493" i="191"/>
  <c r="T6" i="191"/>
  <c r="R6" i="191"/>
  <c r="Q6" i="191"/>
  <c r="P6" i="191"/>
  <c r="O6" i="191"/>
  <c r="N6" i="191"/>
  <c r="M6" i="191"/>
  <c r="J6" i="191"/>
  <c r="I6" i="191"/>
  <c r="H6" i="191"/>
  <c r="G6" i="191"/>
  <c r="F6" i="191"/>
  <c r="T6" i="190"/>
  <c r="R6" i="190"/>
  <c r="Q6" i="190"/>
  <c r="P6" i="190"/>
  <c r="O6" i="190"/>
  <c r="N6" i="190"/>
  <c r="M6" i="190"/>
  <c r="J6" i="190"/>
  <c r="I6" i="190"/>
  <c r="H6" i="190"/>
  <c r="G6" i="190"/>
  <c r="F6" i="190"/>
  <c r="R22" i="252" l="1"/>
  <c r="F22" i="253" s="1"/>
  <c r="J22" i="252"/>
  <c r="P22" i="252" s="1"/>
  <c r="A39" i="192"/>
  <c r="A40" i="192" s="1"/>
  <c r="A41" i="192" s="1"/>
  <c r="AB21" i="205"/>
  <c r="A37" i="201"/>
  <c r="A38" i="201" s="1"/>
  <c r="A39" i="201" s="1"/>
  <c r="A35" i="201"/>
  <c r="A37" i="200"/>
  <c r="A38" i="200" s="1"/>
  <c r="A39" i="200" s="1"/>
  <c r="A35" i="200"/>
  <c r="A37" i="203"/>
  <c r="A38" i="203" s="1"/>
  <c r="A39" i="203" s="1"/>
  <c r="A35" i="203"/>
  <c r="A37" i="195"/>
  <c r="A38" i="195" s="1"/>
  <c r="A39" i="195" s="1"/>
  <c r="A35" i="195"/>
  <c r="A37" i="202"/>
  <c r="A38" i="202" s="1"/>
  <c r="A39" i="202" s="1"/>
  <c r="A35" i="202"/>
  <c r="A37" i="199"/>
  <c r="A38" i="199" s="1"/>
  <c r="A39" i="199" s="1"/>
  <c r="A35" i="199"/>
  <c r="A37" i="193"/>
  <c r="A38" i="193" s="1"/>
  <c r="A39" i="193" s="1"/>
  <c r="A35" i="193"/>
  <c r="A37" i="197"/>
  <c r="A38" i="197" s="1"/>
  <c r="A39" i="197" s="1"/>
  <c r="A35" i="197"/>
  <c r="A37" i="196"/>
  <c r="A38" i="196" s="1"/>
  <c r="A39" i="196" s="1"/>
  <c r="A35" i="196"/>
  <c r="A37" i="204"/>
  <c r="A38" i="204" s="1"/>
  <c r="A39" i="204" s="1"/>
  <c r="A35" i="204"/>
  <c r="A37" i="198"/>
  <c r="A38" i="198" s="1"/>
  <c r="A39" i="198" s="1"/>
  <c r="A35" i="198"/>
  <c r="A37" i="194"/>
  <c r="A38" i="194" s="1"/>
  <c r="A39" i="194" s="1"/>
  <c r="A35" i="194"/>
  <c r="L61" i="205"/>
  <c r="N28" i="200"/>
  <c r="L30" i="197"/>
  <c r="N28" i="202"/>
  <c r="N30" i="202" s="1"/>
  <c r="N28" i="197"/>
  <c r="N30" i="197" s="1"/>
  <c r="N28" i="204"/>
  <c r="N30" i="204" s="1"/>
  <c r="L30" i="193"/>
  <c r="N30" i="203"/>
  <c r="N28" i="201"/>
  <c r="N30" i="201" s="1"/>
  <c r="N19" i="200"/>
  <c r="L30" i="198"/>
  <c r="N19" i="198"/>
  <c r="N30" i="198" s="1"/>
  <c r="N28" i="199"/>
  <c r="N30" i="199" s="1"/>
  <c r="L30" i="200"/>
  <c r="N30" i="196"/>
  <c r="N30" i="193"/>
  <c r="N28" i="194"/>
  <c r="N30" i="194" s="1"/>
  <c r="N30" i="195"/>
  <c r="O36" i="192"/>
  <c r="O10" i="192"/>
  <c r="O15" i="192" s="1"/>
  <c r="O18" i="192"/>
  <c r="O22" i="192" s="1"/>
  <c r="R22" i="192" s="1"/>
  <c r="C21" i="170"/>
  <c r="O21" i="170" s="1"/>
  <c r="C18" i="170"/>
  <c r="J22" i="253" l="1"/>
  <c r="P22" i="253" s="1"/>
  <c r="R22" i="253"/>
  <c r="F22" i="254" s="1"/>
  <c r="AB22" i="205"/>
  <c r="AE21" i="205"/>
  <c r="L21" i="205" s="1"/>
  <c r="L71" i="205" s="1"/>
  <c r="R15" i="192"/>
  <c r="T13" i="192"/>
  <c r="T14" i="192" s="1"/>
  <c r="R36" i="192"/>
  <c r="T32" i="192"/>
  <c r="T33" i="192" s="1"/>
  <c r="U33" i="204"/>
  <c r="C22" i="170"/>
  <c r="O18" i="170"/>
  <c r="O22" i="170" s="1"/>
  <c r="N30" i="200"/>
  <c r="R22" i="254" l="1"/>
  <c r="F22" i="255" s="1"/>
  <c r="J22" i="254"/>
  <c r="P22" i="254" s="1"/>
  <c r="AB23" i="205"/>
  <c r="AE22" i="205"/>
  <c r="L22" i="205" s="1"/>
  <c r="L72" i="205" s="1"/>
  <c r="P39" i="172"/>
  <c r="N39" i="172"/>
  <c r="J39" i="172"/>
  <c r="P39" i="173"/>
  <c r="N39" i="173"/>
  <c r="J39" i="173"/>
  <c r="P39" i="174"/>
  <c r="N39" i="174"/>
  <c r="J39" i="174"/>
  <c r="P39" i="175"/>
  <c r="N39" i="175"/>
  <c r="J39" i="175"/>
  <c r="P39" i="176"/>
  <c r="N39" i="176"/>
  <c r="J39" i="176"/>
  <c r="P39" i="177"/>
  <c r="N39" i="177"/>
  <c r="J39" i="177"/>
  <c r="P39" i="178"/>
  <c r="N39" i="178"/>
  <c r="J39" i="178"/>
  <c r="P39" i="179"/>
  <c r="N39" i="179"/>
  <c r="J39" i="179"/>
  <c r="P39" i="180"/>
  <c r="N39" i="180"/>
  <c r="J39" i="180"/>
  <c r="P39" i="182"/>
  <c r="N39" i="182"/>
  <c r="J39" i="182"/>
  <c r="P39" i="181"/>
  <c r="N39" i="181"/>
  <c r="J39" i="181"/>
  <c r="L27" i="172"/>
  <c r="N27" i="172" s="1"/>
  <c r="L27" i="173"/>
  <c r="N27" i="173" s="1"/>
  <c r="L27" i="174"/>
  <c r="N27" i="174" s="1"/>
  <c r="L27" i="175"/>
  <c r="N27" i="175" s="1"/>
  <c r="L27" i="176"/>
  <c r="N27" i="176" s="1"/>
  <c r="L27" i="177"/>
  <c r="N27" i="177" s="1"/>
  <c r="L27" i="178"/>
  <c r="N27" i="178" s="1"/>
  <c r="L27" i="179"/>
  <c r="N27" i="179" s="1"/>
  <c r="L27" i="180"/>
  <c r="N27" i="180" s="1"/>
  <c r="L27" i="182"/>
  <c r="N27" i="182" s="1"/>
  <c r="L27" i="181"/>
  <c r="N27" i="181" s="1"/>
  <c r="L23" i="172"/>
  <c r="N23" i="172" s="1"/>
  <c r="L23" i="173"/>
  <c r="N23" i="173" s="1"/>
  <c r="L23" i="174"/>
  <c r="N23" i="174" s="1"/>
  <c r="L23" i="175"/>
  <c r="N23" i="175" s="1"/>
  <c r="L23" i="176"/>
  <c r="N23" i="176" s="1"/>
  <c r="L23" i="177"/>
  <c r="N23" i="177" s="1"/>
  <c r="L23" i="178"/>
  <c r="N23" i="178" s="1"/>
  <c r="L23" i="179"/>
  <c r="N23" i="179" s="1"/>
  <c r="L23" i="180"/>
  <c r="N23" i="180" s="1"/>
  <c r="L23" i="182"/>
  <c r="N23" i="182" s="1"/>
  <c r="L23" i="181"/>
  <c r="N23" i="181" s="1"/>
  <c r="P39" i="171"/>
  <c r="N39" i="171"/>
  <c r="J39" i="171"/>
  <c r="J27" i="171"/>
  <c r="H27" i="171"/>
  <c r="L27" i="171"/>
  <c r="N27" i="171" s="1"/>
  <c r="H23" i="171"/>
  <c r="J23" i="171" s="1"/>
  <c r="L23" i="171"/>
  <c r="N23" i="171" s="1"/>
  <c r="R22" i="255" l="1"/>
  <c r="F22" i="256" s="1"/>
  <c r="J22" i="255"/>
  <c r="P22" i="255" s="1"/>
  <c r="AB24" i="205"/>
  <c r="AE23" i="205"/>
  <c r="L23" i="205" s="1"/>
  <c r="R23" i="171"/>
  <c r="F23" i="172" s="1"/>
  <c r="R23" i="172" s="1"/>
  <c r="P27" i="171"/>
  <c r="R27" i="171"/>
  <c r="P23" i="171"/>
  <c r="N33" i="170"/>
  <c r="M33" i="170"/>
  <c r="L33" i="170"/>
  <c r="K33" i="170"/>
  <c r="J33" i="170"/>
  <c r="I33" i="170"/>
  <c r="H33" i="170"/>
  <c r="G33" i="170"/>
  <c r="F33" i="170"/>
  <c r="E33" i="170"/>
  <c r="D33" i="170"/>
  <c r="N35" i="170"/>
  <c r="L38" i="182" s="1"/>
  <c r="M35" i="170"/>
  <c r="L38" i="181" s="1"/>
  <c r="L35" i="170"/>
  <c r="L38" i="180" s="1"/>
  <c r="K35" i="170"/>
  <c r="L38" i="179" s="1"/>
  <c r="J35" i="170"/>
  <c r="I35" i="170"/>
  <c r="H35" i="170"/>
  <c r="G35" i="170"/>
  <c r="F35" i="170"/>
  <c r="L38" i="174" s="1"/>
  <c r="E35" i="170"/>
  <c r="L38" i="173" s="1"/>
  <c r="D35" i="170"/>
  <c r="L38" i="172" s="1"/>
  <c r="C35" i="170"/>
  <c r="L38" i="171" s="1"/>
  <c r="R38" i="171" s="1"/>
  <c r="F38" i="172" s="1"/>
  <c r="C33" i="170"/>
  <c r="N22" i="170"/>
  <c r="M22" i="170"/>
  <c r="L22" i="170"/>
  <c r="K22" i="170"/>
  <c r="J22" i="170"/>
  <c r="I22" i="170"/>
  <c r="H22" i="170"/>
  <c r="G22" i="170"/>
  <c r="F22" i="170"/>
  <c r="E22" i="170"/>
  <c r="D22" i="170"/>
  <c r="R22" i="256" l="1"/>
  <c r="F22" i="257" s="1"/>
  <c r="J22" i="256"/>
  <c r="P22" i="256" s="1"/>
  <c r="L73" i="205"/>
  <c r="AB25" i="205"/>
  <c r="AE24" i="205"/>
  <c r="L24" i="205" s="1"/>
  <c r="L74" i="205" s="1"/>
  <c r="R38" i="172"/>
  <c r="F38" i="173" s="1"/>
  <c r="J23" i="172"/>
  <c r="P23" i="172" s="1"/>
  <c r="F27" i="172"/>
  <c r="J27" i="172" s="1"/>
  <c r="P27" i="172" s="1"/>
  <c r="R38" i="173"/>
  <c r="F38" i="174" s="1"/>
  <c r="R38" i="174" s="1"/>
  <c r="F38" i="175" s="1"/>
  <c r="L38" i="176"/>
  <c r="L38" i="175"/>
  <c r="L38" i="177"/>
  <c r="L38" i="178"/>
  <c r="F23" i="173"/>
  <c r="O35" i="170"/>
  <c r="R22" i="257" l="1"/>
  <c r="F22" i="258" s="1"/>
  <c r="J22" i="257"/>
  <c r="P22" i="257" s="1"/>
  <c r="AE25" i="205"/>
  <c r="L25" i="205" s="1"/>
  <c r="L75" i="205" s="1"/>
  <c r="AB26" i="205"/>
  <c r="R27" i="172"/>
  <c r="F27" i="173" s="1"/>
  <c r="R27" i="173" s="1"/>
  <c r="F27" i="174" s="1"/>
  <c r="R38" i="175"/>
  <c r="F38" i="176" s="1"/>
  <c r="R38" i="176" s="1"/>
  <c r="F38" i="177" s="1"/>
  <c r="R38" i="177" s="1"/>
  <c r="F38" i="178" s="1"/>
  <c r="R38" i="178" s="1"/>
  <c r="F38" i="179" s="1"/>
  <c r="R38" i="179" s="1"/>
  <c r="F38" i="180" s="1"/>
  <c r="R38" i="180" s="1"/>
  <c r="F38" i="181" s="1"/>
  <c r="R38" i="181" s="1"/>
  <c r="F38" i="182" s="1"/>
  <c r="R38" i="182" s="1"/>
  <c r="F38" i="193" s="1"/>
  <c r="R38" i="193" s="1"/>
  <c r="F38" i="194" s="1"/>
  <c r="R38" i="194" s="1"/>
  <c r="F38" i="195" s="1"/>
  <c r="R38" i="195" s="1"/>
  <c r="F38" i="196" s="1"/>
  <c r="R38" i="196" s="1"/>
  <c r="F38" i="197" s="1"/>
  <c r="R38" i="197" s="1"/>
  <c r="F38" i="198" s="1"/>
  <c r="R38" i="198" s="1"/>
  <c r="R38" i="199" s="1"/>
  <c r="F38" i="200" s="1"/>
  <c r="R38" i="200" s="1"/>
  <c r="F38" i="201" s="1"/>
  <c r="R38" i="201" s="1"/>
  <c r="F38" i="202" s="1"/>
  <c r="R38" i="202" s="1"/>
  <c r="F38" i="203" s="1"/>
  <c r="R38" i="203" s="1"/>
  <c r="F38" i="204" s="1"/>
  <c r="R38" i="204" s="1"/>
  <c r="F38" i="221" s="1"/>
  <c r="R38" i="221" s="1"/>
  <c r="F38" i="222" s="1"/>
  <c r="R38" i="222" s="1"/>
  <c r="F38" i="223" s="1"/>
  <c r="R38" i="223" s="1"/>
  <c r="F38" i="224" s="1"/>
  <c r="R38" i="224" s="1"/>
  <c r="F38" i="225" s="1"/>
  <c r="R38" i="225" s="1"/>
  <c r="F38" i="226" s="1"/>
  <c r="R38" i="226" s="1"/>
  <c r="F38" i="227" s="1"/>
  <c r="R38" i="227" s="1"/>
  <c r="F38" i="228" s="1"/>
  <c r="R38" i="228" s="1"/>
  <c r="F38" i="229" s="1"/>
  <c r="R38" i="229" s="1"/>
  <c r="F38" i="230" s="1"/>
  <c r="R38" i="230" s="1"/>
  <c r="F38" i="231" s="1"/>
  <c r="R38" i="231" s="1"/>
  <c r="F38" i="232" s="1"/>
  <c r="R38" i="232" s="1"/>
  <c r="F35" i="249" s="1"/>
  <c r="R35" i="249" s="1"/>
  <c r="F35" i="250" s="1"/>
  <c r="R35" i="250" s="1"/>
  <c r="F35" i="251" s="1"/>
  <c r="R35" i="251" s="1"/>
  <c r="F35" i="252" s="1"/>
  <c r="R35" i="252" s="1"/>
  <c r="F35" i="253" s="1"/>
  <c r="R35" i="253" s="1"/>
  <c r="F35" i="254" s="1"/>
  <c r="R35" i="254" s="1"/>
  <c r="F35" i="255" s="1"/>
  <c r="R35" i="255" s="1"/>
  <c r="F35" i="256" s="1"/>
  <c r="R35" i="256" s="1"/>
  <c r="F35" i="257" s="1"/>
  <c r="R35" i="257" s="1"/>
  <c r="F35" i="258" s="1"/>
  <c r="R35" i="258" s="1"/>
  <c r="F35" i="259" s="1"/>
  <c r="R35" i="259" s="1"/>
  <c r="F35" i="260" s="1"/>
  <c r="R35" i="260" s="1"/>
  <c r="J23" i="173"/>
  <c r="P23" i="173" s="1"/>
  <c r="R23" i="173"/>
  <c r="R22" i="258" l="1"/>
  <c r="F22" i="259" s="1"/>
  <c r="J22" i="258"/>
  <c r="P22" i="258" s="1"/>
  <c r="AB28" i="205"/>
  <c r="AE26" i="205"/>
  <c r="L26" i="205" s="1"/>
  <c r="J27" i="173"/>
  <c r="P27" i="173" s="1"/>
  <c r="J27" i="174"/>
  <c r="P27" i="174" s="1"/>
  <c r="R27" i="174"/>
  <c r="F27" i="175" s="1"/>
  <c r="F23" i="174"/>
  <c r="R22" i="259" l="1"/>
  <c r="F22" i="260" s="1"/>
  <c r="J22" i="259"/>
  <c r="P22" i="259" s="1"/>
  <c r="L76" i="205"/>
  <c r="AB29" i="205"/>
  <c r="AE28" i="205"/>
  <c r="L28" i="205" s="1"/>
  <c r="L78" i="205" s="1"/>
  <c r="J27" i="175"/>
  <c r="P27" i="175" s="1"/>
  <c r="R27" i="175"/>
  <c r="F27" i="176" s="1"/>
  <c r="R23" i="174"/>
  <c r="J23" i="174"/>
  <c r="P23" i="174" s="1"/>
  <c r="J22" i="260" l="1"/>
  <c r="P22" i="260" s="1"/>
  <c r="R22" i="260"/>
  <c r="AB30" i="205"/>
  <c r="AE29" i="205"/>
  <c r="L29" i="205" s="1"/>
  <c r="L79" i="205" s="1"/>
  <c r="R27" i="176"/>
  <c r="F27" i="177" s="1"/>
  <c r="J27" i="176"/>
  <c r="P27" i="176" s="1"/>
  <c r="F23" i="175"/>
  <c r="H61" i="187"/>
  <c r="H60" i="187"/>
  <c r="H59" i="187"/>
  <c r="L84" i="187"/>
  <c r="M84" i="187" s="1"/>
  <c r="Q84" i="187" s="1"/>
  <c r="L83" i="187"/>
  <c r="M83" i="187" s="1"/>
  <c r="Q83" i="187" s="1"/>
  <c r="L82" i="187"/>
  <c r="M82" i="187" s="1"/>
  <c r="Q82" i="187" s="1"/>
  <c r="L81" i="187"/>
  <c r="M81" i="187" s="1"/>
  <c r="Q81" i="187" s="1"/>
  <c r="L80" i="187"/>
  <c r="M80" i="187" s="1"/>
  <c r="Q80" i="187" s="1"/>
  <c r="L79" i="187"/>
  <c r="M79" i="187" s="1"/>
  <c r="Q79" i="187" s="1"/>
  <c r="L78" i="187"/>
  <c r="M78" i="187" s="1"/>
  <c r="Q78" i="187" s="1"/>
  <c r="L77" i="187"/>
  <c r="M77" i="187" s="1"/>
  <c r="Q77" i="187" s="1"/>
  <c r="L76" i="187"/>
  <c r="M76" i="187" s="1"/>
  <c r="Q76" i="187" s="1"/>
  <c r="L75" i="187"/>
  <c r="M75" i="187" s="1"/>
  <c r="Q75" i="187" s="1"/>
  <c r="L74" i="187"/>
  <c r="M74" i="187" s="1"/>
  <c r="Q74" i="187" s="1"/>
  <c r="L73" i="187"/>
  <c r="M73" i="187" s="1"/>
  <c r="Q73" i="187" s="1"/>
  <c r="L72" i="187"/>
  <c r="M72" i="187" s="1"/>
  <c r="Q72" i="187" s="1"/>
  <c r="L71" i="187"/>
  <c r="M71" i="187" s="1"/>
  <c r="Q71" i="187" s="1"/>
  <c r="L70" i="187"/>
  <c r="M70" i="187" s="1"/>
  <c r="Q70" i="187" s="1"/>
  <c r="A58" i="187"/>
  <c r="A59" i="187" s="1"/>
  <c r="A60" i="187" s="1"/>
  <c r="A61" i="187" s="1"/>
  <c r="A62" i="187" s="1"/>
  <c r="A63" i="187" s="1"/>
  <c r="A64" i="187" s="1"/>
  <c r="A65" i="187" s="1"/>
  <c r="A66" i="187" s="1"/>
  <c r="A67" i="187" s="1"/>
  <c r="A68" i="187" s="1"/>
  <c r="A69" i="187" s="1"/>
  <c r="A70" i="187" s="1"/>
  <c r="A71" i="187" s="1"/>
  <c r="A72" i="187" s="1"/>
  <c r="A73" i="187" s="1"/>
  <c r="A74" i="187" s="1"/>
  <c r="A75" i="187" s="1"/>
  <c r="A76" i="187" s="1"/>
  <c r="A77" i="187" s="1"/>
  <c r="A78" i="187" s="1"/>
  <c r="A79" i="187" s="1"/>
  <c r="A80" i="187" s="1"/>
  <c r="A81" i="187" s="1"/>
  <c r="A82" i="187" s="1"/>
  <c r="A83" i="187" s="1"/>
  <c r="A84" i="187" s="1"/>
  <c r="A85" i="187" s="1"/>
  <c r="Q43" i="187"/>
  <c r="P43" i="187"/>
  <c r="Q42" i="187"/>
  <c r="P42" i="187"/>
  <c r="Q41" i="187"/>
  <c r="P41" i="187"/>
  <c r="Q40" i="187"/>
  <c r="P40" i="187"/>
  <c r="Q39" i="187"/>
  <c r="P39" i="187"/>
  <c r="Q38" i="187"/>
  <c r="P38" i="187"/>
  <c r="Q37" i="187"/>
  <c r="P37" i="187"/>
  <c r="Q36" i="187"/>
  <c r="P36" i="187"/>
  <c r="Q35" i="187"/>
  <c r="P35" i="187"/>
  <c r="Q34" i="187"/>
  <c r="P34" i="187"/>
  <c r="Q33" i="187"/>
  <c r="P33" i="187"/>
  <c r="Q32" i="187"/>
  <c r="P32" i="187"/>
  <c r="Q31" i="187"/>
  <c r="P31" i="187"/>
  <c r="Q30" i="187"/>
  <c r="P30" i="187"/>
  <c r="P29" i="187"/>
  <c r="A17" i="187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AB31" i="205" l="1"/>
  <c r="AE30" i="205"/>
  <c r="L30" i="205" s="1"/>
  <c r="L80" i="205" s="1"/>
  <c r="J27" i="177"/>
  <c r="P27" i="177" s="1"/>
  <c r="R27" i="177"/>
  <c r="F27" i="178" s="1"/>
  <c r="J23" i="175"/>
  <c r="P23" i="175" s="1"/>
  <c r="R23" i="175"/>
  <c r="P44" i="187"/>
  <c r="H53" i="187"/>
  <c r="I19" i="187"/>
  <c r="I17" i="187"/>
  <c r="H58" i="187"/>
  <c r="T16" i="187"/>
  <c r="I18" i="187"/>
  <c r="AB32" i="205" l="1"/>
  <c r="AE31" i="205"/>
  <c r="L31" i="205" s="1"/>
  <c r="L81" i="205" s="1"/>
  <c r="R27" i="178"/>
  <c r="F27" i="179" s="1"/>
  <c r="J27" i="178"/>
  <c r="P27" i="178" s="1"/>
  <c r="F23" i="176"/>
  <c r="I61" i="187"/>
  <c r="I60" i="187"/>
  <c r="I59" i="187"/>
  <c r="I20" i="187"/>
  <c r="AB33" i="205" l="1"/>
  <c r="AE33" i="205" s="1"/>
  <c r="L33" i="205" s="1"/>
  <c r="AE32" i="205"/>
  <c r="L32" i="205" s="1"/>
  <c r="L82" i="205" s="1"/>
  <c r="J27" i="179"/>
  <c r="P27" i="179" s="1"/>
  <c r="R27" i="179"/>
  <c r="F27" i="180" s="1"/>
  <c r="J23" i="176"/>
  <c r="P23" i="176" s="1"/>
  <c r="R23" i="176"/>
  <c r="I58" i="187"/>
  <c r="L83" i="205" l="1"/>
  <c r="L99" i="205" s="1"/>
  <c r="L49" i="205"/>
  <c r="J27" i="180"/>
  <c r="P27" i="180" s="1"/>
  <c r="R27" i="180"/>
  <c r="F27" i="181" s="1"/>
  <c r="F23" i="177"/>
  <c r="J27" i="181" l="1"/>
  <c r="P27" i="181" s="1"/>
  <c r="R27" i="181"/>
  <c r="F27" i="182" s="1"/>
  <c r="J23" i="177"/>
  <c r="P23" i="177" s="1"/>
  <c r="R23" i="177"/>
  <c r="R27" i="182" l="1"/>
  <c r="F27" i="193" s="1"/>
  <c r="J27" i="182"/>
  <c r="P27" i="182" s="1"/>
  <c r="F23" i="178"/>
  <c r="J27" i="193" l="1"/>
  <c r="P27" i="193" s="1"/>
  <c r="R27" i="193"/>
  <c r="F27" i="194" s="1"/>
  <c r="J23" i="178"/>
  <c r="P23" i="178" s="1"/>
  <c r="R23" i="178"/>
  <c r="J27" i="194" l="1"/>
  <c r="P27" i="194" s="1"/>
  <c r="R27" i="194"/>
  <c r="F27" i="195" s="1"/>
  <c r="F23" i="179"/>
  <c r="J27" i="195" l="1"/>
  <c r="P27" i="195" s="1"/>
  <c r="R27" i="195"/>
  <c r="F27" i="196" s="1"/>
  <c r="J23" i="179"/>
  <c r="P23" i="179" s="1"/>
  <c r="R23" i="179"/>
  <c r="R27" i="196" l="1"/>
  <c r="F27" i="197" s="1"/>
  <c r="J27" i="196"/>
  <c r="P27" i="196" s="1"/>
  <c r="F23" i="180"/>
  <c r="R27" i="197" l="1"/>
  <c r="F27" i="198" s="1"/>
  <c r="J27" i="197"/>
  <c r="P27" i="197" s="1"/>
  <c r="R23" i="180"/>
  <c r="J23" i="180"/>
  <c r="P23" i="180" s="1"/>
  <c r="R27" i="198" l="1"/>
  <c r="J27" i="198"/>
  <c r="P27" i="198" s="1"/>
  <c r="F23" i="181"/>
  <c r="R27" i="199" l="1"/>
  <c r="F27" i="200" s="1"/>
  <c r="J27" i="199"/>
  <c r="P27" i="199" s="1"/>
  <c r="J23" i="181"/>
  <c r="P23" i="181" s="1"/>
  <c r="R23" i="181"/>
  <c r="E26" i="168"/>
  <c r="G38" i="170"/>
  <c r="K38" i="170"/>
  <c r="D38" i="170"/>
  <c r="E38" i="170"/>
  <c r="F38" i="170"/>
  <c r="H38" i="170"/>
  <c r="I38" i="170"/>
  <c r="J38" i="170"/>
  <c r="L38" i="170"/>
  <c r="M38" i="170"/>
  <c r="N38" i="170"/>
  <c r="I34" i="185"/>
  <c r="F26" i="168" s="1"/>
  <c r="J34" i="185"/>
  <c r="G26" i="168" s="1"/>
  <c r="K34" i="185"/>
  <c r="H26" i="168" s="1"/>
  <c r="L34" i="185"/>
  <c r="I26" i="168" s="1"/>
  <c r="M34" i="185"/>
  <c r="J26" i="168" s="1"/>
  <c r="N34" i="185"/>
  <c r="K26" i="168" s="1"/>
  <c r="O34" i="185"/>
  <c r="L26" i="168" s="1"/>
  <c r="P34" i="185"/>
  <c r="M26" i="168" s="1"/>
  <c r="Q34" i="185"/>
  <c r="N26" i="168" s="1"/>
  <c r="R34" i="185"/>
  <c r="O26" i="168" s="1"/>
  <c r="S34" i="185"/>
  <c r="P26" i="168" s="1"/>
  <c r="H34" i="185"/>
  <c r="C39" i="170" s="1"/>
  <c r="C38" i="170"/>
  <c r="J27" i="200" l="1"/>
  <c r="P27" i="200" s="1"/>
  <c r="R27" i="200"/>
  <c r="F27" i="201" s="1"/>
  <c r="I39" i="170"/>
  <c r="F23" i="182"/>
  <c r="N39" i="170"/>
  <c r="H39" i="170"/>
  <c r="M39" i="170"/>
  <c r="G39" i="170"/>
  <c r="L39" i="170"/>
  <c r="F39" i="170"/>
  <c r="K39" i="170"/>
  <c r="E39" i="170"/>
  <c r="J39" i="170"/>
  <c r="D39" i="170"/>
  <c r="D14" i="170"/>
  <c r="L18" i="172" s="1"/>
  <c r="E14" i="170"/>
  <c r="L18" i="173" s="1"/>
  <c r="F14" i="170"/>
  <c r="L18" i="174" s="1"/>
  <c r="G14" i="170"/>
  <c r="L18" i="175" s="1"/>
  <c r="H14" i="170"/>
  <c r="L18" i="176" s="1"/>
  <c r="I14" i="170"/>
  <c r="L18" i="177" s="1"/>
  <c r="J14" i="170"/>
  <c r="L18" i="178" s="1"/>
  <c r="K14" i="170"/>
  <c r="L18" i="179" s="1"/>
  <c r="L14" i="170"/>
  <c r="L18" i="180" s="1"/>
  <c r="M14" i="170"/>
  <c r="L18" i="181" s="1"/>
  <c r="N14" i="170"/>
  <c r="L18" i="182" s="1"/>
  <c r="C14" i="170"/>
  <c r="V3" i="184"/>
  <c r="D10" i="170"/>
  <c r="E10" i="170"/>
  <c r="F10" i="170"/>
  <c r="G10" i="170"/>
  <c r="H10" i="170"/>
  <c r="I10" i="170"/>
  <c r="J10" i="170"/>
  <c r="K10" i="170"/>
  <c r="L10" i="170"/>
  <c r="M10" i="170"/>
  <c r="N10" i="170"/>
  <c r="C10" i="170"/>
  <c r="R27" i="184"/>
  <c r="R26" i="184"/>
  <c r="R43" i="184"/>
  <c r="F45" i="184"/>
  <c r="G45" i="184"/>
  <c r="H45" i="184"/>
  <c r="I45" i="184"/>
  <c r="J45" i="184"/>
  <c r="K45" i="184"/>
  <c r="L45" i="184"/>
  <c r="M45" i="184"/>
  <c r="N45" i="184"/>
  <c r="O45" i="184"/>
  <c r="P45" i="184"/>
  <c r="Q45" i="184"/>
  <c r="L18" i="171" l="1"/>
  <c r="R68" i="184"/>
  <c r="R27" i="201"/>
  <c r="F27" i="202" s="1"/>
  <c r="J27" i="201"/>
  <c r="P27" i="201" s="1"/>
  <c r="R23" i="182"/>
  <c r="F23" i="193" s="1"/>
  <c r="J23" i="182"/>
  <c r="P23" i="182" s="1"/>
  <c r="O39" i="170"/>
  <c r="R23" i="193" l="1"/>
  <c r="J23" i="193"/>
  <c r="J27" i="202"/>
  <c r="P27" i="202" s="1"/>
  <c r="R27" i="202"/>
  <c r="F27" i="203" s="1"/>
  <c r="H65" i="187"/>
  <c r="I65" i="187" s="1"/>
  <c r="I24" i="187"/>
  <c r="A14" i="182"/>
  <c r="H14" i="182"/>
  <c r="A14" i="181"/>
  <c r="H14" i="181"/>
  <c r="A14" i="180"/>
  <c r="H14" i="180"/>
  <c r="A14" i="179"/>
  <c r="H14" i="179"/>
  <c r="A14" i="178"/>
  <c r="H14" i="178"/>
  <c r="H14" i="177"/>
  <c r="A14" i="177"/>
  <c r="A14" i="176"/>
  <c r="H14" i="176"/>
  <c r="R14" i="175"/>
  <c r="P23" i="193" l="1"/>
  <c r="R27" i="203"/>
  <c r="F27" i="204" s="1"/>
  <c r="J27" i="203"/>
  <c r="P27" i="203" s="1"/>
  <c r="F23" i="194"/>
  <c r="N14" i="182"/>
  <c r="H63" i="187"/>
  <c r="I63" i="187" s="1"/>
  <c r="I22" i="187"/>
  <c r="H68" i="187"/>
  <c r="I68" i="187" s="1"/>
  <c r="I27" i="187"/>
  <c r="H66" i="187"/>
  <c r="I66" i="187" s="1"/>
  <c r="I25" i="187"/>
  <c r="H69" i="187"/>
  <c r="I69" i="187" s="1"/>
  <c r="I28" i="187"/>
  <c r="H67" i="187"/>
  <c r="I67" i="187" s="1"/>
  <c r="F14" i="176"/>
  <c r="J14" i="176" s="1"/>
  <c r="H64" i="187"/>
  <c r="I64" i="187" s="1"/>
  <c r="I23" i="187"/>
  <c r="N14" i="179"/>
  <c r="N14" i="181"/>
  <c r="N14" i="180"/>
  <c r="N14" i="178"/>
  <c r="N14" i="177"/>
  <c r="N14" i="176"/>
  <c r="J23" i="194" l="1"/>
  <c r="R23" i="194"/>
  <c r="J27" i="204"/>
  <c r="P27" i="204" s="1"/>
  <c r="R27" i="204"/>
  <c r="F27" i="221" s="1"/>
  <c r="R14" i="176"/>
  <c r="F14" i="177" s="1"/>
  <c r="R14" i="177" s="1"/>
  <c r="F14" i="178" s="1"/>
  <c r="J14" i="178" s="1"/>
  <c r="P14" i="178" s="1"/>
  <c r="H62" i="187"/>
  <c r="I21" i="187"/>
  <c r="H44" i="187"/>
  <c r="P14" i="176"/>
  <c r="A14" i="175"/>
  <c r="A17" i="175" s="1"/>
  <c r="H14" i="175"/>
  <c r="N14" i="175" s="1"/>
  <c r="A14" i="174"/>
  <c r="R14" i="174"/>
  <c r="H14" i="174"/>
  <c r="N14" i="174" s="1"/>
  <c r="A14" i="173"/>
  <c r="A17" i="173" s="1"/>
  <c r="A18" i="173" s="1"/>
  <c r="R14" i="173"/>
  <c r="H14" i="173"/>
  <c r="N14" i="173" s="1"/>
  <c r="A14" i="172"/>
  <c r="A17" i="172" s="1"/>
  <c r="A18" i="172" s="1"/>
  <c r="R14" i="172"/>
  <c r="H14" i="172"/>
  <c r="N14" i="172" s="1"/>
  <c r="A14" i="171"/>
  <c r="A17" i="171" s="1"/>
  <c r="A18" i="171" s="1"/>
  <c r="A19" i="171" s="1"/>
  <c r="H14" i="171"/>
  <c r="R27" i="221" l="1"/>
  <c r="F27" i="222" s="1"/>
  <c r="J27" i="221"/>
  <c r="P27" i="221" s="1"/>
  <c r="J14" i="177"/>
  <c r="P14" i="177" s="1"/>
  <c r="F23" i="195"/>
  <c r="P23" i="194"/>
  <c r="R14" i="178"/>
  <c r="F14" i="179" s="1"/>
  <c r="J14" i="179" s="1"/>
  <c r="P14" i="179" s="1"/>
  <c r="K24" i="187"/>
  <c r="L25" i="168"/>
  <c r="K22" i="187"/>
  <c r="K63" i="187" s="1"/>
  <c r="J25" i="168"/>
  <c r="K23" i="187"/>
  <c r="K64" i="187" s="1"/>
  <c r="K25" i="168"/>
  <c r="H85" i="187"/>
  <c r="I62" i="187"/>
  <c r="I44" i="187"/>
  <c r="J14" i="175"/>
  <c r="P14" i="175" s="1"/>
  <c r="J14" i="174"/>
  <c r="P14" i="174" s="1"/>
  <c r="J14" i="173"/>
  <c r="P14" i="173" s="1"/>
  <c r="J14" i="172"/>
  <c r="P14" i="172" s="1"/>
  <c r="R14" i="171"/>
  <c r="N14" i="171"/>
  <c r="J14" i="171"/>
  <c r="P14" i="171" s="1"/>
  <c r="E13" i="168" s="1"/>
  <c r="F13" i="168" s="1"/>
  <c r="J27" i="222" l="1"/>
  <c r="P27" i="222" s="1"/>
  <c r="R27" i="222"/>
  <c r="F27" i="223" s="1"/>
  <c r="G13" i="168"/>
  <c r="H13" i="168" s="1"/>
  <c r="I13" i="168" s="1"/>
  <c r="J13" i="168" s="1"/>
  <c r="K13" i="168" s="1"/>
  <c r="L13" i="168" s="1"/>
  <c r="M13" i="168" s="1"/>
  <c r="R14" i="179"/>
  <c r="F14" i="180" s="1"/>
  <c r="K65" i="187"/>
  <c r="J23" i="195"/>
  <c r="R23" i="195"/>
  <c r="K21" i="187"/>
  <c r="K62" i="187" s="1"/>
  <c r="I25" i="168"/>
  <c r="F25" i="168"/>
  <c r="K18" i="187"/>
  <c r="K25" i="187"/>
  <c r="K66" i="187" s="1"/>
  <c r="M25" i="168"/>
  <c r="E25" i="168"/>
  <c r="K17" i="187"/>
  <c r="G25" i="168"/>
  <c r="K19" i="187"/>
  <c r="H25" i="168"/>
  <c r="K20" i="187"/>
  <c r="I85" i="187"/>
  <c r="R14" i="180"/>
  <c r="F14" i="181" s="1"/>
  <c r="J14" i="180"/>
  <c r="P14" i="180" s="1"/>
  <c r="R16" i="184"/>
  <c r="R17" i="184"/>
  <c r="R18" i="184"/>
  <c r="R19" i="184"/>
  <c r="J27" i="223" l="1"/>
  <c r="P27" i="223" s="1"/>
  <c r="R27" i="223"/>
  <c r="F27" i="224" s="1"/>
  <c r="N13" i="168"/>
  <c r="F23" i="196"/>
  <c r="P23" i="195"/>
  <c r="K26" i="187"/>
  <c r="N25" i="168"/>
  <c r="K59" i="187"/>
  <c r="K60" i="187"/>
  <c r="K61" i="187"/>
  <c r="K58" i="187"/>
  <c r="R14" i="181"/>
  <c r="F14" i="182" s="1"/>
  <c r="J14" i="181"/>
  <c r="P14" i="181" s="1"/>
  <c r="T36" i="185"/>
  <c r="T37" i="185"/>
  <c r="J27" i="224" l="1"/>
  <c r="P27" i="224" s="1"/>
  <c r="R27" i="224"/>
  <c r="F27" i="225" s="1"/>
  <c r="O13" i="168"/>
  <c r="R23" i="196"/>
  <c r="J23" i="196"/>
  <c r="K67" i="187"/>
  <c r="K27" i="187"/>
  <c r="K68" i="187" s="1"/>
  <c r="O25" i="168"/>
  <c r="J14" i="182"/>
  <c r="P14" i="182" s="1"/>
  <c r="R14" i="182"/>
  <c r="R15" i="184"/>
  <c r="R22" i="184"/>
  <c r="R23" i="184"/>
  <c r="R24" i="184"/>
  <c r="R27" i="225" l="1"/>
  <c r="F27" i="226" s="1"/>
  <c r="J27" i="225"/>
  <c r="P27" i="225" s="1"/>
  <c r="P13" i="168"/>
  <c r="P23" i="196"/>
  <c r="F23" i="197"/>
  <c r="F14" i="193"/>
  <c r="H11" i="206"/>
  <c r="H17" i="206" s="1"/>
  <c r="J17" i="206" s="1"/>
  <c r="K28" i="187"/>
  <c r="K69" i="187" s="1"/>
  <c r="P25" i="168"/>
  <c r="R14" i="193" l="1"/>
  <c r="R27" i="226"/>
  <c r="F27" i="227" s="1"/>
  <c r="J27" i="226"/>
  <c r="P27" i="226" s="1"/>
  <c r="F14" i="194"/>
  <c r="J14" i="194" s="1"/>
  <c r="P14" i="194" s="1"/>
  <c r="T14" i="193"/>
  <c r="T18" i="193" s="1"/>
  <c r="J14" i="193"/>
  <c r="P14" i="193" s="1"/>
  <c r="P43" i="193" s="1"/>
  <c r="J23" i="197"/>
  <c r="R23" i="197"/>
  <c r="K44" i="187"/>
  <c r="Q25" i="168"/>
  <c r="K85" i="187"/>
  <c r="H61" i="128"/>
  <c r="E11" i="114" s="1"/>
  <c r="I61" i="128"/>
  <c r="F11" i="114" s="1"/>
  <c r="J61" i="128"/>
  <c r="G11" i="114" s="1"/>
  <c r="K61" i="128"/>
  <c r="H11" i="114" s="1"/>
  <c r="L61" i="128"/>
  <c r="I11" i="114" s="1"/>
  <c r="M61" i="128"/>
  <c r="J11" i="114" s="1"/>
  <c r="N61" i="128"/>
  <c r="K11" i="114" s="1"/>
  <c r="O61" i="128"/>
  <c r="L11" i="114" s="1"/>
  <c r="P61" i="128"/>
  <c r="M11" i="114" s="1"/>
  <c r="Q61" i="128"/>
  <c r="N11" i="114" s="1"/>
  <c r="G61" i="128"/>
  <c r="D11" i="114" s="1"/>
  <c r="H50" i="165"/>
  <c r="E11" i="149" s="1"/>
  <c r="I50" i="165"/>
  <c r="F11" i="149" s="1"/>
  <c r="J50" i="165"/>
  <c r="G11" i="149" s="1"/>
  <c r="K50" i="165"/>
  <c r="H11" i="149" s="1"/>
  <c r="L50" i="165"/>
  <c r="I11" i="149" s="1"/>
  <c r="M50" i="165"/>
  <c r="J11" i="149" s="1"/>
  <c r="N50" i="165"/>
  <c r="K11" i="149" s="1"/>
  <c r="O50" i="165"/>
  <c r="L11" i="149" s="1"/>
  <c r="P50" i="165"/>
  <c r="M11" i="149" s="1"/>
  <c r="Q50" i="165"/>
  <c r="N11" i="149" s="1"/>
  <c r="G50" i="165"/>
  <c r="D11" i="149" s="1"/>
  <c r="F25" i="191" l="1"/>
  <c r="P43" i="194"/>
  <c r="E25" i="191"/>
  <c r="J27" i="227"/>
  <c r="P27" i="227" s="1"/>
  <c r="R27" i="227"/>
  <c r="F27" i="228" s="1"/>
  <c r="R14" i="194"/>
  <c r="F14" i="195" s="1"/>
  <c r="J14" i="195" s="1"/>
  <c r="P14" i="195" s="1"/>
  <c r="L17" i="206"/>
  <c r="L59" i="206" s="1"/>
  <c r="F23" i="198"/>
  <c r="P23" i="197"/>
  <c r="L18" i="206"/>
  <c r="L60" i="206" s="1"/>
  <c r="Q23" i="110"/>
  <c r="E38" i="191" l="1"/>
  <c r="T14" i="194"/>
  <c r="G25" i="191"/>
  <c r="P43" i="195"/>
  <c r="R27" i="228"/>
  <c r="F27" i="229" s="1"/>
  <c r="J27" i="228"/>
  <c r="P27" i="228" s="1"/>
  <c r="R14" i="195"/>
  <c r="T14" i="195" s="1"/>
  <c r="T18" i="195" s="1"/>
  <c r="T18" i="194"/>
  <c r="M17" i="206"/>
  <c r="N17" i="206" s="1"/>
  <c r="F29" i="191"/>
  <c r="E29" i="191"/>
  <c r="J23" i="198"/>
  <c r="R23" i="198"/>
  <c r="L19" i="206"/>
  <c r="L61" i="206" s="1"/>
  <c r="D40" i="170"/>
  <c r="E40" i="170"/>
  <c r="F40" i="170"/>
  <c r="G40" i="170"/>
  <c r="H40" i="170"/>
  <c r="I40" i="170"/>
  <c r="J40" i="170"/>
  <c r="K40" i="170"/>
  <c r="L40" i="170"/>
  <c r="M40" i="170"/>
  <c r="N40" i="170"/>
  <c r="D41" i="170"/>
  <c r="E41" i="170"/>
  <c r="F41" i="170"/>
  <c r="G41" i="170"/>
  <c r="H41" i="170"/>
  <c r="I41" i="170"/>
  <c r="J41" i="170"/>
  <c r="K41" i="170"/>
  <c r="L41" i="170"/>
  <c r="M41" i="170"/>
  <c r="N41" i="170"/>
  <c r="C41" i="170"/>
  <c r="C40" i="170"/>
  <c r="D25" i="149"/>
  <c r="E25" i="149"/>
  <c r="F25" i="149"/>
  <c r="G25" i="149"/>
  <c r="H25" i="149"/>
  <c r="I25" i="149"/>
  <c r="J25" i="149"/>
  <c r="K25" i="149"/>
  <c r="L25" i="149"/>
  <c r="M25" i="149"/>
  <c r="N25" i="149"/>
  <c r="C25" i="149"/>
  <c r="G47" i="191" l="1"/>
  <c r="G51" i="191" s="1"/>
  <c r="F47" i="191"/>
  <c r="F51" i="191" s="1"/>
  <c r="F38" i="191"/>
  <c r="J27" i="229"/>
  <c r="P27" i="229" s="1"/>
  <c r="R27" i="229"/>
  <c r="F27" i="230" s="1"/>
  <c r="F14" i="196"/>
  <c r="J14" i="196" s="1"/>
  <c r="P14" i="196" s="1"/>
  <c r="G29" i="191"/>
  <c r="P23" i="198"/>
  <c r="F32" i="170"/>
  <c r="G32" i="170"/>
  <c r="H32" i="170"/>
  <c r="I32" i="170"/>
  <c r="J32" i="170"/>
  <c r="K32" i="170"/>
  <c r="L32" i="170"/>
  <c r="M32" i="170"/>
  <c r="N32" i="170"/>
  <c r="C32" i="170"/>
  <c r="D32" i="170"/>
  <c r="E32" i="170"/>
  <c r="G38" i="191" l="1"/>
  <c r="H25" i="191"/>
  <c r="P43" i="196"/>
  <c r="H47" i="191"/>
  <c r="H51" i="191" s="1"/>
  <c r="R27" i="230"/>
  <c r="F27" i="231" s="1"/>
  <c r="J27" i="230"/>
  <c r="P27" i="230" s="1"/>
  <c r="L20" i="206"/>
  <c r="L62" i="206" s="1"/>
  <c r="R14" i="196"/>
  <c r="F14" i="197" s="1"/>
  <c r="J14" i="197" s="1"/>
  <c r="P14" i="197" s="1"/>
  <c r="H29" i="191"/>
  <c r="J23" i="199"/>
  <c r="R23" i="199"/>
  <c r="L34" i="173"/>
  <c r="J19" i="187" s="1"/>
  <c r="E36" i="170"/>
  <c r="L34" i="181"/>
  <c r="J27" i="187" s="1"/>
  <c r="M36" i="170"/>
  <c r="L34" i="177"/>
  <c r="J23" i="187" s="1"/>
  <c r="I36" i="170"/>
  <c r="L34" i="172"/>
  <c r="J18" i="187" s="1"/>
  <c r="D36" i="170"/>
  <c r="L34" i="180"/>
  <c r="J26" i="187" s="1"/>
  <c r="L36" i="170"/>
  <c r="L34" i="176"/>
  <c r="J22" i="187" s="1"/>
  <c r="H36" i="170"/>
  <c r="L34" i="171"/>
  <c r="C36" i="170"/>
  <c r="L34" i="179"/>
  <c r="J25" i="187" s="1"/>
  <c r="K36" i="170"/>
  <c r="L34" i="175"/>
  <c r="J21" i="187" s="1"/>
  <c r="G36" i="170"/>
  <c r="L34" i="182"/>
  <c r="J28" i="187" s="1"/>
  <c r="N36" i="170"/>
  <c r="L34" i="178"/>
  <c r="J24" i="187" s="1"/>
  <c r="J36" i="170"/>
  <c r="L34" i="174"/>
  <c r="J20" i="187" s="1"/>
  <c r="F36" i="170"/>
  <c r="T2" i="185"/>
  <c r="I31" i="185"/>
  <c r="J31" i="185"/>
  <c r="K31" i="185"/>
  <c r="L31" i="185"/>
  <c r="M31" i="185"/>
  <c r="N31" i="185"/>
  <c r="O31" i="185"/>
  <c r="P31" i="185"/>
  <c r="Q31" i="185"/>
  <c r="R31" i="185"/>
  <c r="S31" i="185"/>
  <c r="H31" i="185"/>
  <c r="T3" i="185"/>
  <c r="T4" i="185"/>
  <c r="T5" i="185"/>
  <c r="T6" i="185"/>
  <c r="T7" i="185"/>
  <c r="T8" i="185"/>
  <c r="T9" i="185"/>
  <c r="T10" i="185"/>
  <c r="T11" i="185"/>
  <c r="T12" i="185"/>
  <c r="T13" i="185"/>
  <c r="T14" i="185"/>
  <c r="T15" i="185"/>
  <c r="T16" i="185"/>
  <c r="T17" i="185"/>
  <c r="T18" i="185"/>
  <c r="T19" i="185"/>
  <c r="T20" i="185"/>
  <c r="T21" i="185"/>
  <c r="T22" i="185"/>
  <c r="T23" i="185"/>
  <c r="T24" i="185"/>
  <c r="T25" i="185"/>
  <c r="T26" i="185"/>
  <c r="T27" i="185"/>
  <c r="T28" i="185"/>
  <c r="T29" i="185"/>
  <c r="T30" i="185"/>
  <c r="R41" i="184"/>
  <c r="R42" i="184"/>
  <c r="R39" i="184"/>
  <c r="H38" i="191" l="1"/>
  <c r="I25" i="191"/>
  <c r="P43" i="197"/>
  <c r="T14" i="196"/>
  <c r="T18" i="196" s="1"/>
  <c r="R14" i="197"/>
  <c r="T14" i="197" s="1"/>
  <c r="T18" i="197" s="1"/>
  <c r="J27" i="231"/>
  <c r="P27" i="231" s="1"/>
  <c r="R27" i="231"/>
  <c r="F27" i="232" s="1"/>
  <c r="L21" i="206"/>
  <c r="L63" i="206" s="1"/>
  <c r="J61" i="187"/>
  <c r="L61" i="187" s="1"/>
  <c r="M61" i="187" s="1"/>
  <c r="N20" i="187" s="1"/>
  <c r="O20" i="187" s="1"/>
  <c r="L20" i="187"/>
  <c r="M20" i="187" s="1"/>
  <c r="J62" i="187"/>
  <c r="L62" i="187" s="1"/>
  <c r="M62" i="187" s="1"/>
  <c r="N21" i="187" s="1"/>
  <c r="O21" i="187" s="1"/>
  <c r="L21" i="187"/>
  <c r="M21" i="187" s="1"/>
  <c r="R34" i="171"/>
  <c r="F34" i="172" s="1"/>
  <c r="R34" i="172" s="1"/>
  <c r="F34" i="173" s="1"/>
  <c r="R34" i="173" s="1"/>
  <c r="F34" i="174" s="1"/>
  <c r="R34" i="174" s="1"/>
  <c r="F34" i="175" s="1"/>
  <c r="R34" i="175" s="1"/>
  <c r="F34" i="176" s="1"/>
  <c r="R34" i="176" s="1"/>
  <c r="F34" i="177" s="1"/>
  <c r="R34" i="177" s="1"/>
  <c r="F34" i="178" s="1"/>
  <c r="R34" i="178" s="1"/>
  <c r="F34" i="179" s="1"/>
  <c r="R34" i="179" s="1"/>
  <c r="F34" i="180" s="1"/>
  <c r="R34" i="180" s="1"/>
  <c r="F34" i="181" s="1"/>
  <c r="R34" i="181" s="1"/>
  <c r="F34" i="182" s="1"/>
  <c r="R34" i="182" s="1"/>
  <c r="J17" i="187"/>
  <c r="J67" i="187"/>
  <c r="L67" i="187" s="1"/>
  <c r="M67" i="187" s="1"/>
  <c r="N26" i="187" s="1"/>
  <c r="O26" i="187" s="1"/>
  <c r="L26" i="187"/>
  <c r="M26" i="187" s="1"/>
  <c r="J64" i="187"/>
  <c r="L64" i="187" s="1"/>
  <c r="M64" i="187" s="1"/>
  <c r="N23" i="187" s="1"/>
  <c r="O23" i="187" s="1"/>
  <c r="L23" i="187"/>
  <c r="M23" i="187" s="1"/>
  <c r="J60" i="187"/>
  <c r="L60" i="187" s="1"/>
  <c r="M60" i="187" s="1"/>
  <c r="N19" i="187" s="1"/>
  <c r="O19" i="187" s="1"/>
  <c r="L19" i="187"/>
  <c r="M19" i="187" s="1"/>
  <c r="J65" i="187"/>
  <c r="L65" i="187" s="1"/>
  <c r="M65" i="187" s="1"/>
  <c r="N24" i="187" s="1"/>
  <c r="O24" i="187" s="1"/>
  <c r="L24" i="187"/>
  <c r="M24" i="187" s="1"/>
  <c r="J69" i="187"/>
  <c r="L69" i="187" s="1"/>
  <c r="M69" i="187" s="1"/>
  <c r="N28" i="187" s="1"/>
  <c r="O28" i="187" s="1"/>
  <c r="L28" i="187"/>
  <c r="M28" i="187" s="1"/>
  <c r="J66" i="187"/>
  <c r="L66" i="187" s="1"/>
  <c r="M66" i="187" s="1"/>
  <c r="N25" i="187" s="1"/>
  <c r="O25" i="187" s="1"/>
  <c r="L25" i="187"/>
  <c r="M25" i="187" s="1"/>
  <c r="J63" i="187"/>
  <c r="L63" i="187" s="1"/>
  <c r="M63" i="187" s="1"/>
  <c r="N22" i="187" s="1"/>
  <c r="O22" i="187" s="1"/>
  <c r="L22" i="187"/>
  <c r="M22" i="187" s="1"/>
  <c r="J59" i="187"/>
  <c r="L59" i="187" s="1"/>
  <c r="M59" i="187" s="1"/>
  <c r="N18" i="187" s="1"/>
  <c r="O18" i="187" s="1"/>
  <c r="L18" i="187"/>
  <c r="M18" i="187" s="1"/>
  <c r="J68" i="187"/>
  <c r="L68" i="187" s="1"/>
  <c r="M68" i="187" s="1"/>
  <c r="N27" i="187" s="1"/>
  <c r="O27" i="187" s="1"/>
  <c r="L27" i="187"/>
  <c r="M27" i="187" s="1"/>
  <c r="I29" i="191"/>
  <c r="F23" i="200"/>
  <c r="P23" i="199"/>
  <c r="T33" i="185"/>
  <c r="T31" i="185"/>
  <c r="T34" i="185"/>
  <c r="R44" i="184"/>
  <c r="R40" i="184"/>
  <c r="R38" i="184"/>
  <c r="R37" i="184"/>
  <c r="R36" i="184"/>
  <c r="R35" i="184"/>
  <c r="R34" i="184"/>
  <c r="R33" i="184"/>
  <c r="I38" i="191" l="1"/>
  <c r="I47" i="191"/>
  <c r="I51" i="191" s="1"/>
  <c r="F14" i="198"/>
  <c r="J27" i="232"/>
  <c r="P27" i="232" s="1"/>
  <c r="R27" i="232"/>
  <c r="F25" i="249" s="1"/>
  <c r="R14" i="199"/>
  <c r="F14" i="200" s="1"/>
  <c r="R14" i="200" s="1"/>
  <c r="J58" i="187"/>
  <c r="J44" i="187"/>
  <c r="L17" i="187"/>
  <c r="J23" i="200"/>
  <c r="R23" i="200"/>
  <c r="F34" i="193"/>
  <c r="R45" i="184"/>
  <c r="J25" i="249" l="1"/>
  <c r="P25" i="249" s="1"/>
  <c r="R25" i="249"/>
  <c r="F25" i="250" s="1"/>
  <c r="J14" i="198"/>
  <c r="P14" i="198" s="1"/>
  <c r="P43" i="198" s="1"/>
  <c r="R14" i="198"/>
  <c r="T14" i="199"/>
  <c r="T18" i="199" s="1"/>
  <c r="J14" i="200"/>
  <c r="P14" i="200" s="1"/>
  <c r="F14" i="201"/>
  <c r="J14" i="201" s="1"/>
  <c r="P14" i="201" s="1"/>
  <c r="T14" i="200"/>
  <c r="T18" i="200" s="1"/>
  <c r="J85" i="187"/>
  <c r="L58" i="187"/>
  <c r="M17" i="187"/>
  <c r="L44" i="187"/>
  <c r="F23" i="201"/>
  <c r="P23" i="200"/>
  <c r="L24" i="206"/>
  <c r="L66" i="206" s="1"/>
  <c r="R34" i="193"/>
  <c r="H43" i="165"/>
  <c r="I43" i="165"/>
  <c r="J43" i="165"/>
  <c r="K43" i="165"/>
  <c r="L43" i="165"/>
  <c r="M43" i="165"/>
  <c r="N43" i="165"/>
  <c r="O43" i="165"/>
  <c r="P43" i="165"/>
  <c r="Q43" i="165"/>
  <c r="G43" i="165"/>
  <c r="F43" i="165"/>
  <c r="R25" i="250" l="1"/>
  <c r="F25" i="251" s="1"/>
  <c r="J25" i="250"/>
  <c r="P25" i="250" s="1"/>
  <c r="P43" i="200"/>
  <c r="J14" i="199"/>
  <c r="P14" i="199" s="1"/>
  <c r="T14" i="198"/>
  <c r="T18" i="198" s="1"/>
  <c r="J25" i="191"/>
  <c r="L22" i="206"/>
  <c r="L64" i="206" s="1"/>
  <c r="R14" i="201"/>
  <c r="F14" i="202" s="1"/>
  <c r="R14" i="202" s="1"/>
  <c r="M58" i="187"/>
  <c r="L85" i="187"/>
  <c r="M44" i="187"/>
  <c r="N25" i="191"/>
  <c r="R23" i="201"/>
  <c r="J23" i="201"/>
  <c r="L25" i="206"/>
  <c r="F34" i="194"/>
  <c r="R33" i="165"/>
  <c r="R34" i="165"/>
  <c r="R35" i="165"/>
  <c r="R36" i="165"/>
  <c r="R25" i="251" l="1"/>
  <c r="F25" i="252" s="1"/>
  <c r="J25" i="251"/>
  <c r="P25" i="251" s="1"/>
  <c r="K13" i="191"/>
  <c r="T13" i="191" s="1"/>
  <c r="V13" i="191" s="1"/>
  <c r="J47" i="191"/>
  <c r="J51" i="191" s="1"/>
  <c r="P43" i="199"/>
  <c r="L23" i="206"/>
  <c r="L65" i="206" s="1"/>
  <c r="M25" i="191"/>
  <c r="M29" i="191" s="1"/>
  <c r="M13" i="191"/>
  <c r="J38" i="191"/>
  <c r="T25" i="191"/>
  <c r="J29" i="191"/>
  <c r="T14" i="201"/>
  <c r="T18" i="201" s="1"/>
  <c r="J14" i="202"/>
  <c r="P14" i="202" s="1"/>
  <c r="F14" i="203"/>
  <c r="R14" i="203" s="1"/>
  <c r="T14" i="202"/>
  <c r="T18" i="202" s="1"/>
  <c r="N17" i="187"/>
  <c r="M85" i="187"/>
  <c r="N29" i="191"/>
  <c r="P23" i="201"/>
  <c r="F23" i="202"/>
  <c r="L67" i="206"/>
  <c r="R34" i="194"/>
  <c r="R37" i="165"/>
  <c r="R31" i="165"/>
  <c r="R32" i="165"/>
  <c r="R38" i="165"/>
  <c r="R39" i="165"/>
  <c r="R40" i="165"/>
  <c r="R41" i="165"/>
  <c r="R42" i="165"/>
  <c r="R30" i="165"/>
  <c r="R25" i="252" l="1"/>
  <c r="F25" i="253" s="1"/>
  <c r="J25" i="252"/>
  <c r="P25" i="252" s="1"/>
  <c r="P43" i="201"/>
  <c r="M38" i="191"/>
  <c r="N13" i="191"/>
  <c r="N38" i="191" s="1"/>
  <c r="T14" i="191"/>
  <c r="K14" i="191"/>
  <c r="L26" i="206"/>
  <c r="L68" i="206" s="1"/>
  <c r="J14" i="203"/>
  <c r="P14" i="203" s="1"/>
  <c r="F14" i="204"/>
  <c r="R14" i="204" s="1"/>
  <c r="T14" i="203"/>
  <c r="T18" i="203" s="1"/>
  <c r="O17" i="187"/>
  <c r="O44" i="187" s="1"/>
  <c r="N44" i="187"/>
  <c r="R23" i="202"/>
  <c r="J23" i="202"/>
  <c r="O25" i="191"/>
  <c r="F34" i="195"/>
  <c r="R43" i="165"/>
  <c r="D27" i="168"/>
  <c r="R25" i="253" l="1"/>
  <c r="F25" i="254" s="1"/>
  <c r="J25" i="253"/>
  <c r="P25" i="253" s="1"/>
  <c r="O13" i="191"/>
  <c r="J14" i="204"/>
  <c r="P14" i="204" s="1"/>
  <c r="L27" i="206"/>
  <c r="L69" i="206" s="1"/>
  <c r="T14" i="204"/>
  <c r="T18" i="204" s="1"/>
  <c r="F14" i="221"/>
  <c r="O38" i="191"/>
  <c r="Q17" i="187"/>
  <c r="E16" i="168" s="1"/>
  <c r="Q18" i="187"/>
  <c r="R17" i="187"/>
  <c r="T17" i="187" s="1"/>
  <c r="O29" i="191"/>
  <c r="P23" i="202"/>
  <c r="F23" i="203"/>
  <c r="R34" i="195"/>
  <c r="J13" i="183"/>
  <c r="R25" i="254" l="1"/>
  <c r="F25" i="255" s="1"/>
  <c r="J25" i="254"/>
  <c r="P25" i="254" s="1"/>
  <c r="P43" i="202"/>
  <c r="L28" i="206"/>
  <c r="L70" i="206" s="1"/>
  <c r="L86" i="206" s="1"/>
  <c r="P13" i="191"/>
  <c r="J14" i="221"/>
  <c r="P14" i="221" s="1"/>
  <c r="R14" i="221"/>
  <c r="F16" i="168"/>
  <c r="Q19" i="187"/>
  <c r="R18" i="187"/>
  <c r="T18" i="187" s="1"/>
  <c r="R23" i="203"/>
  <c r="J23" i="203"/>
  <c r="P25" i="191"/>
  <c r="F34" i="196"/>
  <c r="Q20" i="132"/>
  <c r="Q20" i="131"/>
  <c r="O87" i="183"/>
  <c r="P87" i="183" s="1"/>
  <c r="T87" i="183" s="1"/>
  <c r="O86" i="183"/>
  <c r="P86" i="183" s="1"/>
  <c r="T86" i="183" s="1"/>
  <c r="O85" i="183"/>
  <c r="P85" i="183" s="1"/>
  <c r="T85" i="183" s="1"/>
  <c r="O84" i="183"/>
  <c r="P84" i="183" s="1"/>
  <c r="T84" i="183" s="1"/>
  <c r="O83" i="183"/>
  <c r="P83" i="183" s="1"/>
  <c r="T83" i="183" s="1"/>
  <c r="O82" i="183"/>
  <c r="P82" i="183" s="1"/>
  <c r="T82" i="183" s="1"/>
  <c r="O81" i="183"/>
  <c r="P81" i="183" s="1"/>
  <c r="T81" i="183" s="1"/>
  <c r="O80" i="183"/>
  <c r="P80" i="183" s="1"/>
  <c r="T80" i="183" s="1"/>
  <c r="P79" i="183"/>
  <c r="T79" i="183" s="1"/>
  <c r="O79" i="183"/>
  <c r="O78" i="183"/>
  <c r="P78" i="183" s="1"/>
  <c r="T78" i="183" s="1"/>
  <c r="O77" i="183"/>
  <c r="P77" i="183" s="1"/>
  <c r="T77" i="183" s="1"/>
  <c r="P76" i="183"/>
  <c r="T76" i="183" s="1"/>
  <c r="O76" i="183"/>
  <c r="O75" i="183"/>
  <c r="P75" i="183" s="1"/>
  <c r="T75" i="183" s="1"/>
  <c r="P74" i="183"/>
  <c r="T74" i="183" s="1"/>
  <c r="O74" i="183"/>
  <c r="O73" i="183"/>
  <c r="P73" i="183" s="1"/>
  <c r="T73" i="183" s="1"/>
  <c r="A61" i="183"/>
  <c r="A62" i="183" s="1"/>
  <c r="A63" i="183" s="1"/>
  <c r="A64" i="183" s="1"/>
  <c r="A65" i="183" s="1"/>
  <c r="A66" i="183" s="1"/>
  <c r="A67" i="183" s="1"/>
  <c r="A68" i="183" s="1"/>
  <c r="A69" i="183" s="1"/>
  <c r="A70" i="183" s="1"/>
  <c r="A71" i="183" s="1"/>
  <c r="A72" i="183" s="1"/>
  <c r="A73" i="183" s="1"/>
  <c r="A74" i="183" s="1"/>
  <c r="A75" i="183" s="1"/>
  <c r="A76" i="183" s="1"/>
  <c r="A77" i="183" s="1"/>
  <c r="A78" i="183" s="1"/>
  <c r="A79" i="183" s="1"/>
  <c r="A80" i="183" s="1"/>
  <c r="A81" i="183" s="1"/>
  <c r="A82" i="183" s="1"/>
  <c r="A83" i="183" s="1"/>
  <c r="A84" i="183" s="1"/>
  <c r="A85" i="183" s="1"/>
  <c r="A86" i="183" s="1"/>
  <c r="A87" i="183" s="1"/>
  <c r="A88" i="183" s="1"/>
  <c r="T43" i="183"/>
  <c r="S43" i="183"/>
  <c r="T42" i="183"/>
  <c r="S42" i="183"/>
  <c r="T41" i="183"/>
  <c r="S41" i="183"/>
  <c r="T40" i="183"/>
  <c r="S40" i="183"/>
  <c r="T39" i="183"/>
  <c r="S39" i="183"/>
  <c r="T38" i="183"/>
  <c r="S38" i="183"/>
  <c r="T37" i="183"/>
  <c r="S37" i="183"/>
  <c r="T36" i="183"/>
  <c r="S36" i="183"/>
  <c r="T35" i="183"/>
  <c r="S35" i="183"/>
  <c r="T34" i="183"/>
  <c r="S34" i="183"/>
  <c r="T33" i="183"/>
  <c r="S33" i="183"/>
  <c r="T32" i="183"/>
  <c r="S32" i="183"/>
  <c r="T31" i="183"/>
  <c r="S31" i="183"/>
  <c r="T30" i="183"/>
  <c r="S30" i="183"/>
  <c r="S29" i="183"/>
  <c r="A17" i="183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I13" i="183"/>
  <c r="L33" i="182"/>
  <c r="L26" i="182"/>
  <c r="N26" i="182" s="1"/>
  <c r="L25" i="182"/>
  <c r="N25" i="182" s="1"/>
  <c r="L22" i="182"/>
  <c r="N22" i="182" s="1"/>
  <c r="H18" i="182"/>
  <c r="L17" i="182"/>
  <c r="H17" i="182"/>
  <c r="A17" i="182"/>
  <c r="A18" i="182" s="1"/>
  <c r="A19" i="182" s="1"/>
  <c r="A22" i="182" s="1"/>
  <c r="A23" i="182" s="1"/>
  <c r="H13" i="182"/>
  <c r="L33" i="181"/>
  <c r="L26" i="181"/>
  <c r="N26" i="181" s="1"/>
  <c r="L25" i="181"/>
  <c r="N25" i="181" s="1"/>
  <c r="L22" i="181"/>
  <c r="N22" i="181" s="1"/>
  <c r="H18" i="181"/>
  <c r="L17" i="181"/>
  <c r="H17" i="181"/>
  <c r="A17" i="181"/>
  <c r="A18" i="181" s="1"/>
  <c r="A19" i="181" s="1"/>
  <c r="A22" i="181" s="1"/>
  <c r="A23" i="181" s="1"/>
  <c r="H13" i="181"/>
  <c r="L33" i="180"/>
  <c r="L26" i="180"/>
  <c r="N26" i="180" s="1"/>
  <c r="L25" i="180"/>
  <c r="N25" i="180" s="1"/>
  <c r="L22" i="180"/>
  <c r="N22" i="180" s="1"/>
  <c r="H18" i="180"/>
  <c r="L17" i="180"/>
  <c r="H17" i="180"/>
  <c r="A17" i="180"/>
  <c r="A18" i="180" s="1"/>
  <c r="A19" i="180" s="1"/>
  <c r="A22" i="180" s="1"/>
  <c r="A23" i="180" s="1"/>
  <c r="H13" i="180"/>
  <c r="L33" i="179"/>
  <c r="L26" i="179"/>
  <c r="N26" i="179" s="1"/>
  <c r="L25" i="179"/>
  <c r="N25" i="179" s="1"/>
  <c r="L22" i="179"/>
  <c r="N22" i="179" s="1"/>
  <c r="H18" i="179"/>
  <c r="L17" i="179"/>
  <c r="H17" i="179"/>
  <c r="A17" i="179"/>
  <c r="A18" i="179" s="1"/>
  <c r="A19" i="179" s="1"/>
  <c r="A22" i="179" s="1"/>
  <c r="A23" i="179" s="1"/>
  <c r="H13" i="179"/>
  <c r="L33" i="178"/>
  <c r="L26" i="178"/>
  <c r="N26" i="178" s="1"/>
  <c r="L25" i="178"/>
  <c r="N25" i="178" s="1"/>
  <c r="L22" i="178"/>
  <c r="N22" i="178" s="1"/>
  <c r="H18" i="178"/>
  <c r="L17" i="178"/>
  <c r="H17" i="178"/>
  <c r="A17" i="178"/>
  <c r="A18" i="178" s="1"/>
  <c r="A19" i="178" s="1"/>
  <c r="A22" i="178" s="1"/>
  <c r="A23" i="178" s="1"/>
  <c r="H13" i="178"/>
  <c r="L33" i="177"/>
  <c r="L26" i="177"/>
  <c r="N26" i="177" s="1"/>
  <c r="L25" i="177"/>
  <c r="N25" i="177" s="1"/>
  <c r="L22" i="177"/>
  <c r="N22" i="177" s="1"/>
  <c r="H18" i="177"/>
  <c r="L17" i="177"/>
  <c r="H17" i="177"/>
  <c r="A17" i="177"/>
  <c r="A18" i="177" s="1"/>
  <c r="A19" i="177" s="1"/>
  <c r="A22" i="177" s="1"/>
  <c r="A23" i="177" s="1"/>
  <c r="H13" i="177"/>
  <c r="L33" i="176"/>
  <c r="L26" i="176"/>
  <c r="N26" i="176" s="1"/>
  <c r="L25" i="176"/>
  <c r="N25" i="176" s="1"/>
  <c r="L22" i="176"/>
  <c r="N22" i="176" s="1"/>
  <c r="H18" i="176"/>
  <c r="L17" i="176"/>
  <c r="H17" i="176"/>
  <c r="A17" i="176"/>
  <c r="A18" i="176" s="1"/>
  <c r="A19" i="176" s="1"/>
  <c r="A22" i="176" s="1"/>
  <c r="A23" i="176" s="1"/>
  <c r="H13" i="176"/>
  <c r="L33" i="175"/>
  <c r="L26" i="175"/>
  <c r="N26" i="175" s="1"/>
  <c r="L25" i="175"/>
  <c r="N25" i="175" s="1"/>
  <c r="L22" i="175"/>
  <c r="N22" i="175" s="1"/>
  <c r="H18" i="175"/>
  <c r="L17" i="175"/>
  <c r="H17" i="175"/>
  <c r="A18" i="175"/>
  <c r="A19" i="175" s="1"/>
  <c r="A22" i="175" s="1"/>
  <c r="A23" i="175" s="1"/>
  <c r="H13" i="175"/>
  <c r="L33" i="174"/>
  <c r="L26" i="174"/>
  <c r="N26" i="174" s="1"/>
  <c r="L25" i="174"/>
  <c r="N25" i="174" s="1"/>
  <c r="L22" i="174"/>
  <c r="N22" i="174" s="1"/>
  <c r="H18" i="174"/>
  <c r="L17" i="174"/>
  <c r="H17" i="174"/>
  <c r="A17" i="174"/>
  <c r="A18" i="174" s="1"/>
  <c r="A19" i="174" s="1"/>
  <c r="A22" i="174" s="1"/>
  <c r="A23" i="174" s="1"/>
  <c r="H13" i="174"/>
  <c r="L33" i="173"/>
  <c r="L26" i="173"/>
  <c r="N26" i="173" s="1"/>
  <c r="L25" i="173"/>
  <c r="N25" i="173" s="1"/>
  <c r="L22" i="173"/>
  <c r="N22" i="173" s="1"/>
  <c r="H18" i="173"/>
  <c r="A19" i="173"/>
  <c r="A22" i="173" s="1"/>
  <c r="A23" i="173" s="1"/>
  <c r="L17" i="173"/>
  <c r="H17" i="173"/>
  <c r="H13" i="173"/>
  <c r="L33" i="172"/>
  <c r="L26" i="172"/>
  <c r="N26" i="172" s="1"/>
  <c r="L25" i="172"/>
  <c r="N25" i="172" s="1"/>
  <c r="L22" i="172"/>
  <c r="N22" i="172" s="1"/>
  <c r="H18" i="172"/>
  <c r="A19" i="172"/>
  <c r="A22" i="172" s="1"/>
  <c r="A23" i="172" s="1"/>
  <c r="H17" i="172"/>
  <c r="H13" i="172"/>
  <c r="L33" i="171"/>
  <c r="L26" i="171"/>
  <c r="N26" i="171" s="1"/>
  <c r="H26" i="171"/>
  <c r="L25" i="171"/>
  <c r="N25" i="171" s="1"/>
  <c r="H25" i="171"/>
  <c r="L22" i="171"/>
  <c r="N22" i="171" s="1"/>
  <c r="H22" i="171"/>
  <c r="H18" i="171"/>
  <c r="L17" i="171"/>
  <c r="H17" i="171"/>
  <c r="A22" i="171"/>
  <c r="H13" i="171"/>
  <c r="P27" i="168"/>
  <c r="J27" i="168"/>
  <c r="J29" i="168" s="1"/>
  <c r="P27" i="167"/>
  <c r="M27" i="167"/>
  <c r="J27" i="167"/>
  <c r="G27" i="167"/>
  <c r="P26" i="167"/>
  <c r="L26" i="167"/>
  <c r="H26" i="167"/>
  <c r="L37" i="182"/>
  <c r="L37" i="181"/>
  <c r="L37" i="180"/>
  <c r="L37" i="179"/>
  <c r="L37" i="178"/>
  <c r="L37" i="177"/>
  <c r="L37" i="176"/>
  <c r="L37" i="175"/>
  <c r="L37" i="174"/>
  <c r="L37" i="173"/>
  <c r="L37" i="172"/>
  <c r="L37" i="171"/>
  <c r="L36" i="182"/>
  <c r="L36" i="180"/>
  <c r="L36" i="179"/>
  <c r="L36" i="178"/>
  <c r="L36" i="177"/>
  <c r="L36" i="176"/>
  <c r="L36" i="175"/>
  <c r="L36" i="174"/>
  <c r="L36" i="173"/>
  <c r="L36" i="172"/>
  <c r="L36" i="171"/>
  <c r="O31" i="170"/>
  <c r="O29" i="170"/>
  <c r="O13" i="170"/>
  <c r="A11" i="170"/>
  <c r="A12" i="170" s="1"/>
  <c r="A13" i="170" s="1"/>
  <c r="A14" i="170" s="1"/>
  <c r="A15" i="170" s="1"/>
  <c r="A17" i="170" s="1"/>
  <c r="A18" i="170" s="1"/>
  <c r="A19" i="170" s="1"/>
  <c r="A20" i="170" s="1"/>
  <c r="S1048492" i="168"/>
  <c r="D29" i="168"/>
  <c r="O27" i="168"/>
  <c r="O29" i="168" s="1"/>
  <c r="N27" i="168"/>
  <c r="N29" i="168" s="1"/>
  <c r="M27" i="168"/>
  <c r="M29" i="168" s="1"/>
  <c r="L27" i="168"/>
  <c r="L29" i="168" s="1"/>
  <c r="K27" i="168"/>
  <c r="K29" i="168" s="1"/>
  <c r="I27" i="168"/>
  <c r="I29" i="168" s="1"/>
  <c r="H27" i="168"/>
  <c r="H29" i="168" s="1"/>
  <c r="G27" i="168"/>
  <c r="G29" i="168" s="1"/>
  <c r="F27" i="168"/>
  <c r="F29" i="168" s="1"/>
  <c r="E27" i="168"/>
  <c r="E29" i="168" s="1"/>
  <c r="Q26" i="168"/>
  <c r="Q13" i="168"/>
  <c r="Q6" i="168"/>
  <c r="P6" i="168"/>
  <c r="O6" i="168"/>
  <c r="N6" i="168"/>
  <c r="M6" i="168"/>
  <c r="L6" i="168"/>
  <c r="K6" i="168"/>
  <c r="J6" i="168"/>
  <c r="I6" i="168"/>
  <c r="H6" i="168"/>
  <c r="G6" i="168"/>
  <c r="F6" i="168"/>
  <c r="O27" i="167"/>
  <c r="N27" i="167"/>
  <c r="L27" i="167"/>
  <c r="K27" i="167"/>
  <c r="I27" i="167"/>
  <c r="H27" i="167"/>
  <c r="F27" i="167"/>
  <c r="E27" i="167"/>
  <c r="N26" i="167"/>
  <c r="M26" i="167"/>
  <c r="K26" i="167"/>
  <c r="J26" i="167"/>
  <c r="G26" i="167"/>
  <c r="F26" i="167"/>
  <c r="Q6" i="167"/>
  <c r="P6" i="167"/>
  <c r="O6" i="167"/>
  <c r="N6" i="167"/>
  <c r="M6" i="167"/>
  <c r="L6" i="167"/>
  <c r="K6" i="167"/>
  <c r="J6" i="167"/>
  <c r="I6" i="167"/>
  <c r="H6" i="167"/>
  <c r="G6" i="167"/>
  <c r="F6" i="167"/>
  <c r="R25" i="255" l="1"/>
  <c r="F25" i="256" s="1"/>
  <c r="J25" i="255"/>
  <c r="P25" i="255" s="1"/>
  <c r="L44" i="206"/>
  <c r="F14" i="222"/>
  <c r="P38" i="191"/>
  <c r="M20" i="183"/>
  <c r="M28" i="183"/>
  <c r="M21" i="183"/>
  <c r="M22" i="183"/>
  <c r="M23" i="183"/>
  <c r="M24" i="183"/>
  <c r="M25" i="183"/>
  <c r="M17" i="183"/>
  <c r="M18" i="183"/>
  <c r="M26" i="183"/>
  <c r="M19" i="183"/>
  <c r="A26" i="172"/>
  <c r="A27" i="172" s="1"/>
  <c r="A28" i="172" s="1"/>
  <c r="A24" i="172"/>
  <c r="A26" i="181"/>
  <c r="A27" i="181" s="1"/>
  <c r="A28" i="181" s="1"/>
  <c r="A24" i="181"/>
  <c r="A26" i="174"/>
  <c r="A27" i="174" s="1"/>
  <c r="A28" i="174" s="1"/>
  <c r="A24" i="174"/>
  <c r="A26" i="178"/>
  <c r="A27" i="178" s="1"/>
  <c r="A28" i="178" s="1"/>
  <c r="A24" i="178"/>
  <c r="A26" i="182"/>
  <c r="A27" i="182" s="1"/>
  <c r="A28" i="182" s="1"/>
  <c r="A24" i="182"/>
  <c r="A26" i="173"/>
  <c r="A27" i="173" s="1"/>
  <c r="A28" i="173" s="1"/>
  <c r="A24" i="173"/>
  <c r="A26" i="176"/>
  <c r="A27" i="176" s="1"/>
  <c r="A28" i="176" s="1"/>
  <c r="A24" i="176"/>
  <c r="A26" i="180"/>
  <c r="A27" i="180" s="1"/>
  <c r="A28" i="180" s="1"/>
  <c r="A24" i="180"/>
  <c r="A26" i="175"/>
  <c r="A27" i="175" s="1"/>
  <c r="A28" i="175" s="1"/>
  <c r="A24" i="175"/>
  <c r="A26" i="177"/>
  <c r="A27" i="177" s="1"/>
  <c r="A28" i="177" s="1"/>
  <c r="A30" i="177" s="1"/>
  <c r="A33" i="177" s="1"/>
  <c r="A34" i="177" s="1"/>
  <c r="A24" i="177"/>
  <c r="A26" i="179"/>
  <c r="A27" i="179" s="1"/>
  <c r="A28" i="179" s="1"/>
  <c r="A24" i="179"/>
  <c r="G16" i="168"/>
  <c r="Q20" i="187"/>
  <c r="R19" i="187"/>
  <c r="T19" i="187" s="1"/>
  <c r="L28" i="173"/>
  <c r="L28" i="177"/>
  <c r="L28" i="181"/>
  <c r="P29" i="191"/>
  <c r="P23" i="203"/>
  <c r="F23" i="204"/>
  <c r="P29" i="168"/>
  <c r="L39" i="171"/>
  <c r="L39" i="173"/>
  <c r="L39" i="175"/>
  <c r="M65" i="183" s="1"/>
  <c r="L39" i="177"/>
  <c r="R34" i="196"/>
  <c r="L39" i="179"/>
  <c r="M69" i="183" s="1"/>
  <c r="L28" i="175"/>
  <c r="L28" i="179"/>
  <c r="N17" i="180"/>
  <c r="L39" i="172"/>
  <c r="L39" i="174"/>
  <c r="L39" i="176"/>
  <c r="L39" i="178"/>
  <c r="L39" i="180"/>
  <c r="N17" i="171"/>
  <c r="L28" i="172"/>
  <c r="L28" i="174"/>
  <c r="L28" i="176"/>
  <c r="L28" i="178"/>
  <c r="N17" i="179"/>
  <c r="L28" i="180"/>
  <c r="L28" i="182"/>
  <c r="L39" i="182"/>
  <c r="N17" i="181"/>
  <c r="A30" i="172"/>
  <c r="A33" i="172" s="1"/>
  <c r="A34" i="172" s="1"/>
  <c r="A30" i="173"/>
  <c r="A33" i="173" s="1"/>
  <c r="A34" i="173" s="1"/>
  <c r="A30" i="174"/>
  <c r="A33" i="174" s="1"/>
  <c r="A34" i="174" s="1"/>
  <c r="A30" i="175"/>
  <c r="A33" i="175" s="1"/>
  <c r="A34" i="175" s="1"/>
  <c r="A30" i="178"/>
  <c r="A33" i="178" s="1"/>
  <c r="A34" i="178" s="1"/>
  <c r="A30" i="179"/>
  <c r="A33" i="179" s="1"/>
  <c r="A34" i="179" s="1"/>
  <c r="A30" i="182"/>
  <c r="A33" i="182" s="1"/>
  <c r="A34" i="182" s="1"/>
  <c r="A30" i="176"/>
  <c r="A33" i="176" s="1"/>
  <c r="A34" i="176" s="1"/>
  <c r="A30" i="180"/>
  <c r="A33" i="180" s="1"/>
  <c r="A34" i="180" s="1"/>
  <c r="A30" i="181"/>
  <c r="A33" i="181" s="1"/>
  <c r="A34" i="181" s="1"/>
  <c r="L28" i="171"/>
  <c r="A23" i="171"/>
  <c r="A21" i="170"/>
  <c r="A22" i="170" s="1"/>
  <c r="A24" i="170" s="1"/>
  <c r="N17" i="172"/>
  <c r="N17" i="182"/>
  <c r="N17" i="173"/>
  <c r="N17" i="174"/>
  <c r="N17" i="177"/>
  <c r="N28" i="176"/>
  <c r="O40" i="170"/>
  <c r="Q27" i="168"/>
  <c r="Q27" i="167"/>
  <c r="S44" i="183"/>
  <c r="O32" i="170"/>
  <c r="O41" i="170"/>
  <c r="R13" i="184"/>
  <c r="N16" i="181"/>
  <c r="R12" i="184"/>
  <c r="I26" i="167"/>
  <c r="O33" i="170"/>
  <c r="O26" i="167"/>
  <c r="E26" i="167"/>
  <c r="O34" i="170"/>
  <c r="L36" i="181"/>
  <c r="L39" i="181" s="1"/>
  <c r="N17" i="175"/>
  <c r="N28" i="177"/>
  <c r="N28" i="178"/>
  <c r="N17" i="176"/>
  <c r="N17" i="178"/>
  <c r="R25" i="256" l="1"/>
  <c r="F25" i="257" s="1"/>
  <c r="J25" i="256"/>
  <c r="P25" i="256" s="1"/>
  <c r="P43" i="203"/>
  <c r="M72" i="183"/>
  <c r="Q13" i="191"/>
  <c r="Q38" i="191" s="1"/>
  <c r="R14" i="222"/>
  <c r="J14" i="222"/>
  <c r="P14" i="222" s="1"/>
  <c r="M27" i="183"/>
  <c r="A37" i="177"/>
  <c r="A38" i="177" s="1"/>
  <c r="A39" i="177" s="1"/>
  <c r="A35" i="177"/>
  <c r="A37" i="174"/>
  <c r="A38" i="174" s="1"/>
  <c r="A39" i="174" s="1"/>
  <c r="A35" i="174"/>
  <c r="A37" i="173"/>
  <c r="A38" i="173" s="1"/>
  <c r="A39" i="173" s="1"/>
  <c r="A35" i="173"/>
  <c r="A37" i="181"/>
  <c r="A38" i="181" s="1"/>
  <c r="A39" i="181" s="1"/>
  <c r="A35" i="181"/>
  <c r="A37" i="180"/>
  <c r="A38" i="180" s="1"/>
  <c r="A39" i="180" s="1"/>
  <c r="A35" i="180"/>
  <c r="A37" i="176"/>
  <c r="A38" i="176" s="1"/>
  <c r="A39" i="176" s="1"/>
  <c r="A35" i="176"/>
  <c r="A37" i="172"/>
  <c r="A38" i="172" s="1"/>
  <c r="A39" i="172" s="1"/>
  <c r="A35" i="172"/>
  <c r="A37" i="179"/>
  <c r="A38" i="179" s="1"/>
  <c r="A39" i="179" s="1"/>
  <c r="A35" i="179"/>
  <c r="A37" i="178"/>
  <c r="A38" i="178" s="1"/>
  <c r="A39" i="178" s="1"/>
  <c r="A35" i="178"/>
  <c r="A26" i="171"/>
  <c r="A27" i="171" s="1"/>
  <c r="A28" i="171" s="1"/>
  <c r="A30" i="171" s="1"/>
  <c r="A33" i="171" s="1"/>
  <c r="A24" i="171"/>
  <c r="A37" i="182"/>
  <c r="A38" i="182" s="1"/>
  <c r="A39" i="182" s="1"/>
  <c r="A35" i="182"/>
  <c r="A37" i="175"/>
  <c r="A38" i="175" s="1"/>
  <c r="A39" i="175" s="1"/>
  <c r="A35" i="175"/>
  <c r="R20" i="187"/>
  <c r="T20" i="187" s="1"/>
  <c r="Q21" i="187"/>
  <c r="H16" i="168"/>
  <c r="A25" i="170"/>
  <c r="A26" i="170" s="1"/>
  <c r="A27" i="170" s="1"/>
  <c r="A28" i="170" s="1"/>
  <c r="Q29" i="168"/>
  <c r="N28" i="174"/>
  <c r="N28" i="171"/>
  <c r="R23" i="204"/>
  <c r="F23" i="221" s="1"/>
  <c r="J23" i="204"/>
  <c r="Q25" i="191"/>
  <c r="O36" i="170"/>
  <c r="F34" i="197"/>
  <c r="N28" i="180"/>
  <c r="N28" i="175"/>
  <c r="N28" i="179"/>
  <c r="N28" i="181"/>
  <c r="N28" i="173"/>
  <c r="N28" i="182"/>
  <c r="N28" i="172"/>
  <c r="M66" i="183"/>
  <c r="M70" i="183"/>
  <c r="M64" i="183"/>
  <c r="M63" i="183"/>
  <c r="M62" i="183"/>
  <c r="M67" i="183"/>
  <c r="M68" i="183"/>
  <c r="L13" i="181"/>
  <c r="L13" i="174"/>
  <c r="L13" i="180"/>
  <c r="R20" i="184"/>
  <c r="R28" i="184"/>
  <c r="N16" i="173"/>
  <c r="L13" i="173"/>
  <c r="N16" i="175"/>
  <c r="R14" i="184"/>
  <c r="Q26" i="167"/>
  <c r="L13" i="179"/>
  <c r="N16" i="182"/>
  <c r="N16" i="177"/>
  <c r="N16" i="178"/>
  <c r="N16" i="179"/>
  <c r="R11" i="184"/>
  <c r="R9" i="184"/>
  <c r="K12" i="183" s="1"/>
  <c r="K58" i="233" s="1"/>
  <c r="R21" i="184"/>
  <c r="O38" i="170"/>
  <c r="M61" i="183"/>
  <c r="R25" i="184"/>
  <c r="L13" i="175"/>
  <c r="R10" i="184"/>
  <c r="N16" i="172"/>
  <c r="R25" i="257" l="1"/>
  <c r="F25" i="258" s="1"/>
  <c r="J25" i="257"/>
  <c r="P25" i="257" s="1"/>
  <c r="R23" i="221"/>
  <c r="F23" i="222" s="1"/>
  <c r="J23" i="221"/>
  <c r="P23" i="221" s="1"/>
  <c r="F14" i="223"/>
  <c r="H11" i="187"/>
  <c r="A29" i="170"/>
  <c r="A31" i="170" s="1"/>
  <c r="A32" i="170" s="1"/>
  <c r="A33" i="170" s="1"/>
  <c r="A34" i="170" s="1"/>
  <c r="A35" i="170" s="1"/>
  <c r="A36" i="170" s="1"/>
  <c r="A38" i="170" s="1"/>
  <c r="A39" i="170" s="1"/>
  <c r="A40" i="170" s="1"/>
  <c r="A41" i="170" s="1"/>
  <c r="I16" i="168"/>
  <c r="R21" i="187"/>
  <c r="T21" i="187" s="1"/>
  <c r="Q22" i="187"/>
  <c r="R30" i="184"/>
  <c r="Q29" i="191"/>
  <c r="P23" i="204"/>
  <c r="K12" i="205"/>
  <c r="K62" i="205" s="1"/>
  <c r="R34" i="197"/>
  <c r="H52" i="187"/>
  <c r="A34" i="171"/>
  <c r="M71" i="183"/>
  <c r="M88" i="183" s="1"/>
  <c r="G15" i="170"/>
  <c r="L15" i="170"/>
  <c r="K15" i="170"/>
  <c r="N18" i="177"/>
  <c r="O11" i="170"/>
  <c r="L13" i="171"/>
  <c r="O10" i="170"/>
  <c r="C15" i="170"/>
  <c r="N18" i="178"/>
  <c r="N18" i="175"/>
  <c r="N18" i="181"/>
  <c r="N16" i="176"/>
  <c r="L13" i="177"/>
  <c r="I15" i="170"/>
  <c r="N18" i="173"/>
  <c r="L19" i="175"/>
  <c r="N13" i="175"/>
  <c r="N18" i="176"/>
  <c r="N18" i="179"/>
  <c r="F15" i="170"/>
  <c r="O14" i="170"/>
  <c r="E15" i="170"/>
  <c r="N18" i="182"/>
  <c r="N16" i="174"/>
  <c r="L13" i="182"/>
  <c r="N15" i="170"/>
  <c r="L13" i="176"/>
  <c r="L19" i="176" s="1"/>
  <c r="H15" i="170"/>
  <c r="L19" i="179"/>
  <c r="N13" i="179"/>
  <c r="L19" i="173"/>
  <c r="N13" i="173"/>
  <c r="O12" i="170"/>
  <c r="M15" i="170"/>
  <c r="L19" i="174"/>
  <c r="N13" i="174"/>
  <c r="L13" i="178"/>
  <c r="J15" i="170"/>
  <c r="L13" i="172"/>
  <c r="D15" i="170"/>
  <c r="N18" i="174"/>
  <c r="N18" i="172"/>
  <c r="N18" i="180"/>
  <c r="N16" i="180"/>
  <c r="L19" i="180"/>
  <c r="N13" i="180"/>
  <c r="L19" i="181"/>
  <c r="N13" i="181"/>
  <c r="R25" i="258" l="1"/>
  <c r="F25" i="259" s="1"/>
  <c r="J25" i="258"/>
  <c r="P25" i="258" s="1"/>
  <c r="P43" i="204"/>
  <c r="R13" i="191"/>
  <c r="R23" i="222"/>
  <c r="F23" i="223" s="1"/>
  <c r="J23" i="222"/>
  <c r="P23" i="222" s="1"/>
  <c r="J14" i="223"/>
  <c r="P14" i="223" s="1"/>
  <c r="R14" i="223"/>
  <c r="N19" i="181"/>
  <c r="K11" i="205"/>
  <c r="A37" i="171"/>
  <c r="A38" i="171" s="1"/>
  <c r="A39" i="171" s="1"/>
  <c r="A35" i="171"/>
  <c r="J16" i="168"/>
  <c r="Q23" i="187"/>
  <c r="R22" i="187"/>
  <c r="T22" i="187" s="1"/>
  <c r="R25" i="191"/>
  <c r="K11" i="183"/>
  <c r="K55" i="183" s="1"/>
  <c r="K56" i="183"/>
  <c r="F34" i="198"/>
  <c r="H19" i="206"/>
  <c r="J19" i="206" s="1"/>
  <c r="M19" i="206" s="1"/>
  <c r="N19" i="206" s="1"/>
  <c r="J23" i="206"/>
  <c r="M23" i="206" s="1"/>
  <c r="N23" i="206" s="1"/>
  <c r="J27" i="206"/>
  <c r="M27" i="206" s="1"/>
  <c r="N27" i="206" s="1"/>
  <c r="H20" i="206"/>
  <c r="J20" i="206" s="1"/>
  <c r="M20" i="206" s="1"/>
  <c r="N20" i="206" s="1"/>
  <c r="J24" i="206"/>
  <c r="M24" i="206" s="1"/>
  <c r="N24" i="206" s="1"/>
  <c r="J28" i="206"/>
  <c r="M28" i="206" s="1"/>
  <c r="N28" i="206" s="1"/>
  <c r="H21" i="206"/>
  <c r="J21" i="206" s="1"/>
  <c r="M21" i="206" s="1"/>
  <c r="N21" i="206" s="1"/>
  <c r="J25" i="206"/>
  <c r="M25" i="206" s="1"/>
  <c r="N25" i="206" s="1"/>
  <c r="H53" i="206"/>
  <c r="H59" i="206" s="1"/>
  <c r="J59" i="206" s="1"/>
  <c r="M59" i="206" s="1"/>
  <c r="N59" i="206" s="1"/>
  <c r="H18" i="206"/>
  <c r="J18" i="206" s="1"/>
  <c r="M18" i="206" s="1"/>
  <c r="N18" i="206" s="1"/>
  <c r="H22" i="206"/>
  <c r="J22" i="206" s="1"/>
  <c r="M22" i="206" s="1"/>
  <c r="N22" i="206" s="1"/>
  <c r="J26" i="206"/>
  <c r="M26" i="206" s="1"/>
  <c r="N26" i="206" s="1"/>
  <c r="L30" i="180"/>
  <c r="M44" i="183"/>
  <c r="N30" i="181"/>
  <c r="N19" i="179"/>
  <c r="N30" i="179" s="1"/>
  <c r="N19" i="173"/>
  <c r="N30" i="173" s="1"/>
  <c r="L19" i="172"/>
  <c r="N13" i="172"/>
  <c r="N19" i="172" s="1"/>
  <c r="N30" i="172" s="1"/>
  <c r="N16" i="171"/>
  <c r="N13" i="176"/>
  <c r="N19" i="176" s="1"/>
  <c r="N30" i="176" s="1"/>
  <c r="L30" i="175"/>
  <c r="N19" i="180"/>
  <c r="N30" i="180" s="1"/>
  <c r="L30" i="174"/>
  <c r="L30" i="179"/>
  <c r="L30" i="173"/>
  <c r="N18" i="171"/>
  <c r="O15" i="170"/>
  <c r="R47" i="184"/>
  <c r="N13" i="171"/>
  <c r="L19" i="171"/>
  <c r="L19" i="182"/>
  <c r="N13" i="182"/>
  <c r="N19" i="182" s="1"/>
  <c r="N30" i="182" s="1"/>
  <c r="L30" i="181"/>
  <c r="L19" i="178"/>
  <c r="N13" i="178"/>
  <c r="N19" i="178" s="1"/>
  <c r="N30" i="178" s="1"/>
  <c r="N19" i="174"/>
  <c r="N30" i="174" s="1"/>
  <c r="N19" i="175"/>
  <c r="N30" i="175" s="1"/>
  <c r="L19" i="177"/>
  <c r="N13" i="177"/>
  <c r="N19" i="177" s="1"/>
  <c r="N30" i="177" s="1"/>
  <c r="E39" i="191" l="1"/>
  <c r="R25" i="259"/>
  <c r="F25" i="260" s="1"/>
  <c r="J25" i="259"/>
  <c r="P25" i="259" s="1"/>
  <c r="R23" i="223"/>
  <c r="F23" i="224" s="1"/>
  <c r="J23" i="223"/>
  <c r="P23" i="223" s="1"/>
  <c r="S13" i="191"/>
  <c r="K17" i="233"/>
  <c r="K26" i="233"/>
  <c r="K25" i="233"/>
  <c r="K20" i="233"/>
  <c r="K57" i="233"/>
  <c r="K18" i="233"/>
  <c r="K23" i="233"/>
  <c r="K24" i="233"/>
  <c r="K27" i="233"/>
  <c r="K19" i="233"/>
  <c r="K22" i="233"/>
  <c r="K28" i="233"/>
  <c r="K21" i="233"/>
  <c r="F14" i="224"/>
  <c r="Z17" i="183"/>
  <c r="AC17" i="183" s="1"/>
  <c r="K17" i="183" s="1"/>
  <c r="K61" i="183" s="1"/>
  <c r="K16" i="168"/>
  <c r="R23" i="187"/>
  <c r="T23" i="187" s="1"/>
  <c r="Q24" i="187"/>
  <c r="R38" i="191"/>
  <c r="T38" i="191" s="1"/>
  <c r="U38" i="191" s="1"/>
  <c r="R29" i="191"/>
  <c r="T29" i="191"/>
  <c r="H60" i="206"/>
  <c r="J60" i="206" s="1"/>
  <c r="M60" i="206" s="1"/>
  <c r="N60" i="206" s="1"/>
  <c r="O18" i="206" s="1"/>
  <c r="P18" i="206" s="1"/>
  <c r="H64" i="206"/>
  <c r="J64" i="206" s="1"/>
  <c r="M64" i="206" s="1"/>
  <c r="N64" i="206" s="1"/>
  <c r="O22" i="206" s="1"/>
  <c r="P22" i="206" s="1"/>
  <c r="J68" i="206"/>
  <c r="M68" i="206" s="1"/>
  <c r="N68" i="206" s="1"/>
  <c r="O26" i="206" s="1"/>
  <c r="P26" i="206" s="1"/>
  <c r="H61" i="206"/>
  <c r="J61" i="206" s="1"/>
  <c r="M61" i="206" s="1"/>
  <c r="N61" i="206" s="1"/>
  <c r="O19" i="206" s="1"/>
  <c r="P19" i="206" s="1"/>
  <c r="J65" i="206"/>
  <c r="M65" i="206" s="1"/>
  <c r="N65" i="206" s="1"/>
  <c r="O23" i="206" s="1"/>
  <c r="P23" i="206" s="1"/>
  <c r="J69" i="206"/>
  <c r="M69" i="206" s="1"/>
  <c r="N69" i="206" s="1"/>
  <c r="O27" i="206" s="1"/>
  <c r="P27" i="206" s="1"/>
  <c r="H62" i="206"/>
  <c r="J62" i="206" s="1"/>
  <c r="M62" i="206" s="1"/>
  <c r="N62" i="206" s="1"/>
  <c r="O20" i="206" s="1"/>
  <c r="P20" i="206" s="1"/>
  <c r="J66" i="206"/>
  <c r="M66" i="206" s="1"/>
  <c r="N66" i="206" s="1"/>
  <c r="O24" i="206" s="1"/>
  <c r="P24" i="206" s="1"/>
  <c r="J70" i="206"/>
  <c r="M70" i="206" s="1"/>
  <c r="N70" i="206" s="1"/>
  <c r="O28" i="206" s="1"/>
  <c r="P28" i="206" s="1"/>
  <c r="H63" i="206"/>
  <c r="J63" i="206" s="1"/>
  <c r="M63" i="206" s="1"/>
  <c r="N63" i="206" s="1"/>
  <c r="O21" i="206" s="1"/>
  <c r="P21" i="206" s="1"/>
  <c r="J67" i="206"/>
  <c r="M67" i="206" s="1"/>
  <c r="N67" i="206" s="1"/>
  <c r="O25" i="206" s="1"/>
  <c r="P25" i="206" s="1"/>
  <c r="H44" i="206"/>
  <c r="K21" i="205"/>
  <c r="R34" i="198"/>
  <c r="L30" i="182"/>
  <c r="L30" i="172"/>
  <c r="L30" i="176"/>
  <c r="L30" i="177"/>
  <c r="L30" i="178"/>
  <c r="L30" i="171"/>
  <c r="N19" i="171"/>
  <c r="N30" i="171" s="1"/>
  <c r="F39" i="191" l="1"/>
  <c r="J25" i="260"/>
  <c r="P25" i="260" s="1"/>
  <c r="R25" i="260"/>
  <c r="E20" i="280" s="1"/>
  <c r="R23" i="224"/>
  <c r="F23" i="225" s="1"/>
  <c r="J23" i="224"/>
  <c r="P23" i="224" s="1"/>
  <c r="K74" i="233"/>
  <c r="K68" i="233"/>
  <c r="K72" i="233"/>
  <c r="K73" i="233"/>
  <c r="K63" i="233"/>
  <c r="K69" i="233"/>
  <c r="K66" i="233"/>
  <c r="K71" i="233"/>
  <c r="K67" i="233"/>
  <c r="K64" i="233"/>
  <c r="K65" i="233"/>
  <c r="K70" i="233"/>
  <c r="K44" i="233"/>
  <c r="J14" i="224"/>
  <c r="P14" i="224" s="1"/>
  <c r="R14" i="224"/>
  <c r="Z18" i="183"/>
  <c r="Z19" i="183" s="1"/>
  <c r="Z20" i="183" s="1"/>
  <c r="Z21" i="183" s="1"/>
  <c r="Z22" i="183" s="1"/>
  <c r="Z23" i="183" s="1"/>
  <c r="L16" i="168"/>
  <c r="Q25" i="187"/>
  <c r="R24" i="187"/>
  <c r="T24" i="187" s="1"/>
  <c r="T39" i="191"/>
  <c r="K25" i="205"/>
  <c r="K61" i="205"/>
  <c r="K71" i="205" s="1"/>
  <c r="K26" i="205"/>
  <c r="K24" i="205"/>
  <c r="K23" i="205"/>
  <c r="K22" i="205"/>
  <c r="K27" i="205" s="1"/>
  <c r="H86" i="206"/>
  <c r="J44" i="206"/>
  <c r="G39" i="191" l="1"/>
  <c r="H39" i="191"/>
  <c r="J23" i="225"/>
  <c r="P23" i="225" s="1"/>
  <c r="R23" i="225"/>
  <c r="F23" i="226" s="1"/>
  <c r="K90" i="233"/>
  <c r="F14" i="225"/>
  <c r="Z24" i="183"/>
  <c r="Z25" i="183" s="1"/>
  <c r="Z26" i="183" s="1"/>
  <c r="Z27" i="183" s="1"/>
  <c r="Z28" i="183" s="1"/>
  <c r="AC18" i="183"/>
  <c r="K18" i="183" s="1"/>
  <c r="K62" i="183" s="1"/>
  <c r="Q26" i="187"/>
  <c r="M16" i="168"/>
  <c r="R25" i="187"/>
  <c r="T25" i="187" s="1"/>
  <c r="AC19" i="183"/>
  <c r="K19" i="183" s="1"/>
  <c r="R34" i="199"/>
  <c r="M44" i="206"/>
  <c r="J86" i="206"/>
  <c r="K49" i="205"/>
  <c r="K72" i="205"/>
  <c r="K73" i="205"/>
  <c r="K74" i="205"/>
  <c r="K76" i="205"/>
  <c r="K75" i="205"/>
  <c r="A339" i="165"/>
  <c r="A338" i="165"/>
  <c r="A337" i="165"/>
  <c r="A336" i="165"/>
  <c r="A335" i="165"/>
  <c r="A334" i="165"/>
  <c r="A333" i="165"/>
  <c r="A332" i="165"/>
  <c r="A331" i="165"/>
  <c r="A330" i="165"/>
  <c r="A329" i="165"/>
  <c r="A328" i="165"/>
  <c r="A327" i="165"/>
  <c r="A326" i="165"/>
  <c r="A325" i="165"/>
  <c r="A324" i="165"/>
  <c r="A323" i="165"/>
  <c r="A322" i="165"/>
  <c r="A321" i="165"/>
  <c r="A320" i="165"/>
  <c r="A319" i="165"/>
  <c r="A318" i="165"/>
  <c r="A317" i="165"/>
  <c r="A316" i="165"/>
  <c r="A315" i="165"/>
  <c r="A314" i="165"/>
  <c r="A313" i="165"/>
  <c r="A312" i="165"/>
  <c r="A311" i="165"/>
  <c r="A310" i="165"/>
  <c r="A309" i="165"/>
  <c r="A308" i="165"/>
  <c r="A307" i="165"/>
  <c r="A306" i="165"/>
  <c r="A305" i="165"/>
  <c r="A304" i="165"/>
  <c r="A303" i="165"/>
  <c r="A302" i="165"/>
  <c r="A301" i="165"/>
  <c r="A300" i="165"/>
  <c r="A299" i="165"/>
  <c r="A298" i="165"/>
  <c r="A297" i="165"/>
  <c r="A296" i="165"/>
  <c r="A295" i="165"/>
  <c r="A294" i="165"/>
  <c r="A293" i="165"/>
  <c r="A292" i="165"/>
  <c r="A291" i="165"/>
  <c r="A290" i="165"/>
  <c r="A289" i="165"/>
  <c r="A288" i="165"/>
  <c r="A287" i="165"/>
  <c r="A286" i="165"/>
  <c r="A285" i="165"/>
  <c r="A284" i="165"/>
  <c r="A283" i="165"/>
  <c r="A282" i="165"/>
  <c r="A281" i="165"/>
  <c r="A280" i="165"/>
  <c r="A279" i="165"/>
  <c r="A278" i="165"/>
  <c r="A277" i="165"/>
  <c r="A276" i="165"/>
  <c r="A275" i="165"/>
  <c r="A274" i="165"/>
  <c r="A273" i="165"/>
  <c r="A272" i="165"/>
  <c r="A271" i="165"/>
  <c r="A270" i="165"/>
  <c r="A269" i="165"/>
  <c r="A268" i="165"/>
  <c r="A267" i="165"/>
  <c r="A266" i="165"/>
  <c r="A265" i="165"/>
  <c r="A264" i="165"/>
  <c r="A263" i="165"/>
  <c r="A262" i="165"/>
  <c r="A261" i="165"/>
  <c r="A260" i="165"/>
  <c r="A259" i="165"/>
  <c r="A258" i="165"/>
  <c r="A257" i="165"/>
  <c r="A256" i="165"/>
  <c r="A255" i="165"/>
  <c r="A254" i="165"/>
  <c r="A253" i="165"/>
  <c r="A252" i="165"/>
  <c r="A251" i="165"/>
  <c r="A250" i="165"/>
  <c r="A249" i="165"/>
  <c r="A248" i="165"/>
  <c r="A247" i="165"/>
  <c r="A246" i="165"/>
  <c r="A245" i="165"/>
  <c r="A244" i="165"/>
  <c r="A243" i="165"/>
  <c r="A242" i="165"/>
  <c r="A241" i="165"/>
  <c r="A240" i="165"/>
  <c r="A239" i="165"/>
  <c r="A238" i="165"/>
  <c r="A237" i="165"/>
  <c r="A236" i="165"/>
  <c r="A235" i="165"/>
  <c r="A234" i="165"/>
  <c r="A233" i="165"/>
  <c r="A232" i="165"/>
  <c r="A231" i="165"/>
  <c r="A230" i="165"/>
  <c r="A229" i="165"/>
  <c r="A228" i="165"/>
  <c r="A227" i="165"/>
  <c r="A226" i="165"/>
  <c r="A225" i="165"/>
  <c r="A224" i="165"/>
  <c r="A223" i="165"/>
  <c r="A222" i="165"/>
  <c r="A221" i="165"/>
  <c r="A220" i="165"/>
  <c r="A219" i="165"/>
  <c r="A218" i="165"/>
  <c r="A217" i="165"/>
  <c r="A216" i="165"/>
  <c r="A215" i="165"/>
  <c r="A214" i="165"/>
  <c r="A213" i="165"/>
  <c r="A212" i="165"/>
  <c r="A211" i="165"/>
  <c r="A210" i="165"/>
  <c r="A209" i="165"/>
  <c r="A208" i="165"/>
  <c r="A207" i="165"/>
  <c r="A206" i="165"/>
  <c r="A205" i="165"/>
  <c r="A204" i="165"/>
  <c r="A203" i="165"/>
  <c r="A202" i="165"/>
  <c r="A201" i="165"/>
  <c r="A200" i="165"/>
  <c r="A199" i="165"/>
  <c r="A198" i="165"/>
  <c r="A197" i="165"/>
  <c r="A196" i="165"/>
  <c r="A195" i="165"/>
  <c r="A194" i="165"/>
  <c r="A193" i="165"/>
  <c r="A192" i="165"/>
  <c r="A191" i="165"/>
  <c r="A190" i="165"/>
  <c r="A189" i="165"/>
  <c r="A188" i="165"/>
  <c r="A187" i="165"/>
  <c r="A186" i="165"/>
  <c r="A185" i="165"/>
  <c r="A184" i="165"/>
  <c r="A183" i="165"/>
  <c r="A182" i="165"/>
  <c r="A181" i="165"/>
  <c r="A180" i="165"/>
  <c r="A179" i="165"/>
  <c r="A178" i="165"/>
  <c r="A177" i="165"/>
  <c r="A176" i="165"/>
  <c r="A175" i="165"/>
  <c r="A174" i="165"/>
  <c r="A173" i="165"/>
  <c r="A172" i="165"/>
  <c r="A171" i="165"/>
  <c r="A170" i="165"/>
  <c r="A169" i="165"/>
  <c r="A168" i="165"/>
  <c r="A167" i="165"/>
  <c r="A166" i="165"/>
  <c r="A165" i="165"/>
  <c r="A164" i="165"/>
  <c r="A163" i="165"/>
  <c r="A162" i="165"/>
  <c r="A161" i="165"/>
  <c r="A160" i="165"/>
  <c r="A159" i="165"/>
  <c r="A158" i="165"/>
  <c r="A157" i="165"/>
  <c r="A156" i="165"/>
  <c r="A155" i="165"/>
  <c r="A154" i="165"/>
  <c r="A153" i="165"/>
  <c r="A152" i="165"/>
  <c r="A151" i="165"/>
  <c r="A150" i="165"/>
  <c r="A149" i="165"/>
  <c r="A148" i="165"/>
  <c r="A147" i="165"/>
  <c r="A146" i="165"/>
  <c r="A145" i="165"/>
  <c r="A144" i="165"/>
  <c r="A143" i="165"/>
  <c r="A142" i="165"/>
  <c r="A141" i="165"/>
  <c r="A140" i="165"/>
  <c r="A139" i="165"/>
  <c r="A138" i="165"/>
  <c r="A137" i="165"/>
  <c r="A136" i="165"/>
  <c r="A135" i="165"/>
  <c r="A134" i="165"/>
  <c r="A133" i="165"/>
  <c r="A132" i="165"/>
  <c r="A131" i="165"/>
  <c r="A130" i="165"/>
  <c r="A129" i="165"/>
  <c r="A128" i="165"/>
  <c r="A127" i="165"/>
  <c r="A126" i="165"/>
  <c r="A125" i="165"/>
  <c r="A124" i="165"/>
  <c r="A123" i="165"/>
  <c r="A122" i="165"/>
  <c r="A121" i="165"/>
  <c r="A120" i="165"/>
  <c r="A119" i="165"/>
  <c r="A118" i="165"/>
  <c r="A117" i="165"/>
  <c r="A116" i="165"/>
  <c r="A115" i="165"/>
  <c r="A114" i="165"/>
  <c r="A113" i="165"/>
  <c r="A112" i="165"/>
  <c r="A111" i="165"/>
  <c r="A110" i="165"/>
  <c r="A109" i="165"/>
  <c r="A108" i="165"/>
  <c r="A107" i="165"/>
  <c r="A106" i="165"/>
  <c r="A105" i="165"/>
  <c r="A104" i="165"/>
  <c r="A103" i="165"/>
  <c r="A102" i="165"/>
  <c r="A101" i="165"/>
  <c r="A100" i="165"/>
  <c r="A99" i="165"/>
  <c r="A98" i="165"/>
  <c r="A97" i="165"/>
  <c r="A96" i="165"/>
  <c r="A95" i="165"/>
  <c r="A94" i="165"/>
  <c r="A93" i="165"/>
  <c r="A92" i="165"/>
  <c r="A91" i="165"/>
  <c r="A90" i="165"/>
  <c r="A89" i="165"/>
  <c r="A88" i="165"/>
  <c r="A87" i="165"/>
  <c r="A86" i="165"/>
  <c r="A85" i="165"/>
  <c r="A84" i="165"/>
  <c r="A83" i="165"/>
  <c r="A82" i="165"/>
  <c r="A81" i="165"/>
  <c r="A80" i="165"/>
  <c r="A79" i="165"/>
  <c r="A78" i="165"/>
  <c r="A77" i="165"/>
  <c r="A76" i="165"/>
  <c r="A75" i="165"/>
  <c r="A74" i="165"/>
  <c r="A73" i="165"/>
  <c r="A72" i="165"/>
  <c r="A71" i="165"/>
  <c r="A70" i="165"/>
  <c r="A69" i="165"/>
  <c r="A68" i="165"/>
  <c r="A67" i="165"/>
  <c r="A66" i="165"/>
  <c r="A65" i="165"/>
  <c r="A64" i="165"/>
  <c r="A63" i="165"/>
  <c r="A62" i="165"/>
  <c r="A61" i="165"/>
  <c r="A60" i="165"/>
  <c r="A59" i="165"/>
  <c r="A58" i="165"/>
  <c r="A57" i="165"/>
  <c r="A56" i="165"/>
  <c r="I39" i="191" l="1"/>
  <c r="R23" i="226"/>
  <c r="F23" i="227" s="1"/>
  <c r="J23" i="226"/>
  <c r="P23" i="226" s="1"/>
  <c r="J14" i="225"/>
  <c r="P14" i="225" s="1"/>
  <c r="R14" i="225"/>
  <c r="N16" i="168"/>
  <c r="Q27" i="187"/>
  <c r="R26" i="187"/>
  <c r="T26" i="187" s="1"/>
  <c r="K63" i="183"/>
  <c r="AC20" i="183"/>
  <c r="K20" i="183" s="1"/>
  <c r="K64" i="183" s="1"/>
  <c r="M86" i="206"/>
  <c r="K99" i="205"/>
  <c r="N44" i="206"/>
  <c r="F34" i="200"/>
  <c r="A55" i="165"/>
  <c r="J39" i="191" l="1"/>
  <c r="J23" i="227"/>
  <c r="P23" i="227" s="1"/>
  <c r="R23" i="227"/>
  <c r="F23" i="228" s="1"/>
  <c r="F14" i="226"/>
  <c r="O16" i="168"/>
  <c r="Q28" i="187"/>
  <c r="R27" i="187"/>
  <c r="T27" i="187" s="1"/>
  <c r="AC21" i="183"/>
  <c r="K21" i="183" s="1"/>
  <c r="K65" i="183" s="1"/>
  <c r="R34" i="200"/>
  <c r="N86" i="206"/>
  <c r="O17" i="206"/>
  <c r="O21" i="165"/>
  <c r="K21" i="165"/>
  <c r="G21" i="165"/>
  <c r="O20" i="165"/>
  <c r="K20" i="165"/>
  <c r="G20" i="165"/>
  <c r="L10" i="149"/>
  <c r="H10" i="149"/>
  <c r="D10" i="149"/>
  <c r="O14" i="165"/>
  <c r="K14" i="165"/>
  <c r="G14" i="165"/>
  <c r="O13" i="165"/>
  <c r="K13" i="165"/>
  <c r="G13" i="165"/>
  <c r="O12" i="165"/>
  <c r="K12" i="165"/>
  <c r="G12" i="165"/>
  <c r="O11" i="165"/>
  <c r="K11" i="165"/>
  <c r="G11" i="165"/>
  <c r="O10" i="165"/>
  <c r="K10" i="165"/>
  <c r="G10" i="165"/>
  <c r="O9" i="165"/>
  <c r="K9" i="165"/>
  <c r="G9" i="165"/>
  <c r="N14" i="165"/>
  <c r="F14" i="165"/>
  <c r="J13" i="165"/>
  <c r="N12" i="165"/>
  <c r="F12" i="165"/>
  <c r="J11" i="165"/>
  <c r="N10" i="165"/>
  <c r="F10" i="165"/>
  <c r="J9" i="165"/>
  <c r="F9" i="165"/>
  <c r="Q21" i="165"/>
  <c r="Q20" i="165"/>
  <c r="N21" i="165"/>
  <c r="J21" i="165"/>
  <c r="F21" i="165"/>
  <c r="N20" i="165"/>
  <c r="J20" i="165"/>
  <c r="F20" i="165"/>
  <c r="G10" i="149"/>
  <c r="J14" i="165"/>
  <c r="N13" i="165"/>
  <c r="F13" i="165"/>
  <c r="J12" i="165"/>
  <c r="N11" i="165"/>
  <c r="F11" i="165"/>
  <c r="J10" i="165"/>
  <c r="N9" i="165"/>
  <c r="M21" i="165"/>
  <c r="I21" i="165"/>
  <c r="M20" i="165"/>
  <c r="H21" i="165"/>
  <c r="H20" i="165"/>
  <c r="P14" i="165"/>
  <c r="H14" i="165"/>
  <c r="L13" i="165"/>
  <c r="P12" i="165"/>
  <c r="H12" i="165"/>
  <c r="L11" i="165"/>
  <c r="P10" i="165"/>
  <c r="H10" i="165"/>
  <c r="L9" i="165"/>
  <c r="L20" i="165"/>
  <c r="P13" i="165"/>
  <c r="L12" i="165"/>
  <c r="H11" i="165"/>
  <c r="P9" i="165"/>
  <c r="L21" i="165"/>
  <c r="I14" i="165"/>
  <c r="Q12" i="165"/>
  <c r="M11" i="165"/>
  <c r="I10" i="165"/>
  <c r="P20" i="165"/>
  <c r="M14" i="165"/>
  <c r="Q13" i="165"/>
  <c r="I13" i="165"/>
  <c r="M12" i="165"/>
  <c r="Q11" i="165"/>
  <c r="I11" i="165"/>
  <c r="M10" i="165"/>
  <c r="Q9" i="165"/>
  <c r="I9" i="165"/>
  <c r="P21" i="165"/>
  <c r="L14" i="165"/>
  <c r="H13" i="165"/>
  <c r="P11" i="165"/>
  <c r="L10" i="165"/>
  <c r="H9" i="165"/>
  <c r="I20" i="165"/>
  <c r="F10" i="149"/>
  <c r="Q14" i="165"/>
  <c r="M13" i="165"/>
  <c r="I12" i="165"/>
  <c r="Q10" i="165"/>
  <c r="M9" i="165"/>
  <c r="R23" i="228" l="1"/>
  <c r="F23" i="229" s="1"/>
  <c r="J23" i="228"/>
  <c r="P23" i="228" s="1"/>
  <c r="J14" i="226"/>
  <c r="P14" i="226" s="1"/>
  <c r="R14" i="226"/>
  <c r="P16" i="168"/>
  <c r="R28" i="187"/>
  <c r="T28" i="187" s="1"/>
  <c r="R16" i="206"/>
  <c r="U16" i="206" s="1"/>
  <c r="Q44" i="187"/>
  <c r="AC22" i="183"/>
  <c r="K22" i="183" s="1"/>
  <c r="K66" i="183" s="1"/>
  <c r="P17" i="206"/>
  <c r="O44" i="206"/>
  <c r="F34" i="201"/>
  <c r="J10" i="149"/>
  <c r="M14" i="149"/>
  <c r="P27" i="165"/>
  <c r="P45" i="165" s="1"/>
  <c r="K10" i="149"/>
  <c r="R18" i="165"/>
  <c r="F27" i="165"/>
  <c r="F45" i="165" s="1"/>
  <c r="R9" i="165"/>
  <c r="R14" i="165"/>
  <c r="G27" i="165"/>
  <c r="G45" i="165" s="1"/>
  <c r="D14" i="149"/>
  <c r="R26" i="165"/>
  <c r="I27" i="165"/>
  <c r="I45" i="165" s="1"/>
  <c r="F14" i="149"/>
  <c r="I10" i="149"/>
  <c r="E10" i="149"/>
  <c r="N27" i="165"/>
  <c r="N45" i="165" s="1"/>
  <c r="K14" i="149"/>
  <c r="R15" i="165"/>
  <c r="R17" i="165"/>
  <c r="R21" i="165"/>
  <c r="J27" i="165"/>
  <c r="J45" i="165" s="1"/>
  <c r="G14" i="149"/>
  <c r="R12" i="165"/>
  <c r="H14" i="149"/>
  <c r="K27" i="165"/>
  <c r="K45" i="165" s="1"/>
  <c r="R25" i="165"/>
  <c r="R22" i="165"/>
  <c r="H27" i="165"/>
  <c r="H45" i="165" s="1"/>
  <c r="E14" i="149"/>
  <c r="N14" i="149"/>
  <c r="Q27" i="165"/>
  <c r="Q45" i="165" s="1"/>
  <c r="M10" i="149"/>
  <c r="R13" i="165"/>
  <c r="R20" i="165"/>
  <c r="R10" i="165"/>
  <c r="L14" i="149"/>
  <c r="O27" i="165"/>
  <c r="O45" i="165" s="1"/>
  <c r="R24" i="165"/>
  <c r="M27" i="165"/>
  <c r="M45" i="165" s="1"/>
  <c r="J14" i="149"/>
  <c r="N10" i="149"/>
  <c r="I14" i="149"/>
  <c r="L27" i="165"/>
  <c r="L45" i="165" s="1"/>
  <c r="R11" i="165"/>
  <c r="R19" i="165"/>
  <c r="C10" i="149"/>
  <c r="R16" i="165"/>
  <c r="R23" i="165"/>
  <c r="C14" i="149"/>
  <c r="Z16" i="191" l="1"/>
  <c r="J23" i="229"/>
  <c r="P23" i="229" s="1"/>
  <c r="R23" i="229"/>
  <c r="F23" i="230" s="1"/>
  <c r="F14" i="227"/>
  <c r="Q16" i="168"/>
  <c r="R17" i="206"/>
  <c r="W17" i="206" s="1"/>
  <c r="AC23" i="183"/>
  <c r="K23" i="183" s="1"/>
  <c r="P44" i="206"/>
  <c r="R34" i="201"/>
  <c r="I12" i="162"/>
  <c r="R27" i="165"/>
  <c r="R45" i="165" s="1"/>
  <c r="E9" i="8"/>
  <c r="G9" i="8" s="1"/>
  <c r="E10" i="8"/>
  <c r="G10" i="8" s="1"/>
  <c r="E11" i="8"/>
  <c r="R18" i="206" l="1"/>
  <c r="E16" i="191"/>
  <c r="J12" i="205"/>
  <c r="J62" i="205" s="1"/>
  <c r="R23" i="230"/>
  <c r="F23" i="231" s="1"/>
  <c r="J23" i="230"/>
  <c r="P23" i="230" s="1"/>
  <c r="J14" i="227"/>
  <c r="P14" i="227" s="1"/>
  <c r="R14" i="227"/>
  <c r="S17" i="206"/>
  <c r="U17" i="206" s="1"/>
  <c r="K67" i="183"/>
  <c r="AC24" i="183"/>
  <c r="K24" i="183" s="1"/>
  <c r="K68" i="183" s="1"/>
  <c r="R19" i="206"/>
  <c r="S18" i="206"/>
  <c r="F34" i="202"/>
  <c r="F11" i="8"/>
  <c r="G11" i="8"/>
  <c r="G12" i="8"/>
  <c r="G16" i="191" l="1"/>
  <c r="W19" i="206"/>
  <c r="F16" i="191"/>
  <c r="W18" i="206"/>
  <c r="J58" i="233"/>
  <c r="J23" i="231"/>
  <c r="P23" i="231" s="1"/>
  <c r="R23" i="231"/>
  <c r="F23" i="232" s="1"/>
  <c r="F14" i="228"/>
  <c r="AC25" i="183"/>
  <c r="K25" i="183" s="1"/>
  <c r="K69" i="183" s="1"/>
  <c r="S19" i="206"/>
  <c r="R20" i="206"/>
  <c r="W20" i="206" s="1"/>
  <c r="R34" i="202"/>
  <c r="E20" i="168"/>
  <c r="I20" i="168"/>
  <c r="M20" i="168"/>
  <c r="D20" i="168"/>
  <c r="G20" i="167"/>
  <c r="K20" i="167"/>
  <c r="O20" i="167"/>
  <c r="F20" i="168"/>
  <c r="J20" i="168"/>
  <c r="N20" i="168"/>
  <c r="H20" i="167"/>
  <c r="L20" i="167"/>
  <c r="P20" i="167"/>
  <c r="G20" i="168"/>
  <c r="K20" i="168"/>
  <c r="O20" i="168"/>
  <c r="E20" i="167"/>
  <c r="I20" i="167"/>
  <c r="M20" i="167"/>
  <c r="D20" i="167"/>
  <c r="H20" i="168"/>
  <c r="L20" i="168"/>
  <c r="P20" i="168"/>
  <c r="F20" i="167"/>
  <c r="J20" i="167"/>
  <c r="N20" i="167"/>
  <c r="H13" i="162"/>
  <c r="L72" i="130"/>
  <c r="L73" i="130"/>
  <c r="L74" i="130"/>
  <c r="L75" i="130"/>
  <c r="L76" i="130"/>
  <c r="L77" i="130"/>
  <c r="L78" i="130"/>
  <c r="L79" i="130"/>
  <c r="L80" i="130"/>
  <c r="L81" i="130"/>
  <c r="L82" i="130"/>
  <c r="L83" i="130"/>
  <c r="L84" i="130"/>
  <c r="L85" i="130"/>
  <c r="L86" i="130"/>
  <c r="H56" i="130"/>
  <c r="S20" i="206" l="1"/>
  <c r="H16" i="191"/>
  <c r="R23" i="232"/>
  <c r="J23" i="232"/>
  <c r="P23" i="232" s="1"/>
  <c r="J14" i="228"/>
  <c r="P14" i="228" s="1"/>
  <c r="R14" i="228"/>
  <c r="AC26" i="183"/>
  <c r="K26" i="183" s="1"/>
  <c r="K70" i="183" s="1"/>
  <c r="U18" i="206"/>
  <c r="R21" i="206"/>
  <c r="F34" i="203"/>
  <c r="Q20" i="167"/>
  <c r="Q20" i="168"/>
  <c r="J12" i="183"/>
  <c r="I16" i="191" l="1"/>
  <c r="W21" i="206"/>
  <c r="F14" i="229"/>
  <c r="AC28" i="183"/>
  <c r="K28" i="183" s="1"/>
  <c r="AC27" i="183"/>
  <c r="K27" i="183" s="1"/>
  <c r="K71" i="183" s="1"/>
  <c r="U19" i="206"/>
  <c r="R34" i="203"/>
  <c r="R22" i="206"/>
  <c r="W22" i="206" s="1"/>
  <c r="S21" i="206"/>
  <c r="L12" i="108"/>
  <c r="J16" i="191" l="1"/>
  <c r="K16" i="191" s="1"/>
  <c r="T16" i="191" s="1"/>
  <c r="H12" i="205"/>
  <c r="H62" i="205" s="1"/>
  <c r="H58" i="233"/>
  <c r="J14" i="229"/>
  <c r="P14" i="229" s="1"/>
  <c r="R14" i="229"/>
  <c r="K72" i="183"/>
  <c r="K88" i="183" s="1"/>
  <c r="K44" i="183"/>
  <c r="U20" i="206"/>
  <c r="S22" i="206"/>
  <c r="F34" i="204"/>
  <c r="M12" i="108"/>
  <c r="H12" i="183"/>
  <c r="G12" i="162"/>
  <c r="G12" i="130"/>
  <c r="D10" i="114"/>
  <c r="E10" i="114"/>
  <c r="F10" i="114"/>
  <c r="G10" i="114"/>
  <c r="H10" i="114"/>
  <c r="I10" i="114"/>
  <c r="J10" i="114"/>
  <c r="K10" i="114"/>
  <c r="L10" i="114"/>
  <c r="M10" i="114"/>
  <c r="N10" i="114"/>
  <c r="D12" i="114"/>
  <c r="E12" i="114"/>
  <c r="F12" i="114"/>
  <c r="G12" i="114"/>
  <c r="H12" i="114"/>
  <c r="I12" i="114"/>
  <c r="J12" i="114"/>
  <c r="K12" i="114"/>
  <c r="L12" i="114"/>
  <c r="M12" i="114"/>
  <c r="N12" i="114"/>
  <c r="C12" i="114"/>
  <c r="C10" i="114"/>
  <c r="R23" i="128"/>
  <c r="R24" i="128"/>
  <c r="R25" i="128"/>
  <c r="R26" i="128"/>
  <c r="R27" i="128"/>
  <c r="R28" i="128"/>
  <c r="R29" i="128"/>
  <c r="R30" i="128"/>
  <c r="R31" i="128"/>
  <c r="R32" i="128"/>
  <c r="R33" i="128"/>
  <c r="R37" i="128"/>
  <c r="X17" i="191" l="1"/>
  <c r="K18" i="191"/>
  <c r="K22" i="191" s="1"/>
  <c r="X16" i="191"/>
  <c r="F14" i="230"/>
  <c r="U21" i="206"/>
  <c r="U22" i="206" s="1"/>
  <c r="R34" i="204"/>
  <c r="F34" i="221" s="1"/>
  <c r="R34" i="221" s="1"/>
  <c r="R24" i="206"/>
  <c r="M72" i="130"/>
  <c r="M73" i="130"/>
  <c r="M74" i="130"/>
  <c r="M75" i="130"/>
  <c r="M76" i="130"/>
  <c r="M77" i="130"/>
  <c r="M78" i="130"/>
  <c r="M79" i="130"/>
  <c r="M80" i="130"/>
  <c r="M81" i="130"/>
  <c r="M82" i="130"/>
  <c r="M83" i="130"/>
  <c r="M84" i="130"/>
  <c r="M85" i="130"/>
  <c r="M86" i="130"/>
  <c r="F34" i="222" l="1"/>
  <c r="R14" i="230"/>
  <c r="J14" i="230"/>
  <c r="P14" i="230" s="1"/>
  <c r="R15" i="171"/>
  <c r="F15" i="172" s="1"/>
  <c r="J15" i="171"/>
  <c r="P15" i="171" s="1"/>
  <c r="S24" i="206"/>
  <c r="R25" i="206"/>
  <c r="R44" i="128"/>
  <c r="R45" i="128"/>
  <c r="R46" i="128"/>
  <c r="R47" i="128"/>
  <c r="R48" i="128"/>
  <c r="R38" i="128"/>
  <c r="R36" i="128"/>
  <c r="R35" i="128"/>
  <c r="R34" i="128"/>
  <c r="R22" i="128"/>
  <c r="R21" i="128"/>
  <c r="R20" i="128"/>
  <c r="R19" i="128"/>
  <c r="R18" i="128"/>
  <c r="R17" i="128"/>
  <c r="R16" i="128"/>
  <c r="R15" i="128"/>
  <c r="R14" i="128"/>
  <c r="R13" i="128"/>
  <c r="R12" i="128"/>
  <c r="R11" i="128"/>
  <c r="R10" i="128"/>
  <c r="R9" i="128"/>
  <c r="R8" i="128"/>
  <c r="H12" i="130" s="1"/>
  <c r="R52" i="128"/>
  <c r="R51" i="128"/>
  <c r="R50" i="128"/>
  <c r="R49" i="128"/>
  <c r="R42" i="128"/>
  <c r="R43" i="128"/>
  <c r="I12" i="205" l="1"/>
  <c r="I62" i="205" s="1"/>
  <c r="I58" i="233"/>
  <c r="F14" i="231"/>
  <c r="R34" i="222"/>
  <c r="J15" i="172"/>
  <c r="P15" i="172" s="1"/>
  <c r="R15" i="172"/>
  <c r="F15" i="173" s="1"/>
  <c r="U24" i="206"/>
  <c r="R26" i="206"/>
  <c r="S25" i="206"/>
  <c r="H12" i="162"/>
  <c r="I12" i="183"/>
  <c r="D27" i="149"/>
  <c r="E27" i="149"/>
  <c r="F27" i="149"/>
  <c r="G27" i="149"/>
  <c r="H27" i="149"/>
  <c r="I27" i="149"/>
  <c r="J27" i="149"/>
  <c r="K27" i="149"/>
  <c r="L27" i="149"/>
  <c r="M27" i="149"/>
  <c r="N27" i="149"/>
  <c r="D28" i="149"/>
  <c r="E28" i="149"/>
  <c r="F28" i="149"/>
  <c r="G28" i="149"/>
  <c r="H28" i="149"/>
  <c r="I28" i="149"/>
  <c r="J28" i="149"/>
  <c r="K28" i="149"/>
  <c r="L28" i="149"/>
  <c r="M28" i="149"/>
  <c r="N28" i="149"/>
  <c r="C28" i="149"/>
  <c r="C27" i="149"/>
  <c r="D26" i="149"/>
  <c r="E26" i="149"/>
  <c r="F26" i="149"/>
  <c r="G26" i="149"/>
  <c r="H26" i="149"/>
  <c r="I26" i="149"/>
  <c r="J26" i="149"/>
  <c r="K26" i="149"/>
  <c r="L26" i="149"/>
  <c r="M26" i="149"/>
  <c r="N26" i="149"/>
  <c r="D12" i="168" s="1"/>
  <c r="C26" i="149"/>
  <c r="D12" i="149"/>
  <c r="E12" i="149"/>
  <c r="F12" i="149"/>
  <c r="G12" i="149"/>
  <c r="H12" i="149"/>
  <c r="I12" i="149"/>
  <c r="J12" i="149"/>
  <c r="K12" i="149"/>
  <c r="L12" i="149"/>
  <c r="M12" i="149"/>
  <c r="N12" i="149"/>
  <c r="C12" i="149"/>
  <c r="I11" i="162"/>
  <c r="J11" i="183" s="1"/>
  <c r="J14" i="231" l="1"/>
  <c r="P14" i="231" s="1"/>
  <c r="R14" i="231"/>
  <c r="F34" i="223"/>
  <c r="J15" i="173"/>
  <c r="P15" i="173" s="1"/>
  <c r="R15" i="173"/>
  <c r="F15" i="174" s="1"/>
  <c r="U25" i="206"/>
  <c r="R27" i="206"/>
  <c r="R28" i="206" s="1"/>
  <c r="S26" i="206"/>
  <c r="E12" i="168"/>
  <c r="F12" i="168" s="1"/>
  <c r="G12" i="168" s="1"/>
  <c r="H12" i="168" s="1"/>
  <c r="I12" i="168" s="1"/>
  <c r="J12" i="168" s="1"/>
  <c r="K12" i="168" s="1"/>
  <c r="L12" i="168" s="1"/>
  <c r="M12" i="168" s="1"/>
  <c r="N12" i="168" s="1"/>
  <c r="O12" i="168" s="1"/>
  <c r="P12" i="168" s="1"/>
  <c r="M12" i="191" s="1"/>
  <c r="J20" i="183"/>
  <c r="J26" i="183"/>
  <c r="J25" i="183"/>
  <c r="J21" i="183"/>
  <c r="J27" i="183"/>
  <c r="J28" i="183"/>
  <c r="J22" i="183"/>
  <c r="J23" i="183"/>
  <c r="J17" i="183"/>
  <c r="J18" i="183"/>
  <c r="J24" i="183"/>
  <c r="J55" i="183"/>
  <c r="J19" i="183"/>
  <c r="P26" i="146"/>
  <c r="D26" i="167" s="1"/>
  <c r="L26" i="146"/>
  <c r="H26" i="146"/>
  <c r="M87" i="162"/>
  <c r="N87" i="162" s="1"/>
  <c r="R87" i="162" s="1"/>
  <c r="M86" i="162"/>
  <c r="N86" i="162" s="1"/>
  <c r="R86" i="162" s="1"/>
  <c r="M85" i="162"/>
  <c r="N85" i="162" s="1"/>
  <c r="R85" i="162" s="1"/>
  <c r="M84" i="162"/>
  <c r="N84" i="162" s="1"/>
  <c r="R84" i="162" s="1"/>
  <c r="M83" i="162"/>
  <c r="N83" i="162" s="1"/>
  <c r="R83" i="162" s="1"/>
  <c r="M82" i="162"/>
  <c r="N82" i="162" s="1"/>
  <c r="R82" i="162" s="1"/>
  <c r="M81" i="162"/>
  <c r="N81" i="162" s="1"/>
  <c r="R81" i="162" s="1"/>
  <c r="M80" i="162"/>
  <c r="N80" i="162" s="1"/>
  <c r="R80" i="162" s="1"/>
  <c r="M79" i="162"/>
  <c r="N79" i="162" s="1"/>
  <c r="R79" i="162" s="1"/>
  <c r="M78" i="162"/>
  <c r="N78" i="162" s="1"/>
  <c r="R78" i="162" s="1"/>
  <c r="M77" i="162"/>
  <c r="N77" i="162" s="1"/>
  <c r="R77" i="162" s="1"/>
  <c r="M76" i="162"/>
  <c r="N76" i="162" s="1"/>
  <c r="R76" i="162" s="1"/>
  <c r="M75" i="162"/>
  <c r="N75" i="162" s="1"/>
  <c r="R75" i="162" s="1"/>
  <c r="M74" i="162"/>
  <c r="N74" i="162" s="1"/>
  <c r="R74" i="162" s="1"/>
  <c r="M73" i="162"/>
  <c r="N73" i="162" s="1"/>
  <c r="R73" i="162" s="1"/>
  <c r="A61" i="162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R43" i="162"/>
  <c r="Q43" i="162"/>
  <c r="R42" i="162"/>
  <c r="Q42" i="162"/>
  <c r="R41" i="162"/>
  <c r="Q41" i="162"/>
  <c r="R40" i="162"/>
  <c r="Q40" i="162"/>
  <c r="R39" i="162"/>
  <c r="Q39" i="162"/>
  <c r="R38" i="162"/>
  <c r="Q38" i="162"/>
  <c r="R37" i="162"/>
  <c r="Q37" i="162"/>
  <c r="R36" i="162"/>
  <c r="Q36" i="162"/>
  <c r="R35" i="162"/>
  <c r="Q35" i="162"/>
  <c r="R34" i="162"/>
  <c r="Q34" i="162"/>
  <c r="R33" i="162"/>
  <c r="Q33" i="162"/>
  <c r="R32" i="162"/>
  <c r="Q32" i="162"/>
  <c r="R31" i="162"/>
  <c r="Q31" i="162"/>
  <c r="R30" i="162"/>
  <c r="Q30" i="162"/>
  <c r="Q29" i="162"/>
  <c r="A17" i="162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I56" i="162"/>
  <c r="P31" i="161"/>
  <c r="N31" i="161"/>
  <c r="J31" i="161"/>
  <c r="L30" i="161"/>
  <c r="L29" i="161"/>
  <c r="L22" i="161"/>
  <c r="H22" i="161"/>
  <c r="L21" i="161"/>
  <c r="H21" i="161"/>
  <c r="L20" i="161"/>
  <c r="H20" i="161"/>
  <c r="H16" i="161"/>
  <c r="H15" i="161"/>
  <c r="H14" i="161"/>
  <c r="A14" i="161"/>
  <c r="A15" i="161" s="1"/>
  <c r="A16" i="161" s="1"/>
  <c r="A17" i="161" s="1"/>
  <c r="A20" i="161" s="1"/>
  <c r="A21" i="161" s="1"/>
  <c r="A22" i="161" s="1"/>
  <c r="A23" i="161" s="1"/>
  <c r="A25" i="161" s="1"/>
  <c r="A28" i="161" s="1"/>
  <c r="A29" i="161" s="1"/>
  <c r="A30" i="161" s="1"/>
  <c r="A31" i="161" s="1"/>
  <c r="H13" i="161"/>
  <c r="P31" i="160"/>
  <c r="N31" i="160"/>
  <c r="J31" i="160"/>
  <c r="L30" i="160"/>
  <c r="L22" i="160"/>
  <c r="H22" i="160"/>
  <c r="N22" i="160" s="1"/>
  <c r="L21" i="160"/>
  <c r="H21" i="160"/>
  <c r="L20" i="160"/>
  <c r="H20" i="160"/>
  <c r="N20" i="160" s="1"/>
  <c r="H16" i="160"/>
  <c r="H15" i="160"/>
  <c r="H14" i="160"/>
  <c r="A14" i="160"/>
  <c r="A15" i="160" s="1"/>
  <c r="A16" i="160" s="1"/>
  <c r="A17" i="160" s="1"/>
  <c r="A20" i="160" s="1"/>
  <c r="A21" i="160" s="1"/>
  <c r="A22" i="160" s="1"/>
  <c r="A23" i="160" s="1"/>
  <c r="A25" i="160" s="1"/>
  <c r="A28" i="160" s="1"/>
  <c r="A29" i="160" s="1"/>
  <c r="A30" i="160" s="1"/>
  <c r="A31" i="160" s="1"/>
  <c r="H13" i="160"/>
  <c r="P31" i="159"/>
  <c r="N31" i="159"/>
  <c r="J31" i="159"/>
  <c r="L30" i="159"/>
  <c r="L22" i="159"/>
  <c r="H22" i="159"/>
  <c r="L21" i="159"/>
  <c r="H21" i="159"/>
  <c r="L20" i="159"/>
  <c r="H20" i="159"/>
  <c r="N20" i="159" s="1"/>
  <c r="L16" i="159"/>
  <c r="H16" i="159"/>
  <c r="L15" i="159"/>
  <c r="H15" i="159"/>
  <c r="H14" i="159"/>
  <c r="A14" i="159"/>
  <c r="A15" i="159" s="1"/>
  <c r="A16" i="159" s="1"/>
  <c r="A17" i="159" s="1"/>
  <c r="A20" i="159" s="1"/>
  <c r="A21" i="159" s="1"/>
  <c r="A22" i="159" s="1"/>
  <c r="A23" i="159" s="1"/>
  <c r="A25" i="159" s="1"/>
  <c r="A28" i="159" s="1"/>
  <c r="A29" i="159" s="1"/>
  <c r="A30" i="159" s="1"/>
  <c r="A31" i="159" s="1"/>
  <c r="H13" i="159"/>
  <c r="P31" i="158"/>
  <c r="N31" i="158"/>
  <c r="J31" i="158"/>
  <c r="L30" i="158"/>
  <c r="L29" i="158"/>
  <c r="L22" i="158"/>
  <c r="H22" i="158"/>
  <c r="N22" i="158" s="1"/>
  <c r="L21" i="158"/>
  <c r="H21" i="158"/>
  <c r="L20" i="158"/>
  <c r="H20" i="158"/>
  <c r="L16" i="158"/>
  <c r="H16" i="158"/>
  <c r="H15" i="158"/>
  <c r="L14" i="158"/>
  <c r="H14" i="158"/>
  <c r="A14" i="158"/>
  <c r="A15" i="158" s="1"/>
  <c r="A16" i="158" s="1"/>
  <c r="A17" i="158" s="1"/>
  <c r="A20" i="158" s="1"/>
  <c r="A21" i="158" s="1"/>
  <c r="A22" i="158" s="1"/>
  <c r="A23" i="158" s="1"/>
  <c r="A25" i="158" s="1"/>
  <c r="A28" i="158" s="1"/>
  <c r="A29" i="158" s="1"/>
  <c r="A30" i="158" s="1"/>
  <c r="A31" i="158" s="1"/>
  <c r="L13" i="158"/>
  <c r="H13" i="158"/>
  <c r="P31" i="157"/>
  <c r="N31" i="157"/>
  <c r="J31" i="157"/>
  <c r="L30" i="157"/>
  <c r="L29" i="157"/>
  <c r="L22" i="157"/>
  <c r="H22" i="157"/>
  <c r="L21" i="157"/>
  <c r="H21" i="157"/>
  <c r="N20" i="157"/>
  <c r="L20" i="157"/>
  <c r="H20" i="157"/>
  <c r="L16" i="157"/>
  <c r="H16" i="157"/>
  <c r="L15" i="157"/>
  <c r="H15" i="157"/>
  <c r="H14" i="157"/>
  <c r="A14" i="157"/>
  <c r="A15" i="157" s="1"/>
  <c r="A16" i="157" s="1"/>
  <c r="A17" i="157" s="1"/>
  <c r="A20" i="157" s="1"/>
  <c r="A21" i="157" s="1"/>
  <c r="A22" i="157" s="1"/>
  <c r="A23" i="157" s="1"/>
  <c r="A25" i="157" s="1"/>
  <c r="A28" i="157" s="1"/>
  <c r="A29" i="157" s="1"/>
  <c r="A30" i="157" s="1"/>
  <c r="A31" i="157" s="1"/>
  <c r="H13" i="157"/>
  <c r="P31" i="156"/>
  <c r="N31" i="156"/>
  <c r="J31" i="156"/>
  <c r="L30" i="156"/>
  <c r="L29" i="156"/>
  <c r="L28" i="156"/>
  <c r="L22" i="156"/>
  <c r="H22" i="156"/>
  <c r="L21" i="156"/>
  <c r="H21" i="156"/>
  <c r="L20" i="156"/>
  <c r="H20" i="156"/>
  <c r="L16" i="156"/>
  <c r="H16" i="156"/>
  <c r="L15" i="156"/>
  <c r="H15" i="156"/>
  <c r="H14" i="156"/>
  <c r="A14" i="156"/>
  <c r="A15" i="156" s="1"/>
  <c r="A16" i="156" s="1"/>
  <c r="A17" i="156" s="1"/>
  <c r="A20" i="156" s="1"/>
  <c r="A21" i="156" s="1"/>
  <c r="A22" i="156" s="1"/>
  <c r="A23" i="156" s="1"/>
  <c r="A25" i="156" s="1"/>
  <c r="A28" i="156" s="1"/>
  <c r="A29" i="156" s="1"/>
  <c r="A30" i="156" s="1"/>
  <c r="A31" i="156" s="1"/>
  <c r="H13" i="156"/>
  <c r="P31" i="155"/>
  <c r="N31" i="155"/>
  <c r="J31" i="155"/>
  <c r="L30" i="155"/>
  <c r="L28" i="155"/>
  <c r="L22" i="155"/>
  <c r="H22" i="155"/>
  <c r="L21" i="155"/>
  <c r="H21" i="155"/>
  <c r="L20" i="155"/>
  <c r="H20" i="155"/>
  <c r="H16" i="155"/>
  <c r="H15" i="155"/>
  <c r="H14" i="155"/>
  <c r="A14" i="155"/>
  <c r="A15" i="155" s="1"/>
  <c r="A16" i="155" s="1"/>
  <c r="A17" i="155" s="1"/>
  <c r="A20" i="155" s="1"/>
  <c r="A21" i="155" s="1"/>
  <c r="A22" i="155" s="1"/>
  <c r="A23" i="155" s="1"/>
  <c r="A25" i="155" s="1"/>
  <c r="A28" i="155" s="1"/>
  <c r="A29" i="155" s="1"/>
  <c r="A30" i="155" s="1"/>
  <c r="A31" i="155" s="1"/>
  <c r="H13" i="155"/>
  <c r="P31" i="154"/>
  <c r="N31" i="154"/>
  <c r="J31" i="154"/>
  <c r="L30" i="154"/>
  <c r="L22" i="154"/>
  <c r="H22" i="154"/>
  <c r="L21" i="154"/>
  <c r="H21" i="154"/>
  <c r="N21" i="154" s="1"/>
  <c r="L20" i="154"/>
  <c r="H20" i="154"/>
  <c r="L16" i="154"/>
  <c r="H16" i="154"/>
  <c r="H15" i="154"/>
  <c r="L14" i="154"/>
  <c r="H14" i="154"/>
  <c r="A14" i="154"/>
  <c r="A15" i="154" s="1"/>
  <c r="A16" i="154" s="1"/>
  <c r="A17" i="154" s="1"/>
  <c r="A20" i="154" s="1"/>
  <c r="A21" i="154" s="1"/>
  <c r="A22" i="154" s="1"/>
  <c r="A23" i="154" s="1"/>
  <c r="A25" i="154" s="1"/>
  <c r="A28" i="154" s="1"/>
  <c r="A29" i="154" s="1"/>
  <c r="A30" i="154" s="1"/>
  <c r="A31" i="154" s="1"/>
  <c r="L13" i="154"/>
  <c r="H13" i="154"/>
  <c r="P31" i="153"/>
  <c r="N31" i="153"/>
  <c r="J31" i="153"/>
  <c r="L30" i="153"/>
  <c r="L29" i="153"/>
  <c r="L22" i="153"/>
  <c r="H22" i="153"/>
  <c r="L21" i="153"/>
  <c r="H21" i="153"/>
  <c r="L20" i="153"/>
  <c r="H20" i="153"/>
  <c r="L16" i="153"/>
  <c r="H16" i="153"/>
  <c r="L15" i="153"/>
  <c r="H15" i="153"/>
  <c r="H14" i="153"/>
  <c r="A14" i="153"/>
  <c r="A15" i="153" s="1"/>
  <c r="A16" i="153" s="1"/>
  <c r="A17" i="153" s="1"/>
  <c r="A20" i="153" s="1"/>
  <c r="A21" i="153" s="1"/>
  <c r="A22" i="153" s="1"/>
  <c r="A23" i="153" s="1"/>
  <c r="A25" i="153" s="1"/>
  <c r="A28" i="153" s="1"/>
  <c r="A29" i="153" s="1"/>
  <c r="A30" i="153" s="1"/>
  <c r="A31" i="153" s="1"/>
  <c r="H13" i="153"/>
  <c r="P31" i="152"/>
  <c r="N31" i="152"/>
  <c r="J31" i="152"/>
  <c r="L30" i="152"/>
  <c r="L29" i="152"/>
  <c r="L28" i="152"/>
  <c r="L22" i="152"/>
  <c r="H22" i="152"/>
  <c r="N22" i="152" s="1"/>
  <c r="L21" i="152"/>
  <c r="H21" i="152"/>
  <c r="L20" i="152"/>
  <c r="L23" i="152" s="1"/>
  <c r="H20" i="152"/>
  <c r="L16" i="152"/>
  <c r="H16" i="152"/>
  <c r="L15" i="152"/>
  <c r="H15" i="152"/>
  <c r="H14" i="152"/>
  <c r="A14" i="152"/>
  <c r="A15" i="152" s="1"/>
  <c r="A16" i="152" s="1"/>
  <c r="A17" i="152" s="1"/>
  <c r="A20" i="152" s="1"/>
  <c r="A21" i="152" s="1"/>
  <c r="A22" i="152" s="1"/>
  <c r="A23" i="152" s="1"/>
  <c r="A25" i="152" s="1"/>
  <c r="A28" i="152" s="1"/>
  <c r="A29" i="152" s="1"/>
  <c r="A30" i="152" s="1"/>
  <c r="A31" i="152" s="1"/>
  <c r="H13" i="152"/>
  <c r="P31" i="151"/>
  <c r="N31" i="151"/>
  <c r="J31" i="151"/>
  <c r="L30" i="151"/>
  <c r="L28" i="151"/>
  <c r="L22" i="151"/>
  <c r="H22" i="151"/>
  <c r="L21" i="151"/>
  <c r="H21" i="151"/>
  <c r="N21" i="151" s="1"/>
  <c r="L20" i="151"/>
  <c r="H20" i="151"/>
  <c r="H16" i="151"/>
  <c r="H15" i="151"/>
  <c r="H14" i="151"/>
  <c r="A14" i="151"/>
  <c r="A15" i="151" s="1"/>
  <c r="A16" i="151" s="1"/>
  <c r="A17" i="151" s="1"/>
  <c r="A20" i="151" s="1"/>
  <c r="A21" i="151" s="1"/>
  <c r="A22" i="151" s="1"/>
  <c r="A23" i="151" s="1"/>
  <c r="A25" i="151" s="1"/>
  <c r="A28" i="151" s="1"/>
  <c r="A29" i="151" s="1"/>
  <c r="A30" i="151" s="1"/>
  <c r="A31" i="151" s="1"/>
  <c r="H13" i="151"/>
  <c r="P31" i="150"/>
  <c r="N31" i="150"/>
  <c r="J31" i="150"/>
  <c r="L30" i="150"/>
  <c r="L22" i="150"/>
  <c r="H22" i="150"/>
  <c r="L21" i="150"/>
  <c r="H21" i="150"/>
  <c r="L20" i="150"/>
  <c r="L23" i="150" s="1"/>
  <c r="H20" i="150"/>
  <c r="L16" i="150"/>
  <c r="H16" i="150"/>
  <c r="H15" i="150"/>
  <c r="L14" i="150"/>
  <c r="H14" i="150"/>
  <c r="A14" i="150"/>
  <c r="A15" i="150" s="1"/>
  <c r="A16" i="150" s="1"/>
  <c r="A17" i="150" s="1"/>
  <c r="A20" i="150" s="1"/>
  <c r="A21" i="150" s="1"/>
  <c r="A22" i="150" s="1"/>
  <c r="A23" i="150" s="1"/>
  <c r="A25" i="150" s="1"/>
  <c r="A28" i="150" s="1"/>
  <c r="A29" i="150" s="1"/>
  <c r="A30" i="150" s="1"/>
  <c r="A31" i="150" s="1"/>
  <c r="L13" i="150"/>
  <c r="H13" i="150"/>
  <c r="O27" i="147"/>
  <c r="O29" i="147" s="1"/>
  <c r="N27" i="147"/>
  <c r="N29" i="147" s="1"/>
  <c r="J27" i="147"/>
  <c r="J29" i="147" s="1"/>
  <c r="G27" i="147"/>
  <c r="G29" i="147" s="1"/>
  <c r="F27" i="147"/>
  <c r="F29" i="147" s="1"/>
  <c r="P27" i="146"/>
  <c r="D27" i="167" s="1"/>
  <c r="O27" i="146"/>
  <c r="N27" i="146"/>
  <c r="K27" i="146"/>
  <c r="J27" i="146"/>
  <c r="G27" i="146"/>
  <c r="F27" i="146"/>
  <c r="N26" i="146"/>
  <c r="M26" i="146"/>
  <c r="I26" i="146"/>
  <c r="O31" i="149"/>
  <c r="E29" i="149"/>
  <c r="O28" i="149"/>
  <c r="L29" i="160"/>
  <c r="L29" i="159"/>
  <c r="L29" i="155"/>
  <c r="L29" i="154"/>
  <c r="L29" i="151"/>
  <c r="L29" i="150"/>
  <c r="L28" i="160"/>
  <c r="L28" i="159"/>
  <c r="L28" i="158"/>
  <c r="L28" i="157"/>
  <c r="I29" i="149"/>
  <c r="L28" i="154"/>
  <c r="L28" i="153"/>
  <c r="L28" i="150"/>
  <c r="O23" i="149"/>
  <c r="N21" i="149"/>
  <c r="M21" i="149"/>
  <c r="L21" i="149"/>
  <c r="K21" i="149"/>
  <c r="J21" i="149"/>
  <c r="I21" i="149"/>
  <c r="H21" i="149"/>
  <c r="G21" i="149"/>
  <c r="F21" i="149"/>
  <c r="E21" i="149"/>
  <c r="D21" i="149"/>
  <c r="C21" i="149"/>
  <c r="O20" i="149"/>
  <c r="O19" i="149"/>
  <c r="O18" i="149"/>
  <c r="O17" i="149"/>
  <c r="D15" i="149"/>
  <c r="L16" i="161"/>
  <c r="L16" i="160"/>
  <c r="L16" i="155"/>
  <c r="L16" i="151"/>
  <c r="L15" i="161"/>
  <c r="N15" i="161" s="1"/>
  <c r="L15" i="160"/>
  <c r="L15" i="158"/>
  <c r="L15" i="155"/>
  <c r="N15" i="155" s="1"/>
  <c r="L15" i="154"/>
  <c r="L15" i="151"/>
  <c r="L15" i="150"/>
  <c r="L14" i="161"/>
  <c r="L14" i="160"/>
  <c r="L14" i="159"/>
  <c r="N14" i="159" s="1"/>
  <c r="L14" i="157"/>
  <c r="N14" i="157" s="1"/>
  <c r="L14" i="156"/>
  <c r="L14" i="155"/>
  <c r="L14" i="153"/>
  <c r="L14" i="152"/>
  <c r="L14" i="151"/>
  <c r="J15" i="149"/>
  <c r="A11" i="149"/>
  <c r="A12" i="149" s="1"/>
  <c r="A13" i="149" s="1"/>
  <c r="A14" i="149" s="1"/>
  <c r="A15" i="149" s="1"/>
  <c r="A17" i="149" s="1"/>
  <c r="A18" i="149" s="1"/>
  <c r="A19" i="149" s="1"/>
  <c r="A20" i="149" s="1"/>
  <c r="A21" i="149" s="1"/>
  <c r="A23" i="149" s="1"/>
  <c r="A25" i="149" s="1"/>
  <c r="A26" i="149" s="1"/>
  <c r="A27" i="149" s="1"/>
  <c r="A28" i="149" s="1"/>
  <c r="A29" i="149" s="1"/>
  <c r="A31" i="149" s="1"/>
  <c r="A32" i="149" s="1"/>
  <c r="L13" i="161"/>
  <c r="L15" i="149"/>
  <c r="L13" i="157"/>
  <c r="N13" i="157" s="1"/>
  <c r="L13" i="153"/>
  <c r="L13" i="151"/>
  <c r="O10" i="149"/>
  <c r="S1048492" i="147"/>
  <c r="P27" i="147"/>
  <c r="P29" i="147" s="1"/>
  <c r="M27" i="147"/>
  <c r="M29" i="147" s="1"/>
  <c r="L27" i="147"/>
  <c r="L29" i="147" s="1"/>
  <c r="K27" i="147"/>
  <c r="K29" i="147" s="1"/>
  <c r="I27" i="147"/>
  <c r="I29" i="147" s="1"/>
  <c r="H27" i="147"/>
  <c r="H29" i="147" s="1"/>
  <c r="E27" i="147"/>
  <c r="Q26" i="147"/>
  <c r="Q25" i="147"/>
  <c r="Q13" i="147"/>
  <c r="Q6" i="147"/>
  <c r="P6" i="147"/>
  <c r="O6" i="147"/>
  <c r="N6" i="147"/>
  <c r="M6" i="147"/>
  <c r="L6" i="147"/>
  <c r="K6" i="147"/>
  <c r="J6" i="147"/>
  <c r="I6" i="147"/>
  <c r="H6" i="147"/>
  <c r="G6" i="147"/>
  <c r="F6" i="147"/>
  <c r="S1048576" i="146"/>
  <c r="M27" i="146"/>
  <c r="L27" i="146"/>
  <c r="I27" i="146"/>
  <c r="H27" i="146"/>
  <c r="E27" i="146"/>
  <c r="O26" i="146"/>
  <c r="K26" i="146"/>
  <c r="J26" i="146"/>
  <c r="G26" i="146"/>
  <c r="F26" i="146"/>
  <c r="E26" i="146"/>
  <c r="Q6" i="146"/>
  <c r="P6" i="146"/>
  <c r="O6" i="146"/>
  <c r="N6" i="146"/>
  <c r="M6" i="146"/>
  <c r="L6" i="146"/>
  <c r="K6" i="146"/>
  <c r="J6" i="146"/>
  <c r="I6" i="146"/>
  <c r="H6" i="146"/>
  <c r="G6" i="146"/>
  <c r="F6" i="146"/>
  <c r="R34" i="223" l="1"/>
  <c r="F14" i="232"/>
  <c r="R15" i="174"/>
  <c r="F15" i="175" s="1"/>
  <c r="J15" i="174"/>
  <c r="P15" i="174" s="1"/>
  <c r="N12" i="191"/>
  <c r="U26" i="206"/>
  <c r="S27" i="206"/>
  <c r="N22" i="150"/>
  <c r="N20" i="153"/>
  <c r="N22" i="153"/>
  <c r="L23" i="154"/>
  <c r="N22" i="156"/>
  <c r="N22" i="157"/>
  <c r="L23" i="160"/>
  <c r="N21" i="150"/>
  <c r="N21" i="160"/>
  <c r="N21" i="152"/>
  <c r="J44" i="183"/>
  <c r="J67" i="183"/>
  <c r="J71" i="183"/>
  <c r="J72" i="183"/>
  <c r="J66" i="183"/>
  <c r="J68" i="183"/>
  <c r="J65" i="183"/>
  <c r="J62" i="183"/>
  <c r="J70" i="183"/>
  <c r="J61" i="183"/>
  <c r="J64" i="183"/>
  <c r="J69" i="183"/>
  <c r="J63" i="183"/>
  <c r="Q12" i="168"/>
  <c r="L31" i="160"/>
  <c r="K27" i="162" s="1"/>
  <c r="K71" i="162" s="1"/>
  <c r="N14" i="158"/>
  <c r="N14" i="153"/>
  <c r="N20" i="150"/>
  <c r="N23" i="150" s="1"/>
  <c r="N20" i="161"/>
  <c r="N13" i="150"/>
  <c r="N21" i="153"/>
  <c r="N23" i="153" s="1"/>
  <c r="N22" i="154"/>
  <c r="N21" i="161"/>
  <c r="N16" i="160"/>
  <c r="N20" i="154"/>
  <c r="N23" i="154" s="1"/>
  <c r="N21" i="155"/>
  <c r="N21" i="157"/>
  <c r="N16" i="158"/>
  <c r="N16" i="151"/>
  <c r="N13" i="154"/>
  <c r="Q27" i="146"/>
  <c r="Q26" i="146"/>
  <c r="Q44" i="162"/>
  <c r="N15" i="156"/>
  <c r="L17" i="151"/>
  <c r="I18" i="162" s="1"/>
  <c r="L17" i="161"/>
  <c r="I28" i="162" s="1"/>
  <c r="N15" i="154"/>
  <c r="N16" i="155"/>
  <c r="N15" i="160"/>
  <c r="L17" i="153"/>
  <c r="I20" i="162" s="1"/>
  <c r="N14" i="151"/>
  <c r="N13" i="161"/>
  <c r="N15" i="152"/>
  <c r="N15" i="150"/>
  <c r="L29" i="149"/>
  <c r="L31" i="151"/>
  <c r="K18" i="162" s="1"/>
  <c r="K62" i="162" s="1"/>
  <c r="N15" i="153"/>
  <c r="N20" i="156"/>
  <c r="N23" i="156" s="1"/>
  <c r="L17" i="158"/>
  <c r="I25" i="162" s="1"/>
  <c r="N20" i="158"/>
  <c r="L23" i="158"/>
  <c r="N15" i="159"/>
  <c r="N14" i="160"/>
  <c r="Q27" i="147"/>
  <c r="Q29" i="147" s="1"/>
  <c r="L13" i="155"/>
  <c r="H15" i="149"/>
  <c r="G15" i="149"/>
  <c r="F15" i="149"/>
  <c r="L31" i="157"/>
  <c r="K24" i="162" s="1"/>
  <c r="K68" i="162" s="1"/>
  <c r="L28" i="161"/>
  <c r="N29" i="149"/>
  <c r="L23" i="151"/>
  <c r="N16" i="153"/>
  <c r="L31" i="153"/>
  <c r="K20" i="162" s="1"/>
  <c r="K64" i="162" s="1"/>
  <c r="L31" i="155"/>
  <c r="K22" i="162" s="1"/>
  <c r="K66" i="162" s="1"/>
  <c r="N21" i="156"/>
  <c r="L13" i="159"/>
  <c r="E29" i="147"/>
  <c r="O13" i="149"/>
  <c r="L31" i="158"/>
  <c r="K25" i="162" s="1"/>
  <c r="K69" i="162" s="1"/>
  <c r="F29" i="149"/>
  <c r="L31" i="150"/>
  <c r="K17" i="162" s="1"/>
  <c r="K61" i="162" s="1"/>
  <c r="N13" i="151"/>
  <c r="L31" i="152"/>
  <c r="K19" i="162" s="1"/>
  <c r="K63" i="162" s="1"/>
  <c r="N16" i="154"/>
  <c r="L23" i="155"/>
  <c r="N16" i="157"/>
  <c r="L31" i="159"/>
  <c r="K26" i="162" s="1"/>
  <c r="K70" i="162" s="1"/>
  <c r="L17" i="157"/>
  <c r="I24" i="162" s="1"/>
  <c r="K15" i="149"/>
  <c r="D29" i="149"/>
  <c r="H29" i="149"/>
  <c r="O26" i="149"/>
  <c r="J29" i="149"/>
  <c r="O33" i="149"/>
  <c r="N14" i="150"/>
  <c r="N16" i="150"/>
  <c r="N15" i="151"/>
  <c r="N20" i="152"/>
  <c r="N23" i="152" s="1"/>
  <c r="N13" i="153"/>
  <c r="N14" i="154"/>
  <c r="L31" i="154"/>
  <c r="K21" i="162" s="1"/>
  <c r="K65" i="162" s="1"/>
  <c r="N14" i="155"/>
  <c r="L23" i="156"/>
  <c r="L31" i="156"/>
  <c r="K23" i="162" s="1"/>
  <c r="K67" i="162" s="1"/>
  <c r="N23" i="157"/>
  <c r="N15" i="158"/>
  <c r="N16" i="161"/>
  <c r="E15" i="149"/>
  <c r="I15" i="149"/>
  <c r="L13" i="160"/>
  <c r="M15" i="149"/>
  <c r="O14" i="149"/>
  <c r="O21" i="149"/>
  <c r="M29" i="149"/>
  <c r="L17" i="150"/>
  <c r="L17" i="154"/>
  <c r="I21" i="162" s="1"/>
  <c r="N15" i="157"/>
  <c r="N22" i="159"/>
  <c r="N23" i="160"/>
  <c r="N22" i="161"/>
  <c r="N23" i="161" s="1"/>
  <c r="I55" i="162"/>
  <c r="O12" i="149"/>
  <c r="N15" i="149"/>
  <c r="O32" i="149"/>
  <c r="N20" i="151"/>
  <c r="N22" i="151"/>
  <c r="L13" i="152"/>
  <c r="N14" i="152"/>
  <c r="N16" i="152"/>
  <c r="L23" i="153"/>
  <c r="N20" i="155"/>
  <c r="N22" i="155"/>
  <c r="L13" i="156"/>
  <c r="N14" i="156"/>
  <c r="N16" i="156"/>
  <c r="L23" i="157"/>
  <c r="N13" i="158"/>
  <c r="N21" i="158"/>
  <c r="N16" i="159"/>
  <c r="L23" i="159"/>
  <c r="N21" i="159"/>
  <c r="N14" i="161"/>
  <c r="L23" i="161"/>
  <c r="O25" i="149"/>
  <c r="O27" i="149"/>
  <c r="C29" i="149"/>
  <c r="G29" i="149"/>
  <c r="K29" i="149"/>
  <c r="J14" i="232" l="1"/>
  <c r="P14" i="232" s="1"/>
  <c r="R14" i="232"/>
  <c r="F34" i="224"/>
  <c r="O12" i="191"/>
  <c r="P12" i="191" s="1"/>
  <c r="Q12" i="191" s="1"/>
  <c r="R12" i="191" s="1"/>
  <c r="I17" i="162"/>
  <c r="I61" i="162" s="1"/>
  <c r="J15" i="175"/>
  <c r="P15" i="175" s="1"/>
  <c r="R15" i="175"/>
  <c r="F15" i="176" s="1"/>
  <c r="U27" i="206"/>
  <c r="S28" i="206"/>
  <c r="R44" i="206"/>
  <c r="N23" i="159"/>
  <c r="J88" i="183"/>
  <c r="N17" i="157"/>
  <c r="N25" i="157" s="1"/>
  <c r="N17" i="161"/>
  <c r="N25" i="161" s="1"/>
  <c r="L25" i="153"/>
  <c r="I64" i="162"/>
  <c r="N23" i="158"/>
  <c r="L25" i="151"/>
  <c r="O29" i="149"/>
  <c r="N17" i="151"/>
  <c r="L25" i="161"/>
  <c r="N17" i="154"/>
  <c r="N25" i="154" s="1"/>
  <c r="N17" i="150"/>
  <c r="N25" i="150" s="1"/>
  <c r="I72" i="162"/>
  <c r="I68" i="162"/>
  <c r="I62" i="162"/>
  <c r="I69" i="162"/>
  <c r="I65" i="162"/>
  <c r="L17" i="160"/>
  <c r="L17" i="159"/>
  <c r="N13" i="159"/>
  <c r="N17" i="159" s="1"/>
  <c r="N25" i="159" s="1"/>
  <c r="L31" i="161"/>
  <c r="K28" i="162" s="1"/>
  <c r="K72" i="162" s="1"/>
  <c r="L17" i="155"/>
  <c r="L17" i="156"/>
  <c r="L17" i="152"/>
  <c r="N13" i="156"/>
  <c r="N17" i="156" s="1"/>
  <c r="N25" i="156" s="1"/>
  <c r="L25" i="150"/>
  <c r="L25" i="157"/>
  <c r="N13" i="152"/>
  <c r="N17" i="152" s="1"/>
  <c r="N25" i="152" s="1"/>
  <c r="L25" i="158"/>
  <c r="N17" i="158"/>
  <c r="N23" i="155"/>
  <c r="N23" i="151"/>
  <c r="L25" i="154"/>
  <c r="N13" i="155"/>
  <c r="N17" i="155" s="1"/>
  <c r="N17" i="153"/>
  <c r="N25" i="153" s="1"/>
  <c r="N13" i="160"/>
  <c r="N17" i="160" s="1"/>
  <c r="N25" i="160" s="1"/>
  <c r="J57" i="233" l="1"/>
  <c r="J23" i="233"/>
  <c r="J17" i="233"/>
  <c r="J25" i="233"/>
  <c r="J27" i="233"/>
  <c r="J22" i="233"/>
  <c r="J28" i="233"/>
  <c r="J18" i="233"/>
  <c r="J24" i="233"/>
  <c r="J19" i="233"/>
  <c r="J20" i="233"/>
  <c r="J26" i="233"/>
  <c r="J21" i="233"/>
  <c r="R34" i="224"/>
  <c r="S12" i="191"/>
  <c r="J11" i="205"/>
  <c r="J21" i="205" s="1"/>
  <c r="R15" i="176"/>
  <c r="F15" i="177" s="1"/>
  <c r="J15" i="176"/>
  <c r="P15" i="176" s="1"/>
  <c r="U28" i="206"/>
  <c r="I19" i="162"/>
  <c r="I63" i="162" s="1"/>
  <c r="I23" i="162"/>
  <c r="I67" i="162" s="1"/>
  <c r="I26" i="162"/>
  <c r="I70" i="162" s="1"/>
  <c r="N25" i="155"/>
  <c r="I22" i="162"/>
  <c r="I66" i="162" s="1"/>
  <c r="I27" i="162"/>
  <c r="I71" i="162" s="1"/>
  <c r="N25" i="158"/>
  <c r="N25" i="151"/>
  <c r="L25" i="160"/>
  <c r="L25" i="156"/>
  <c r="L25" i="159"/>
  <c r="L25" i="152"/>
  <c r="L25" i="155"/>
  <c r="J23" i="205" l="1"/>
  <c r="J44" i="233"/>
  <c r="J24" i="205"/>
  <c r="J25" i="205"/>
  <c r="J22" i="205"/>
  <c r="J27" i="205" s="1"/>
  <c r="J26" i="205"/>
  <c r="J61" i="205"/>
  <c r="J72" i="205" s="1"/>
  <c r="J64" i="233"/>
  <c r="J70" i="233"/>
  <c r="J74" i="233"/>
  <c r="J69" i="233"/>
  <c r="J65" i="233"/>
  <c r="J71" i="233"/>
  <c r="J72" i="233"/>
  <c r="J73" i="233"/>
  <c r="J68" i="233"/>
  <c r="J66" i="233"/>
  <c r="J67" i="233"/>
  <c r="J63" i="233"/>
  <c r="F34" i="225"/>
  <c r="R15" i="177"/>
  <c r="F15" i="178" s="1"/>
  <c r="J15" i="177"/>
  <c r="P15" i="177" s="1"/>
  <c r="S16" i="191"/>
  <c r="U44" i="206"/>
  <c r="I88" i="162"/>
  <c r="I44" i="162"/>
  <c r="K88" i="162"/>
  <c r="K44" i="162"/>
  <c r="J49" i="205" l="1"/>
  <c r="J76" i="205"/>
  <c r="J73" i="205"/>
  <c r="J74" i="205"/>
  <c r="J71" i="205"/>
  <c r="J90" i="233"/>
  <c r="J75" i="205"/>
  <c r="R34" i="225"/>
  <c r="J15" i="178"/>
  <c r="P15" i="178" s="1"/>
  <c r="R15" i="178"/>
  <c r="F15" i="179" s="1"/>
  <c r="E11" i="92"/>
  <c r="F11" i="92"/>
  <c r="G11" i="92"/>
  <c r="H11" i="92"/>
  <c r="D11" i="92"/>
  <c r="J99" i="205" l="1"/>
  <c r="F34" i="226"/>
  <c r="J15" i="179"/>
  <c r="P15" i="179" s="1"/>
  <c r="R15" i="179"/>
  <c r="F15" i="180" s="1"/>
  <c r="L13" i="108"/>
  <c r="R34" i="226" l="1"/>
  <c r="J15" i="180"/>
  <c r="P15" i="180" s="1"/>
  <c r="R15" i="180"/>
  <c r="F15" i="181" s="1"/>
  <c r="H13" i="183"/>
  <c r="H13" i="205"/>
  <c r="G13" i="130"/>
  <c r="G13" i="162"/>
  <c r="F34" i="227" l="1"/>
  <c r="J15" i="181"/>
  <c r="P15" i="181" s="1"/>
  <c r="R15" i="181"/>
  <c r="F15" i="182" s="1"/>
  <c r="D10" i="92"/>
  <c r="E10" i="92"/>
  <c r="F10" i="92"/>
  <c r="G10" i="92"/>
  <c r="H10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C12" i="92"/>
  <c r="C10" i="92"/>
  <c r="R34" i="227" l="1"/>
  <c r="J15" i="182"/>
  <c r="P15" i="182" s="1"/>
  <c r="R15" i="182"/>
  <c r="F15" i="193" s="1"/>
  <c r="H22" i="113"/>
  <c r="H21" i="113"/>
  <c r="H20" i="113"/>
  <c r="H16" i="113"/>
  <c r="H15" i="113"/>
  <c r="H14" i="113"/>
  <c r="H13" i="113"/>
  <c r="H22" i="116"/>
  <c r="H21" i="116"/>
  <c r="H20" i="116"/>
  <c r="H16" i="116"/>
  <c r="H15" i="116"/>
  <c r="H14" i="116"/>
  <c r="H13" i="116"/>
  <c r="H22" i="117"/>
  <c r="H21" i="117"/>
  <c r="H20" i="117"/>
  <c r="H16" i="117"/>
  <c r="H15" i="117"/>
  <c r="H14" i="117"/>
  <c r="H13" i="117"/>
  <c r="H22" i="118"/>
  <c r="H21" i="118"/>
  <c r="H20" i="118"/>
  <c r="H16" i="118"/>
  <c r="H15" i="118"/>
  <c r="H14" i="118"/>
  <c r="H13" i="118"/>
  <c r="H22" i="119"/>
  <c r="H21" i="119"/>
  <c r="H20" i="119"/>
  <c r="H16" i="119"/>
  <c r="H15" i="119"/>
  <c r="H14" i="119"/>
  <c r="H13" i="119"/>
  <c r="H22" i="120"/>
  <c r="H21" i="120"/>
  <c r="H20" i="120"/>
  <c r="H16" i="120"/>
  <c r="H15" i="120"/>
  <c r="H14" i="120"/>
  <c r="H13" i="120"/>
  <c r="H22" i="121"/>
  <c r="H21" i="121"/>
  <c r="H20" i="121"/>
  <c r="H16" i="121"/>
  <c r="H15" i="121"/>
  <c r="H14" i="121"/>
  <c r="H13" i="121"/>
  <c r="H22" i="122"/>
  <c r="H21" i="122"/>
  <c r="H20" i="122"/>
  <c r="H16" i="122"/>
  <c r="H15" i="122"/>
  <c r="H14" i="122"/>
  <c r="H13" i="122"/>
  <c r="H22" i="123"/>
  <c r="H21" i="123"/>
  <c r="H20" i="123"/>
  <c r="H16" i="123"/>
  <c r="H15" i="123"/>
  <c r="H14" i="123"/>
  <c r="H13" i="123"/>
  <c r="H22" i="124"/>
  <c r="H21" i="124"/>
  <c r="H20" i="124"/>
  <c r="H16" i="124"/>
  <c r="H15" i="124"/>
  <c r="H14" i="124"/>
  <c r="H13" i="124"/>
  <c r="H22" i="125"/>
  <c r="H21" i="125"/>
  <c r="H20" i="125"/>
  <c r="H16" i="125"/>
  <c r="H15" i="125"/>
  <c r="H14" i="125"/>
  <c r="H13" i="125"/>
  <c r="H22" i="126"/>
  <c r="H21" i="126"/>
  <c r="H20" i="126"/>
  <c r="H16" i="126"/>
  <c r="H15" i="126"/>
  <c r="H14" i="126"/>
  <c r="H13" i="126"/>
  <c r="H22" i="99"/>
  <c r="H21" i="99"/>
  <c r="H20" i="99"/>
  <c r="H16" i="99"/>
  <c r="H15" i="99"/>
  <c r="H14" i="99"/>
  <c r="H13" i="99"/>
  <c r="H22" i="100"/>
  <c r="H21" i="100"/>
  <c r="H20" i="100"/>
  <c r="H16" i="100"/>
  <c r="H15" i="100"/>
  <c r="H14" i="100"/>
  <c r="H13" i="100"/>
  <c r="H22" i="101"/>
  <c r="H21" i="101"/>
  <c r="H20" i="101"/>
  <c r="H16" i="101"/>
  <c r="H15" i="101"/>
  <c r="H14" i="101"/>
  <c r="H13" i="101"/>
  <c r="H22" i="102"/>
  <c r="H21" i="102"/>
  <c r="H20" i="102"/>
  <c r="H16" i="102"/>
  <c r="H15" i="102"/>
  <c r="H14" i="102"/>
  <c r="H13" i="102"/>
  <c r="H22" i="103"/>
  <c r="H21" i="103"/>
  <c r="H20" i="103"/>
  <c r="H16" i="103"/>
  <c r="H15" i="103"/>
  <c r="H14" i="103"/>
  <c r="H13" i="103"/>
  <c r="H21" i="104"/>
  <c r="H22" i="104"/>
  <c r="H20" i="104"/>
  <c r="H15" i="104"/>
  <c r="H16" i="104"/>
  <c r="H14" i="104"/>
  <c r="H13" i="104"/>
  <c r="F34" i="228" l="1"/>
  <c r="J15" i="193"/>
  <c r="P15" i="193" s="1"/>
  <c r="R15" i="193"/>
  <c r="F15" i="194" s="1"/>
  <c r="L27" i="111"/>
  <c r="M27" i="111"/>
  <c r="N27" i="111"/>
  <c r="O27" i="111"/>
  <c r="P27" i="111"/>
  <c r="K27" i="111"/>
  <c r="I31" i="92"/>
  <c r="R34" i="228" l="1"/>
  <c r="J15" i="194"/>
  <c r="P15" i="194" s="1"/>
  <c r="R15" i="194"/>
  <c r="F15" i="195" s="1"/>
  <c r="A14" i="126"/>
  <c r="A14" i="125"/>
  <c r="A14" i="124"/>
  <c r="A14" i="123"/>
  <c r="A14" i="122"/>
  <c r="A14" i="121"/>
  <c r="A14" i="120"/>
  <c r="A14" i="119"/>
  <c r="A14" i="118"/>
  <c r="A14" i="117"/>
  <c r="A14" i="116"/>
  <c r="A14" i="113"/>
  <c r="A14" i="104"/>
  <c r="A14" i="103"/>
  <c r="A14" i="102"/>
  <c r="A14" i="101"/>
  <c r="A14" i="100"/>
  <c r="A14" i="99"/>
  <c r="L30" i="126"/>
  <c r="L30" i="125"/>
  <c r="L30" i="124"/>
  <c r="L30" i="123"/>
  <c r="L30" i="122"/>
  <c r="L30" i="121"/>
  <c r="L30" i="120"/>
  <c r="L30" i="119"/>
  <c r="L30" i="118"/>
  <c r="F27" i="132"/>
  <c r="G27" i="132"/>
  <c r="H27" i="132"/>
  <c r="I27" i="132"/>
  <c r="J27" i="132"/>
  <c r="K27" i="132"/>
  <c r="L27" i="132"/>
  <c r="M27" i="132"/>
  <c r="N27" i="132"/>
  <c r="O27" i="132"/>
  <c r="D27" i="147"/>
  <c r="D29" i="147" s="1"/>
  <c r="E27" i="132"/>
  <c r="F34" i="229" l="1"/>
  <c r="J15" i="195"/>
  <c r="P15" i="195" s="1"/>
  <c r="R15" i="195"/>
  <c r="F15" i="196" s="1"/>
  <c r="P27" i="132"/>
  <c r="O33" i="114"/>
  <c r="R34" i="229" l="1"/>
  <c r="J15" i="196"/>
  <c r="P15" i="196" s="1"/>
  <c r="R15" i="196"/>
  <c r="F15" i="197" s="1"/>
  <c r="A15" i="104"/>
  <c r="A16" i="104" s="1"/>
  <c r="A17" i="104" s="1"/>
  <c r="L21" i="103"/>
  <c r="A15" i="103"/>
  <c r="A16" i="103" s="1"/>
  <c r="A17" i="103" s="1"/>
  <c r="A15" i="102"/>
  <c r="A16" i="102" s="1"/>
  <c r="A17" i="102" s="1"/>
  <c r="L21" i="101"/>
  <c r="A15" i="101"/>
  <c r="A16" i="101" s="1"/>
  <c r="A17" i="101" s="1"/>
  <c r="A15" i="100"/>
  <c r="A16" i="100" s="1"/>
  <c r="A17" i="100" s="1"/>
  <c r="A15" i="99"/>
  <c r="A16" i="99" s="1"/>
  <c r="A17" i="99" s="1"/>
  <c r="F34" i="230" l="1"/>
  <c r="J15" i="197"/>
  <c r="P15" i="197" s="1"/>
  <c r="R15" i="197"/>
  <c r="F15" i="198" s="1"/>
  <c r="A15" i="124"/>
  <c r="A16" i="124" s="1"/>
  <c r="A17" i="124" s="1"/>
  <c r="A15" i="125"/>
  <c r="A16" i="125" s="1"/>
  <c r="A17" i="125" s="1"/>
  <c r="A15" i="126"/>
  <c r="A16" i="126" s="1"/>
  <c r="A17" i="126" s="1"/>
  <c r="A15" i="123"/>
  <c r="A16" i="123" s="1"/>
  <c r="A17" i="123" s="1"/>
  <c r="A15" i="122"/>
  <c r="A16" i="122" s="1"/>
  <c r="A17" i="122" s="1"/>
  <c r="A15" i="121"/>
  <c r="A16" i="121" s="1"/>
  <c r="A17" i="121" s="1"/>
  <c r="A15" i="120"/>
  <c r="A16" i="120" s="1"/>
  <c r="A17" i="120" s="1"/>
  <c r="A15" i="119"/>
  <c r="A16" i="119" s="1"/>
  <c r="A17" i="119" s="1"/>
  <c r="A15" i="118"/>
  <c r="A16" i="118" s="1"/>
  <c r="A17" i="118" s="1"/>
  <c r="A15" i="117"/>
  <c r="A16" i="117" s="1"/>
  <c r="A17" i="117" s="1"/>
  <c r="A15" i="116"/>
  <c r="A16" i="116" s="1"/>
  <c r="A17" i="116" s="1"/>
  <c r="L30" i="113"/>
  <c r="L21" i="113"/>
  <c r="L22" i="113"/>
  <c r="A15" i="113"/>
  <c r="O18" i="114"/>
  <c r="F20" i="135"/>
  <c r="F21" i="135"/>
  <c r="R34" i="230" l="1"/>
  <c r="J15" i="198"/>
  <c r="P15" i="198" s="1"/>
  <c r="R15" i="198"/>
  <c r="N21" i="103"/>
  <c r="N21" i="101"/>
  <c r="N22" i="113"/>
  <c r="N21" i="113"/>
  <c r="F34" i="231" l="1"/>
  <c r="J15" i="199"/>
  <c r="P15" i="199" s="1"/>
  <c r="R15" i="199"/>
  <c r="F15" i="200" s="1"/>
  <c r="V27" i="191"/>
  <c r="E23" i="140"/>
  <c r="A12" i="140"/>
  <c r="A3" i="140"/>
  <c r="A14" i="139"/>
  <c r="A15" i="139" s="1"/>
  <c r="J26" i="138"/>
  <c r="A3" i="138"/>
  <c r="A12" i="137"/>
  <c r="A13" i="137" s="1"/>
  <c r="F22" i="135"/>
  <c r="C21" i="135"/>
  <c r="C20" i="135"/>
  <c r="C19" i="135"/>
  <c r="F12" i="135"/>
  <c r="C12" i="135"/>
  <c r="D10" i="135" s="1"/>
  <c r="W27" i="190" l="1"/>
  <c r="V25" i="191"/>
  <c r="V29" i="191"/>
  <c r="R34" i="231"/>
  <c r="J15" i="200"/>
  <c r="P15" i="200" s="1"/>
  <c r="R15" i="200"/>
  <c r="F15" i="201" s="1"/>
  <c r="A14" i="137"/>
  <c r="A15" i="137" s="1"/>
  <c r="D9" i="135"/>
  <c r="D11" i="135"/>
  <c r="C22" i="135"/>
  <c r="D19" i="135" s="1"/>
  <c r="A16" i="139"/>
  <c r="A13" i="140"/>
  <c r="F34" i="232" l="1"/>
  <c r="J15" i="201"/>
  <c r="P15" i="201" s="1"/>
  <c r="R15" i="201"/>
  <c r="F15" i="202" s="1"/>
  <c r="A16" i="137"/>
  <c r="D20" i="135"/>
  <c r="D21" i="135"/>
  <c r="D12" i="135"/>
  <c r="A17" i="139"/>
  <c r="A14" i="140"/>
  <c r="R34" i="232" l="1"/>
  <c r="R15" i="202"/>
  <c r="F15" i="203" s="1"/>
  <c r="J15" i="202"/>
  <c r="P15" i="202" s="1"/>
  <c r="A17" i="137"/>
  <c r="A15" i="140"/>
  <c r="A18" i="139"/>
  <c r="D22" i="135"/>
  <c r="J15" i="203" l="1"/>
  <c r="P15" i="203" s="1"/>
  <c r="R15" i="203"/>
  <c r="F15" i="204" s="1"/>
  <c r="A18" i="137"/>
  <c r="A19" i="137" s="1"/>
  <c r="A16" i="140"/>
  <c r="A19" i="139"/>
  <c r="R15" i="204" l="1"/>
  <c r="F15" i="221" s="1"/>
  <c r="J15" i="204"/>
  <c r="P15" i="204" s="1"/>
  <c r="A20" i="137"/>
  <c r="A20" i="139"/>
  <c r="A17" i="140"/>
  <c r="R15" i="221" l="1"/>
  <c r="F15" i="222" s="1"/>
  <c r="J15" i="221"/>
  <c r="P15" i="221" s="1"/>
  <c r="A21" i="139"/>
  <c r="A18" i="140"/>
  <c r="A21" i="137"/>
  <c r="R15" i="222" l="1"/>
  <c r="F15" i="223" s="1"/>
  <c r="J15" i="222"/>
  <c r="P15" i="222" s="1"/>
  <c r="A19" i="140"/>
  <c r="A22" i="139"/>
  <c r="A22" i="137"/>
  <c r="R15" i="223" l="1"/>
  <c r="F15" i="224" s="1"/>
  <c r="J15" i="223"/>
  <c r="P15" i="223" s="1"/>
  <c r="A20" i="140"/>
  <c r="A23" i="139"/>
  <c r="J15" i="224" l="1"/>
  <c r="P15" i="224" s="1"/>
  <c r="R15" i="224"/>
  <c r="F15" i="225" s="1"/>
  <c r="A24" i="139"/>
  <c r="A21" i="140"/>
  <c r="J15" i="225" l="1"/>
  <c r="P15" i="225" s="1"/>
  <c r="R15" i="225"/>
  <c r="F15" i="226" s="1"/>
  <c r="A22" i="140"/>
  <c r="A25" i="139"/>
  <c r="J15" i="226" l="1"/>
  <c r="P15" i="226" s="1"/>
  <c r="R15" i="226"/>
  <c r="F15" i="227" s="1"/>
  <c r="J15" i="227" l="1"/>
  <c r="P15" i="227" s="1"/>
  <c r="R15" i="227"/>
  <c r="F15" i="228" s="1"/>
  <c r="J15" i="228" l="1"/>
  <c r="P15" i="228" s="1"/>
  <c r="R15" i="228"/>
  <c r="F15" i="229" s="1"/>
  <c r="H55" i="130"/>
  <c r="R15" i="229" l="1"/>
  <c r="F15" i="230" s="1"/>
  <c r="J15" i="229"/>
  <c r="P15" i="229" s="1"/>
  <c r="D25" i="92"/>
  <c r="E25" i="92"/>
  <c r="F25" i="92"/>
  <c r="G25" i="92"/>
  <c r="H25" i="92"/>
  <c r="C25" i="92"/>
  <c r="D24" i="92"/>
  <c r="E24" i="92"/>
  <c r="F24" i="92"/>
  <c r="G24" i="92"/>
  <c r="H24" i="92"/>
  <c r="C24" i="92"/>
  <c r="C14" i="92"/>
  <c r="C13" i="92"/>
  <c r="L14" i="100"/>
  <c r="L14" i="101"/>
  <c r="L14" i="102"/>
  <c r="L14" i="103"/>
  <c r="L14" i="99"/>
  <c r="R14" i="99" s="1"/>
  <c r="R15" i="230" l="1"/>
  <c r="F15" i="231" s="1"/>
  <c r="J15" i="230"/>
  <c r="P15" i="230" s="1"/>
  <c r="N14" i="103"/>
  <c r="N14" i="102"/>
  <c r="N14" i="101"/>
  <c r="R15" i="231" l="1"/>
  <c r="F15" i="232" s="1"/>
  <c r="J15" i="231"/>
  <c r="P15" i="231" s="1"/>
  <c r="Q19" i="110"/>
  <c r="Q14" i="110"/>
  <c r="Q15" i="110"/>
  <c r="Q16" i="110"/>
  <c r="Q17" i="110"/>
  <c r="Q18" i="110"/>
  <c r="J32" i="110"/>
  <c r="H32" i="110"/>
  <c r="J15" i="232" l="1"/>
  <c r="P15" i="232" s="1"/>
  <c r="R15" i="232"/>
  <c r="F14" i="249" s="1"/>
  <c r="Q26" i="110"/>
  <c r="Q27" i="110"/>
  <c r="Q28" i="110"/>
  <c r="Q29" i="110"/>
  <c r="Q30" i="110"/>
  <c r="R14" i="249" l="1"/>
  <c r="F14" i="250" s="1"/>
  <c r="J14" i="249"/>
  <c r="P14" i="249" s="1"/>
  <c r="Q20" i="91"/>
  <c r="Q20" i="111"/>
  <c r="D29" i="132"/>
  <c r="R14" i="250" l="1"/>
  <c r="F14" i="251" s="1"/>
  <c r="J14" i="250"/>
  <c r="P14" i="250" s="1"/>
  <c r="Q26" i="132"/>
  <c r="R14" i="251" l="1"/>
  <c r="F14" i="252" s="1"/>
  <c r="J14" i="251"/>
  <c r="P14" i="251" s="1"/>
  <c r="F27" i="131"/>
  <c r="G27" i="131"/>
  <c r="H27" i="131"/>
  <c r="I27" i="131"/>
  <c r="J27" i="131"/>
  <c r="K27" i="131"/>
  <c r="L27" i="131"/>
  <c r="M27" i="131"/>
  <c r="N27" i="131"/>
  <c r="O27" i="131"/>
  <c r="P27" i="131"/>
  <c r="D27" i="146" s="1"/>
  <c r="E27" i="131"/>
  <c r="Q6" i="131"/>
  <c r="R14" i="252" l="1"/>
  <c r="F14" i="253" s="1"/>
  <c r="J14" i="252"/>
  <c r="P14" i="252" s="1"/>
  <c r="Q27" i="131"/>
  <c r="S1048492" i="132"/>
  <c r="P29" i="132"/>
  <c r="O29" i="132"/>
  <c r="N29" i="132"/>
  <c r="M29" i="132"/>
  <c r="L29" i="132"/>
  <c r="K29" i="132"/>
  <c r="J29" i="132"/>
  <c r="I29" i="132"/>
  <c r="H29" i="132"/>
  <c r="G29" i="132"/>
  <c r="F29" i="132"/>
  <c r="E29" i="132"/>
  <c r="Q27" i="132"/>
  <c r="Q25" i="132"/>
  <c r="Q6" i="132"/>
  <c r="P6" i="132"/>
  <c r="O6" i="132"/>
  <c r="N6" i="132"/>
  <c r="M6" i="132"/>
  <c r="L6" i="132"/>
  <c r="K6" i="132"/>
  <c r="J6" i="132"/>
  <c r="I6" i="132"/>
  <c r="H6" i="132"/>
  <c r="G6" i="132"/>
  <c r="F6" i="132"/>
  <c r="S1048576" i="131"/>
  <c r="P6" i="131"/>
  <c r="O6" i="131"/>
  <c r="N6" i="131"/>
  <c r="M6" i="131"/>
  <c r="L6" i="131"/>
  <c r="K6" i="131"/>
  <c r="J6" i="131"/>
  <c r="I6" i="131"/>
  <c r="H6" i="131"/>
  <c r="G6" i="131"/>
  <c r="F6" i="131"/>
  <c r="R14" i="253" l="1"/>
  <c r="F14" i="254" s="1"/>
  <c r="J14" i="253"/>
  <c r="P14" i="253" s="1"/>
  <c r="Q29" i="132"/>
  <c r="R14" i="254" l="1"/>
  <c r="F14" i="255" s="1"/>
  <c r="J14" i="254"/>
  <c r="P14" i="254" s="1"/>
  <c r="Q72" i="130"/>
  <c r="Q73" i="130" s="1"/>
  <c r="Q74" i="130" s="1"/>
  <c r="Q75" i="130" s="1"/>
  <c r="Q76" i="130" s="1"/>
  <c r="Q77" i="130" s="1"/>
  <c r="Q78" i="130" s="1"/>
  <c r="Q79" i="130" s="1"/>
  <c r="Q80" i="130" s="1"/>
  <c r="Q81" i="130" s="1"/>
  <c r="Q82" i="130" s="1"/>
  <c r="Q83" i="130" s="1"/>
  <c r="Q84" i="130" s="1"/>
  <c r="Q85" i="130" s="1"/>
  <c r="Q86" i="130" s="1"/>
  <c r="A60" i="130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Q43" i="130"/>
  <c r="P43" i="130"/>
  <c r="Q42" i="130"/>
  <c r="P42" i="130"/>
  <c r="Q41" i="130"/>
  <c r="P41" i="130"/>
  <c r="Q40" i="130"/>
  <c r="P40" i="130"/>
  <c r="Q39" i="130"/>
  <c r="P39" i="130"/>
  <c r="Q38" i="130"/>
  <c r="P38" i="130"/>
  <c r="Q37" i="130"/>
  <c r="P37" i="130"/>
  <c r="Q36" i="130"/>
  <c r="P36" i="130"/>
  <c r="Q35" i="130"/>
  <c r="P35" i="130"/>
  <c r="Q34" i="130"/>
  <c r="P34" i="130"/>
  <c r="Q33" i="130"/>
  <c r="P33" i="130"/>
  <c r="Q32" i="130"/>
  <c r="P32" i="130"/>
  <c r="Q31" i="130"/>
  <c r="P31" i="130"/>
  <c r="Q30" i="130"/>
  <c r="P30" i="130"/>
  <c r="P29" i="130"/>
  <c r="A17" i="130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E26" i="131"/>
  <c r="F26" i="131"/>
  <c r="G26" i="131"/>
  <c r="H26" i="131"/>
  <c r="I26" i="131"/>
  <c r="J26" i="131"/>
  <c r="K26" i="131"/>
  <c r="L26" i="131"/>
  <c r="M26" i="131"/>
  <c r="N26" i="131"/>
  <c r="O26" i="131"/>
  <c r="P26" i="131"/>
  <c r="D26" i="146" s="1"/>
  <c r="D25" i="114"/>
  <c r="E25" i="114"/>
  <c r="F25" i="114"/>
  <c r="L28" i="118" s="1"/>
  <c r="G25" i="114"/>
  <c r="L28" i="119" s="1"/>
  <c r="H25" i="114"/>
  <c r="L28" i="120" s="1"/>
  <c r="I25" i="114"/>
  <c r="L28" i="121" s="1"/>
  <c r="J25" i="114"/>
  <c r="L28" i="122" s="1"/>
  <c r="K25" i="114"/>
  <c r="L28" i="123" s="1"/>
  <c r="L25" i="114"/>
  <c r="L28" i="124" s="1"/>
  <c r="M25" i="114"/>
  <c r="L28" i="125" s="1"/>
  <c r="N25" i="114"/>
  <c r="L28" i="126" s="1"/>
  <c r="D26" i="114"/>
  <c r="E26" i="114"/>
  <c r="F26" i="114"/>
  <c r="G26" i="114"/>
  <c r="H26" i="114"/>
  <c r="I26" i="114"/>
  <c r="J26" i="114"/>
  <c r="K26" i="114"/>
  <c r="L26" i="114"/>
  <c r="M26" i="114"/>
  <c r="N26" i="114"/>
  <c r="D12" i="147" s="1"/>
  <c r="D27" i="114"/>
  <c r="E27" i="114"/>
  <c r="F27" i="114"/>
  <c r="L29" i="118" s="1"/>
  <c r="G27" i="114"/>
  <c r="L29" i="119" s="1"/>
  <c r="H27" i="114"/>
  <c r="L29" i="120" s="1"/>
  <c r="I27" i="114"/>
  <c r="L29" i="121" s="1"/>
  <c r="J27" i="114"/>
  <c r="L29" i="122" s="1"/>
  <c r="K27" i="114"/>
  <c r="L29" i="123" s="1"/>
  <c r="L27" i="114"/>
  <c r="L29" i="124" s="1"/>
  <c r="M27" i="114"/>
  <c r="L29" i="125" s="1"/>
  <c r="N27" i="114"/>
  <c r="L29" i="126" s="1"/>
  <c r="C26" i="114"/>
  <c r="E12" i="132" s="1"/>
  <c r="C27" i="114"/>
  <c r="L29" i="113" s="1"/>
  <c r="C25" i="114"/>
  <c r="L14" i="116"/>
  <c r="L14" i="117"/>
  <c r="L14" i="118"/>
  <c r="L14" i="119"/>
  <c r="L14" i="120"/>
  <c r="L14" i="121"/>
  <c r="L14" i="122"/>
  <c r="L14" i="123"/>
  <c r="L14" i="124"/>
  <c r="L14" i="125"/>
  <c r="L14" i="126"/>
  <c r="D13" i="114"/>
  <c r="L15" i="116" s="1"/>
  <c r="E13" i="114"/>
  <c r="L15" i="117" s="1"/>
  <c r="F13" i="114"/>
  <c r="L15" i="118" s="1"/>
  <c r="G13" i="114"/>
  <c r="L15" i="119" s="1"/>
  <c r="H13" i="114"/>
  <c r="L15" i="120" s="1"/>
  <c r="I13" i="114"/>
  <c r="L15" i="121" s="1"/>
  <c r="J13" i="114"/>
  <c r="L15" i="122" s="1"/>
  <c r="K13" i="114"/>
  <c r="L15" i="123" s="1"/>
  <c r="L13" i="114"/>
  <c r="L15" i="124" s="1"/>
  <c r="M13" i="114"/>
  <c r="L15" i="125" s="1"/>
  <c r="N13" i="114"/>
  <c r="L15" i="126" s="1"/>
  <c r="D14" i="114"/>
  <c r="L16" i="116" s="1"/>
  <c r="E14" i="114"/>
  <c r="L16" i="117" s="1"/>
  <c r="F14" i="114"/>
  <c r="L16" i="118" s="1"/>
  <c r="G14" i="114"/>
  <c r="L16" i="119" s="1"/>
  <c r="H14" i="114"/>
  <c r="L16" i="120" s="1"/>
  <c r="I14" i="114"/>
  <c r="L16" i="121" s="1"/>
  <c r="J14" i="114"/>
  <c r="L16" i="122" s="1"/>
  <c r="K14" i="114"/>
  <c r="L16" i="123" s="1"/>
  <c r="L14" i="114"/>
  <c r="L16" i="124" s="1"/>
  <c r="M14" i="114"/>
  <c r="L16" i="125" s="1"/>
  <c r="N14" i="114"/>
  <c r="L16" i="126" s="1"/>
  <c r="C13" i="114"/>
  <c r="L15" i="113" s="1"/>
  <c r="C14" i="114"/>
  <c r="L16" i="113" s="1"/>
  <c r="R14" i="255" l="1"/>
  <c r="F14" i="256" s="1"/>
  <c r="J14" i="255"/>
  <c r="P14" i="255" s="1"/>
  <c r="Q26" i="131"/>
  <c r="F12" i="132"/>
  <c r="G12" i="132" s="1"/>
  <c r="H12" i="132" s="1"/>
  <c r="I12" i="132" s="1"/>
  <c r="J12" i="132" s="1"/>
  <c r="K12" i="132" s="1"/>
  <c r="L12" i="132" s="1"/>
  <c r="M12" i="132" s="1"/>
  <c r="N12" i="132" s="1"/>
  <c r="O12" i="132" s="1"/>
  <c r="P12" i="132" s="1"/>
  <c r="E12" i="147"/>
  <c r="O26" i="114"/>
  <c r="P44" i="130"/>
  <c r="L14" i="113"/>
  <c r="N14" i="113" s="1"/>
  <c r="Q53" i="128"/>
  <c r="P53" i="128"/>
  <c r="O53" i="128"/>
  <c r="N53" i="128"/>
  <c r="M53" i="128"/>
  <c r="L53" i="128"/>
  <c r="K53" i="128"/>
  <c r="J53" i="128"/>
  <c r="I53" i="128"/>
  <c r="H53" i="128"/>
  <c r="G53" i="128"/>
  <c r="F53" i="128"/>
  <c r="Q39" i="128"/>
  <c r="P39" i="128"/>
  <c r="O39" i="128"/>
  <c r="N39" i="128"/>
  <c r="M39" i="128"/>
  <c r="M55" i="128" s="1"/>
  <c r="L39" i="128"/>
  <c r="K39" i="128"/>
  <c r="J39" i="128"/>
  <c r="I39" i="128"/>
  <c r="H39" i="128"/>
  <c r="G39" i="128"/>
  <c r="G55" i="128" s="1"/>
  <c r="F39" i="128"/>
  <c r="J14" i="256" l="1"/>
  <c r="P14" i="256" s="1"/>
  <c r="R14" i="256"/>
  <c r="F14" i="257" s="1"/>
  <c r="F55" i="128"/>
  <c r="H55" i="128"/>
  <c r="Q55" i="128"/>
  <c r="F12" i="147"/>
  <c r="J55" i="128"/>
  <c r="N55" i="128"/>
  <c r="K55" i="128"/>
  <c r="O55" i="128"/>
  <c r="L55" i="128"/>
  <c r="P55" i="128"/>
  <c r="R53" i="128"/>
  <c r="I55" i="128"/>
  <c r="R39" i="128"/>
  <c r="H11" i="130" s="1"/>
  <c r="I11" i="183" s="1"/>
  <c r="O32" i="114"/>
  <c r="O31" i="114"/>
  <c r="O27" i="114"/>
  <c r="O28" i="114"/>
  <c r="O25" i="114"/>
  <c r="O23" i="114"/>
  <c r="O19" i="114"/>
  <c r="O20" i="114"/>
  <c r="O17" i="114"/>
  <c r="O12" i="114"/>
  <c r="O13" i="114"/>
  <c r="O14" i="114"/>
  <c r="O10" i="114"/>
  <c r="L22" i="126"/>
  <c r="N22" i="126" s="1"/>
  <c r="L21" i="126"/>
  <c r="N21" i="126" s="1"/>
  <c r="L20" i="126"/>
  <c r="N20" i="126" s="1"/>
  <c r="L13" i="126"/>
  <c r="P31" i="126"/>
  <c r="N31" i="126"/>
  <c r="J31" i="126"/>
  <c r="A20" i="126"/>
  <c r="A21" i="126" s="1"/>
  <c r="L22" i="125"/>
  <c r="N22" i="125" s="1"/>
  <c r="L21" i="125"/>
  <c r="L20" i="125"/>
  <c r="N20" i="125" s="1"/>
  <c r="L13" i="125"/>
  <c r="P31" i="125"/>
  <c r="N31" i="125"/>
  <c r="J31" i="125"/>
  <c r="A20" i="125"/>
  <c r="A21" i="125" s="1"/>
  <c r="L22" i="124"/>
  <c r="L21" i="124"/>
  <c r="L20" i="124"/>
  <c r="N20" i="124" s="1"/>
  <c r="L13" i="124"/>
  <c r="P31" i="124"/>
  <c r="N31" i="124"/>
  <c r="J31" i="124"/>
  <c r="A20" i="124"/>
  <c r="A21" i="124" s="1"/>
  <c r="L22" i="123"/>
  <c r="L21" i="123"/>
  <c r="N21" i="123" s="1"/>
  <c r="L20" i="123"/>
  <c r="N20" i="123" s="1"/>
  <c r="L13" i="123"/>
  <c r="N13" i="123" s="1"/>
  <c r="P31" i="123"/>
  <c r="N31" i="123"/>
  <c r="J31" i="123"/>
  <c r="A20" i="123"/>
  <c r="A21" i="123" s="1"/>
  <c r="L22" i="122"/>
  <c r="N22" i="122" s="1"/>
  <c r="L21" i="122"/>
  <c r="N21" i="122" s="1"/>
  <c r="L20" i="122"/>
  <c r="N20" i="122" s="1"/>
  <c r="L13" i="122"/>
  <c r="P31" i="122"/>
  <c r="N31" i="122"/>
  <c r="J31" i="122"/>
  <c r="A20" i="122"/>
  <c r="A21" i="122" s="1"/>
  <c r="L22" i="121"/>
  <c r="L21" i="121"/>
  <c r="N21" i="121" s="1"/>
  <c r="L20" i="121"/>
  <c r="N20" i="121" s="1"/>
  <c r="L13" i="121"/>
  <c r="P31" i="121"/>
  <c r="N31" i="121"/>
  <c r="J31" i="121"/>
  <c r="A20" i="121"/>
  <c r="A21" i="121" s="1"/>
  <c r="L22" i="120"/>
  <c r="N22" i="120" s="1"/>
  <c r="L21" i="120"/>
  <c r="N21" i="120" s="1"/>
  <c r="L20" i="120"/>
  <c r="N20" i="120" s="1"/>
  <c r="L13" i="120"/>
  <c r="P31" i="120"/>
  <c r="N31" i="120"/>
  <c r="J31" i="120"/>
  <c r="A20" i="120"/>
  <c r="A21" i="120" s="1"/>
  <c r="L22" i="119"/>
  <c r="L21" i="119"/>
  <c r="L20" i="119"/>
  <c r="N20" i="119" s="1"/>
  <c r="L13" i="119"/>
  <c r="P31" i="119"/>
  <c r="N31" i="119"/>
  <c r="J31" i="119"/>
  <c r="A20" i="119"/>
  <c r="A21" i="119" s="1"/>
  <c r="L31" i="118"/>
  <c r="L22" i="118"/>
  <c r="N22" i="118" s="1"/>
  <c r="L21" i="118"/>
  <c r="N21" i="118" s="1"/>
  <c r="L20" i="118"/>
  <c r="L13" i="118"/>
  <c r="L17" i="118" s="1"/>
  <c r="H20" i="130" s="1"/>
  <c r="H63" i="130" s="1"/>
  <c r="P31" i="118"/>
  <c r="N31" i="118"/>
  <c r="J31" i="118"/>
  <c r="A20" i="118"/>
  <c r="A21" i="118" s="1"/>
  <c r="L29" i="117"/>
  <c r="L30" i="117"/>
  <c r="L28" i="117"/>
  <c r="L21" i="117"/>
  <c r="L22" i="117"/>
  <c r="L20" i="117"/>
  <c r="N14" i="117"/>
  <c r="N15" i="117"/>
  <c r="L13" i="117"/>
  <c r="N13" i="117" s="1"/>
  <c r="P31" i="117"/>
  <c r="N31" i="117"/>
  <c r="J31" i="117"/>
  <c r="N16" i="117"/>
  <c r="A20" i="117"/>
  <c r="A21" i="117" s="1"/>
  <c r="L29" i="116"/>
  <c r="L30" i="116"/>
  <c r="L28" i="116"/>
  <c r="L21" i="116"/>
  <c r="N21" i="116" s="1"/>
  <c r="L22" i="116"/>
  <c r="N22" i="116" s="1"/>
  <c r="L20" i="116"/>
  <c r="N20" i="116" s="1"/>
  <c r="L13" i="116"/>
  <c r="P31" i="116"/>
  <c r="N31" i="116"/>
  <c r="J31" i="116"/>
  <c r="A20" i="116"/>
  <c r="A21" i="116" s="1"/>
  <c r="L28" i="113"/>
  <c r="L20" i="113"/>
  <c r="L13" i="113"/>
  <c r="N13" i="113" s="1"/>
  <c r="C29" i="114"/>
  <c r="D29" i="114"/>
  <c r="G29" i="114"/>
  <c r="H29" i="114"/>
  <c r="E29" i="114"/>
  <c r="F29" i="114"/>
  <c r="H21" i="114"/>
  <c r="G21" i="114"/>
  <c r="F21" i="114"/>
  <c r="E21" i="114"/>
  <c r="D21" i="114"/>
  <c r="C21" i="114"/>
  <c r="H15" i="114"/>
  <c r="G15" i="114"/>
  <c r="D15" i="114"/>
  <c r="F15" i="114"/>
  <c r="E15" i="114"/>
  <c r="R14" i="257" l="1"/>
  <c r="F14" i="258" s="1"/>
  <c r="J14" i="257"/>
  <c r="P14" i="257" s="1"/>
  <c r="I20" i="183"/>
  <c r="I26" i="183"/>
  <c r="I21" i="183"/>
  <c r="I22" i="183"/>
  <c r="I28" i="183"/>
  <c r="I23" i="183"/>
  <c r="I17" i="183"/>
  <c r="I24" i="183"/>
  <c r="I19" i="183"/>
  <c r="I27" i="183"/>
  <c r="I25" i="183"/>
  <c r="I18" i="183"/>
  <c r="I55" i="183"/>
  <c r="H54" i="130"/>
  <c r="H11" i="162"/>
  <c r="R55" i="128"/>
  <c r="G12" i="147"/>
  <c r="A22" i="126"/>
  <c r="A23" i="126" s="1"/>
  <c r="A25" i="126" s="1"/>
  <c r="A28" i="126" s="1"/>
  <c r="A22" i="125"/>
  <c r="A23" i="125" s="1"/>
  <c r="A25" i="125" s="1"/>
  <c r="A28" i="125" s="1"/>
  <c r="A22" i="124"/>
  <c r="A23" i="124" s="1"/>
  <c r="A25" i="124" s="1"/>
  <c r="A28" i="124" s="1"/>
  <c r="A22" i="123"/>
  <c r="A23" i="123" s="1"/>
  <c r="A25" i="123" s="1"/>
  <c r="A28" i="123" s="1"/>
  <c r="A22" i="122"/>
  <c r="A23" i="122" s="1"/>
  <c r="A25" i="122" s="1"/>
  <c r="A28" i="122" s="1"/>
  <c r="A22" i="121"/>
  <c r="A23" i="121" s="1"/>
  <c r="A25" i="121" s="1"/>
  <c r="A28" i="121" s="1"/>
  <c r="A22" i="120"/>
  <c r="A23" i="120" s="1"/>
  <c r="A25" i="120" s="1"/>
  <c r="A28" i="120" s="1"/>
  <c r="A22" i="119"/>
  <c r="A23" i="119" s="1"/>
  <c r="A25" i="119" s="1"/>
  <c r="A28" i="119" s="1"/>
  <c r="A22" i="118"/>
  <c r="A23" i="118" s="1"/>
  <c r="A25" i="118" s="1"/>
  <c r="A28" i="118" s="1"/>
  <c r="A22" i="117"/>
  <c r="A23" i="117" s="1"/>
  <c r="A25" i="117" s="1"/>
  <c r="A28" i="117" s="1"/>
  <c r="A22" i="116"/>
  <c r="A23" i="116" s="1"/>
  <c r="A25" i="116" s="1"/>
  <c r="A28" i="116" s="1"/>
  <c r="L17" i="124"/>
  <c r="H26" i="130" s="1"/>
  <c r="H69" i="130" s="1"/>
  <c r="L23" i="123"/>
  <c r="J63" i="130"/>
  <c r="J20" i="130"/>
  <c r="L23" i="125"/>
  <c r="N16" i="116"/>
  <c r="N22" i="117"/>
  <c r="L23" i="119"/>
  <c r="L31" i="116"/>
  <c r="N22" i="124"/>
  <c r="L17" i="116"/>
  <c r="H18" i="130" s="1"/>
  <c r="H61" i="130" s="1"/>
  <c r="L23" i="126"/>
  <c r="L23" i="121"/>
  <c r="N22" i="121"/>
  <c r="N23" i="121" s="1"/>
  <c r="N16" i="120"/>
  <c r="N23" i="120"/>
  <c r="L31" i="120"/>
  <c r="N22" i="119"/>
  <c r="L17" i="120"/>
  <c r="H22" i="130" s="1"/>
  <c r="H65" i="130" s="1"/>
  <c r="L23" i="120"/>
  <c r="N22" i="123"/>
  <c r="N23" i="123" s="1"/>
  <c r="N20" i="117"/>
  <c r="N15" i="118"/>
  <c r="L31" i="119"/>
  <c r="L23" i="124"/>
  <c r="N14" i="118"/>
  <c r="N13" i="116"/>
  <c r="L17" i="117"/>
  <c r="H19" i="130" s="1"/>
  <c r="H62" i="130" s="1"/>
  <c r="N13" i="118"/>
  <c r="N13" i="119"/>
  <c r="N16" i="119"/>
  <c r="L17" i="119"/>
  <c r="N15" i="120"/>
  <c r="L17" i="121"/>
  <c r="H23" i="130" s="1"/>
  <c r="H66" i="130" s="1"/>
  <c r="N16" i="123"/>
  <c r="L17" i="126"/>
  <c r="H28" i="130" s="1"/>
  <c r="H71" i="130" s="1"/>
  <c r="N23" i="126"/>
  <c r="N13" i="126"/>
  <c r="N14" i="126"/>
  <c r="N15" i="126"/>
  <c r="N16" i="126"/>
  <c r="N21" i="125"/>
  <c r="N23" i="125" s="1"/>
  <c r="L17" i="125"/>
  <c r="H27" i="130" s="1"/>
  <c r="H70" i="130" s="1"/>
  <c r="N15" i="125"/>
  <c r="N16" i="125"/>
  <c r="N21" i="124"/>
  <c r="N13" i="124"/>
  <c r="N14" i="124"/>
  <c r="N15" i="124"/>
  <c r="N16" i="124"/>
  <c r="N15" i="123"/>
  <c r="L17" i="123"/>
  <c r="H25" i="130" s="1"/>
  <c r="H68" i="130" s="1"/>
  <c r="N14" i="123"/>
  <c r="L23" i="122"/>
  <c r="N23" i="122"/>
  <c r="L17" i="122"/>
  <c r="H24" i="130" s="1"/>
  <c r="H67" i="130" s="1"/>
  <c r="N13" i="122"/>
  <c r="N14" i="122"/>
  <c r="N15" i="122"/>
  <c r="N16" i="122"/>
  <c r="N13" i="121"/>
  <c r="N14" i="121"/>
  <c r="N15" i="121"/>
  <c r="N16" i="121"/>
  <c r="N14" i="120"/>
  <c r="N13" i="120"/>
  <c r="N21" i="119"/>
  <c r="N15" i="119"/>
  <c r="N14" i="119"/>
  <c r="L23" i="118"/>
  <c r="L25" i="118" s="1"/>
  <c r="N20" i="118"/>
  <c r="N23" i="118" s="1"/>
  <c r="N16" i="118"/>
  <c r="L31" i="117"/>
  <c r="N21" i="117"/>
  <c r="L23" i="117"/>
  <c r="N17" i="117"/>
  <c r="N23" i="116"/>
  <c r="L23" i="116"/>
  <c r="N14" i="116"/>
  <c r="N15" i="116"/>
  <c r="N21" i="114"/>
  <c r="M21" i="114"/>
  <c r="L21" i="114"/>
  <c r="K21" i="114"/>
  <c r="J21" i="114"/>
  <c r="I21" i="114"/>
  <c r="O21" i="114"/>
  <c r="A11" i="114"/>
  <c r="A12" i="114" s="1"/>
  <c r="A13" i="114" s="1"/>
  <c r="A14" i="114" s="1"/>
  <c r="A15" i="114" s="1"/>
  <c r="A17" i="114" s="1"/>
  <c r="P31" i="113"/>
  <c r="N31" i="113"/>
  <c r="J31" i="113"/>
  <c r="L31" i="113"/>
  <c r="J17" i="130" s="1"/>
  <c r="L23" i="113"/>
  <c r="N20" i="113"/>
  <c r="L17" i="113"/>
  <c r="N16" i="113"/>
  <c r="N15" i="113"/>
  <c r="A16" i="113"/>
  <c r="A17" i="113" s="1"/>
  <c r="A20" i="113" s="1"/>
  <c r="A21" i="113" s="1"/>
  <c r="R14" i="258" l="1"/>
  <c r="F14" i="259" s="1"/>
  <c r="J14" i="258"/>
  <c r="P14" i="258" s="1"/>
  <c r="H17" i="130"/>
  <c r="H60" i="130" s="1"/>
  <c r="I11" i="205"/>
  <c r="I67" i="183"/>
  <c r="I62" i="183"/>
  <c r="I68" i="183"/>
  <c r="I69" i="183"/>
  <c r="I64" i="183"/>
  <c r="I70" i="183"/>
  <c r="I65" i="183"/>
  <c r="I71" i="183"/>
  <c r="I72" i="183"/>
  <c r="I63" i="183"/>
  <c r="I66" i="183"/>
  <c r="I61" i="183"/>
  <c r="I44" i="183"/>
  <c r="L25" i="119"/>
  <c r="H21" i="130"/>
  <c r="H64" i="130" s="1"/>
  <c r="A18" i="114"/>
  <c r="A19" i="114" s="1"/>
  <c r="A20" i="114" s="1"/>
  <c r="A21" i="114" s="1"/>
  <c r="A23" i="114" s="1"/>
  <c r="A25" i="114" s="1"/>
  <c r="A26" i="114" s="1"/>
  <c r="A27" i="114" s="1"/>
  <c r="A28" i="114" s="1"/>
  <c r="A29" i="114" s="1"/>
  <c r="A31" i="114" s="1"/>
  <c r="A32" i="114" s="1"/>
  <c r="H55" i="162"/>
  <c r="H21" i="162"/>
  <c r="H17" i="162"/>
  <c r="H24" i="162"/>
  <c r="H25" i="162"/>
  <c r="H20" i="162"/>
  <c r="H28" i="162"/>
  <c r="H23" i="162"/>
  <c r="H18" i="162"/>
  <c r="H19" i="162"/>
  <c r="H26" i="162"/>
  <c r="H27" i="162"/>
  <c r="H22" i="162"/>
  <c r="H12" i="147"/>
  <c r="A29" i="126"/>
  <c r="A30" i="126" s="1"/>
  <c r="A31" i="126" s="1"/>
  <c r="A29" i="125"/>
  <c r="A30" i="125" s="1"/>
  <c r="A31" i="125" s="1"/>
  <c r="A29" i="124"/>
  <c r="A30" i="124" s="1"/>
  <c r="A31" i="124" s="1"/>
  <c r="A29" i="123"/>
  <c r="A30" i="123" s="1"/>
  <c r="A31" i="123" s="1"/>
  <c r="A29" i="122"/>
  <c r="A30" i="122" s="1"/>
  <c r="A31" i="122" s="1"/>
  <c r="A29" i="121"/>
  <c r="A30" i="121" s="1"/>
  <c r="A31" i="121" s="1"/>
  <c r="A29" i="120"/>
  <c r="A30" i="120" s="1"/>
  <c r="A31" i="120" s="1"/>
  <c r="A30" i="119"/>
  <c r="A31" i="119" s="1"/>
  <c r="A29" i="119"/>
  <c r="A29" i="118"/>
  <c r="A30" i="118" s="1"/>
  <c r="A31" i="118" s="1"/>
  <c r="A29" i="117"/>
  <c r="A30" i="117" s="1"/>
  <c r="A31" i="117" s="1"/>
  <c r="A29" i="116"/>
  <c r="A30" i="116" s="1"/>
  <c r="A31" i="116" s="1"/>
  <c r="A22" i="113"/>
  <c r="A23" i="113" s="1"/>
  <c r="A25" i="113" s="1"/>
  <c r="A28" i="113" s="1"/>
  <c r="L25" i="120"/>
  <c r="L25" i="124"/>
  <c r="L25" i="126"/>
  <c r="L25" i="123"/>
  <c r="J65" i="130"/>
  <c r="J22" i="130"/>
  <c r="J64" i="130"/>
  <c r="J21" i="130"/>
  <c r="J62" i="130"/>
  <c r="J19" i="130"/>
  <c r="L25" i="117"/>
  <c r="L25" i="116"/>
  <c r="J61" i="130"/>
  <c r="J18" i="130"/>
  <c r="J60" i="130"/>
  <c r="L25" i="113"/>
  <c r="N17" i="123"/>
  <c r="N25" i="123" s="1"/>
  <c r="N23" i="119"/>
  <c r="N23" i="124"/>
  <c r="N23" i="117"/>
  <c r="N25" i="117" s="1"/>
  <c r="L25" i="125"/>
  <c r="L25" i="121"/>
  <c r="N17" i="120"/>
  <c r="N25" i="120" s="1"/>
  <c r="N17" i="119"/>
  <c r="N17" i="116"/>
  <c r="N25" i="116" s="1"/>
  <c r="N17" i="118"/>
  <c r="N25" i="118" s="1"/>
  <c r="L25" i="122"/>
  <c r="N17" i="126"/>
  <c r="N25" i="126" s="1"/>
  <c r="N17" i="125"/>
  <c r="N25" i="125" s="1"/>
  <c r="N17" i="124"/>
  <c r="N17" i="122"/>
  <c r="N25" i="122" s="1"/>
  <c r="N17" i="121"/>
  <c r="N25" i="121" s="1"/>
  <c r="N23" i="113"/>
  <c r="L15" i="114"/>
  <c r="K29" i="114"/>
  <c r="L29" i="114"/>
  <c r="I15" i="114"/>
  <c r="M15" i="114"/>
  <c r="J15" i="114"/>
  <c r="N15" i="114"/>
  <c r="I29" i="114"/>
  <c r="M29" i="114"/>
  <c r="K15" i="114"/>
  <c r="J29" i="114"/>
  <c r="N29" i="114"/>
  <c r="N17" i="113"/>
  <c r="J14" i="259" l="1"/>
  <c r="P14" i="259" s="1"/>
  <c r="R14" i="259"/>
  <c r="F14" i="260" s="1"/>
  <c r="I57" i="233"/>
  <c r="I19" i="233"/>
  <c r="I25" i="233"/>
  <c r="I20" i="233"/>
  <c r="I26" i="233"/>
  <c r="I22" i="233"/>
  <c r="I23" i="233"/>
  <c r="I18" i="233"/>
  <c r="I21" i="233"/>
  <c r="I27" i="233"/>
  <c r="I28" i="233"/>
  <c r="I17" i="233"/>
  <c r="I24" i="233"/>
  <c r="I21" i="205"/>
  <c r="I24" i="205"/>
  <c r="I23" i="205"/>
  <c r="I25" i="205"/>
  <c r="I26" i="205"/>
  <c r="I22" i="205"/>
  <c r="I61" i="205"/>
  <c r="I88" i="183"/>
  <c r="H66" i="162"/>
  <c r="H72" i="162"/>
  <c r="H67" i="162"/>
  <c r="H61" i="162"/>
  <c r="H62" i="162"/>
  <c r="H68" i="162"/>
  <c r="H63" i="162"/>
  <c r="H69" i="162"/>
  <c r="H64" i="162"/>
  <c r="H70" i="162"/>
  <c r="H65" i="162"/>
  <c r="H71" i="162"/>
  <c r="H44" i="162"/>
  <c r="I12" i="147"/>
  <c r="A29" i="113"/>
  <c r="A30" i="113" s="1"/>
  <c r="A31" i="113" s="1"/>
  <c r="N25" i="124"/>
  <c r="H87" i="130"/>
  <c r="H44" i="130"/>
  <c r="N25" i="119"/>
  <c r="L31" i="126"/>
  <c r="L31" i="121"/>
  <c r="L31" i="122"/>
  <c r="L31" i="124"/>
  <c r="L31" i="123"/>
  <c r="L31" i="125"/>
  <c r="N25" i="113"/>
  <c r="O29" i="114"/>
  <c r="R14" i="260" l="1"/>
  <c r="J14" i="260"/>
  <c r="P14" i="260" s="1"/>
  <c r="I27" i="205"/>
  <c r="I44" i="233"/>
  <c r="I64" i="233"/>
  <c r="I70" i="233"/>
  <c r="I71" i="233"/>
  <c r="I74" i="233"/>
  <c r="I63" i="233"/>
  <c r="I65" i="233"/>
  <c r="I66" i="233"/>
  <c r="I72" i="233"/>
  <c r="I67" i="233"/>
  <c r="I73" i="233"/>
  <c r="I68" i="233"/>
  <c r="I69" i="233"/>
  <c r="I71" i="205"/>
  <c r="I74" i="205"/>
  <c r="I72" i="205"/>
  <c r="I73" i="205"/>
  <c r="I75" i="205"/>
  <c r="I76" i="205"/>
  <c r="I49" i="205"/>
  <c r="H88" i="162"/>
  <c r="J12" i="147"/>
  <c r="J71" i="130"/>
  <c r="J28" i="130"/>
  <c r="J70" i="130"/>
  <c r="J27" i="130"/>
  <c r="J69" i="130"/>
  <c r="J26" i="130"/>
  <c r="J68" i="130"/>
  <c r="J25" i="130"/>
  <c r="J67" i="130"/>
  <c r="J24" i="130"/>
  <c r="J66" i="130"/>
  <c r="J23" i="130"/>
  <c r="I90" i="233" l="1"/>
  <c r="I99" i="205"/>
  <c r="K12" i="147"/>
  <c r="C11" i="92"/>
  <c r="K11" i="111" s="1"/>
  <c r="L11" i="111" s="1"/>
  <c r="M11" i="111" s="1"/>
  <c r="N11" i="111" s="1"/>
  <c r="O11" i="111" s="1"/>
  <c r="P11" i="111" s="1"/>
  <c r="F61" i="128" s="1"/>
  <c r="C11" i="114" l="1"/>
  <c r="O11" i="114"/>
  <c r="O15" i="114" s="1"/>
  <c r="C15" i="114"/>
  <c r="L12" i="147"/>
  <c r="L60" i="108"/>
  <c r="Q13" i="111"/>
  <c r="Q12" i="111"/>
  <c r="M12" i="147" l="1"/>
  <c r="P27" i="91"/>
  <c r="D27" i="131" s="1"/>
  <c r="O27" i="91"/>
  <c r="N27" i="91"/>
  <c r="M27" i="91"/>
  <c r="L27" i="91"/>
  <c r="K27" i="91"/>
  <c r="N12" i="147" l="1"/>
  <c r="K92" i="108"/>
  <c r="J92" i="108"/>
  <c r="I92" i="108"/>
  <c r="H92" i="108"/>
  <c r="G92" i="108"/>
  <c r="P91" i="108"/>
  <c r="Q91" i="108" s="1"/>
  <c r="U91" i="108" s="1"/>
  <c r="P90" i="108"/>
  <c r="Q90" i="108" s="1"/>
  <c r="U90" i="108" s="1"/>
  <c r="P89" i="108"/>
  <c r="Q89" i="108" s="1"/>
  <c r="U89" i="108" s="1"/>
  <c r="P88" i="108"/>
  <c r="Q88" i="108" s="1"/>
  <c r="U88" i="108" s="1"/>
  <c r="P87" i="108"/>
  <c r="Q87" i="108" s="1"/>
  <c r="U87" i="108" s="1"/>
  <c r="P86" i="108"/>
  <c r="Q86" i="108" s="1"/>
  <c r="U86" i="108" s="1"/>
  <c r="P85" i="108"/>
  <c r="Q85" i="108" s="1"/>
  <c r="U85" i="108" s="1"/>
  <c r="P84" i="108"/>
  <c r="Q84" i="108" s="1"/>
  <c r="U84" i="108" s="1"/>
  <c r="P83" i="108"/>
  <c r="Q83" i="108" s="1"/>
  <c r="U83" i="108" s="1"/>
  <c r="P82" i="108"/>
  <c r="Q82" i="108" s="1"/>
  <c r="U82" i="108" s="1"/>
  <c r="P81" i="108"/>
  <c r="Q81" i="108" s="1"/>
  <c r="U81" i="108" s="1"/>
  <c r="P80" i="108"/>
  <c r="Q80" i="108" s="1"/>
  <c r="U80" i="108" s="1"/>
  <c r="P79" i="108"/>
  <c r="Q79" i="108" s="1"/>
  <c r="U79" i="108" s="1"/>
  <c r="P78" i="108"/>
  <c r="Q78" i="108" s="1"/>
  <c r="U78" i="108" s="1"/>
  <c r="P77" i="108"/>
  <c r="Q77" i="108" s="1"/>
  <c r="U77" i="108" s="1"/>
  <c r="A65" i="108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U43" i="108"/>
  <c r="T43" i="108"/>
  <c r="U42" i="108"/>
  <c r="T42" i="108"/>
  <c r="U41" i="108"/>
  <c r="T41" i="108"/>
  <c r="U40" i="108"/>
  <c r="T40" i="108"/>
  <c r="U39" i="108"/>
  <c r="T39" i="108"/>
  <c r="U38" i="108"/>
  <c r="T38" i="108"/>
  <c r="U37" i="108"/>
  <c r="T37" i="108"/>
  <c r="U36" i="108"/>
  <c r="T36" i="108"/>
  <c r="U35" i="108"/>
  <c r="T35" i="108"/>
  <c r="U34" i="108"/>
  <c r="T34" i="108"/>
  <c r="U33" i="108"/>
  <c r="T33" i="108"/>
  <c r="U32" i="108"/>
  <c r="T32" i="108"/>
  <c r="U31" i="108"/>
  <c r="T31" i="108"/>
  <c r="U30" i="108"/>
  <c r="T30" i="108"/>
  <c r="T29" i="108"/>
  <c r="V22" i="108"/>
  <c r="V21" i="108"/>
  <c r="V20" i="108"/>
  <c r="V19" i="108"/>
  <c r="V18" i="108"/>
  <c r="V17" i="108"/>
  <c r="A17" i="108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X16" i="108"/>
  <c r="P31" i="104"/>
  <c r="N31" i="104"/>
  <c r="J31" i="104"/>
  <c r="L30" i="104"/>
  <c r="L22" i="104"/>
  <c r="A20" i="104"/>
  <c r="A21" i="104" s="1"/>
  <c r="P31" i="103"/>
  <c r="N31" i="103"/>
  <c r="J31" i="103"/>
  <c r="L30" i="103"/>
  <c r="A20" i="103"/>
  <c r="A21" i="103" s="1"/>
  <c r="P31" i="102"/>
  <c r="N31" i="102"/>
  <c r="J31" i="102"/>
  <c r="L30" i="102"/>
  <c r="L22" i="102"/>
  <c r="N22" i="102" s="1"/>
  <c r="A20" i="102"/>
  <c r="A21" i="102" s="1"/>
  <c r="P31" i="101"/>
  <c r="N31" i="101"/>
  <c r="J31" i="101"/>
  <c r="L30" i="101"/>
  <c r="L22" i="101"/>
  <c r="N22" i="101" s="1"/>
  <c r="A20" i="101"/>
  <c r="A21" i="101" s="1"/>
  <c r="P31" i="100"/>
  <c r="N31" i="100"/>
  <c r="J31" i="100"/>
  <c r="L30" i="100"/>
  <c r="L22" i="100"/>
  <c r="A20" i="100"/>
  <c r="A21" i="100" s="1"/>
  <c r="P31" i="99"/>
  <c r="N31" i="99"/>
  <c r="J31" i="99"/>
  <c r="F31" i="99"/>
  <c r="L30" i="99"/>
  <c r="F23" i="99"/>
  <c r="L22" i="99"/>
  <c r="R22" i="99" s="1"/>
  <c r="J22" i="99"/>
  <c r="J21" i="99"/>
  <c r="J20" i="99"/>
  <c r="F17" i="99"/>
  <c r="J16" i="99"/>
  <c r="J15" i="99"/>
  <c r="J14" i="99"/>
  <c r="A20" i="99"/>
  <c r="A21" i="99" s="1"/>
  <c r="J13" i="99"/>
  <c r="I30" i="92"/>
  <c r="I26" i="92"/>
  <c r="L29" i="104"/>
  <c r="L29" i="103"/>
  <c r="L29" i="102"/>
  <c r="L29" i="101"/>
  <c r="L29" i="100"/>
  <c r="L29" i="99"/>
  <c r="L28" i="104"/>
  <c r="L28" i="103"/>
  <c r="L28" i="102"/>
  <c r="L28" i="101"/>
  <c r="L28" i="100"/>
  <c r="L28" i="99"/>
  <c r="R28" i="99" s="1"/>
  <c r="G22" i="92"/>
  <c r="L16" i="104"/>
  <c r="L16" i="103"/>
  <c r="L16" i="102"/>
  <c r="L16" i="101"/>
  <c r="L16" i="100"/>
  <c r="N16" i="100" s="1"/>
  <c r="L16" i="99"/>
  <c r="R16" i="99" s="1"/>
  <c r="L15" i="104"/>
  <c r="N15" i="104" s="1"/>
  <c r="L15" i="103"/>
  <c r="L15" i="102"/>
  <c r="L15" i="101"/>
  <c r="L15" i="100"/>
  <c r="N15" i="100" s="1"/>
  <c r="L15" i="99"/>
  <c r="L14" i="104"/>
  <c r="A11" i="92"/>
  <c r="A12" i="92" s="1"/>
  <c r="A13" i="92" s="1"/>
  <c r="A14" i="92" s="1"/>
  <c r="A15" i="92" s="1"/>
  <c r="A17" i="92" s="1"/>
  <c r="A18" i="92" s="1"/>
  <c r="A19" i="92" s="1"/>
  <c r="A20" i="92" s="1"/>
  <c r="A22" i="92" s="1"/>
  <c r="A24" i="92" s="1"/>
  <c r="A25" i="92" s="1"/>
  <c r="A26" i="92" s="1"/>
  <c r="A27" i="92" s="1"/>
  <c r="A29" i="92" s="1"/>
  <c r="A30" i="92" s="1"/>
  <c r="A31" i="92" s="1"/>
  <c r="L13" i="103"/>
  <c r="L13" i="99"/>
  <c r="R13" i="99" s="1"/>
  <c r="P75" i="110"/>
  <c r="O75" i="110"/>
  <c r="N75" i="110"/>
  <c r="M75" i="110"/>
  <c r="L75" i="110"/>
  <c r="K75" i="110"/>
  <c r="J75" i="110"/>
  <c r="I75" i="110"/>
  <c r="H75" i="110"/>
  <c r="G75" i="110"/>
  <c r="F75" i="110"/>
  <c r="E75" i="110"/>
  <c r="Q74" i="110"/>
  <c r="Q73" i="110"/>
  <c r="Q72" i="110"/>
  <c r="P70" i="110"/>
  <c r="O70" i="110"/>
  <c r="N70" i="110"/>
  <c r="M70" i="110"/>
  <c r="L70" i="110"/>
  <c r="K70" i="110"/>
  <c r="J70" i="110"/>
  <c r="I70" i="110"/>
  <c r="H70" i="110"/>
  <c r="G70" i="110"/>
  <c r="F70" i="110"/>
  <c r="E70" i="110"/>
  <c r="Q69" i="110"/>
  <c r="Q68" i="110"/>
  <c r="Q67" i="110"/>
  <c r="Q66" i="110"/>
  <c r="Q65" i="110"/>
  <c r="Q64" i="110"/>
  <c r="Q63" i="110"/>
  <c r="Q62" i="110"/>
  <c r="Q61" i="110"/>
  <c r="Q60" i="110"/>
  <c r="Q59" i="110"/>
  <c r="P54" i="110"/>
  <c r="O54" i="110"/>
  <c r="N54" i="110"/>
  <c r="M54" i="110"/>
  <c r="L54" i="110"/>
  <c r="K54" i="110"/>
  <c r="J54" i="110"/>
  <c r="I54" i="110"/>
  <c r="H54" i="110"/>
  <c r="G54" i="110"/>
  <c r="F54" i="110"/>
  <c r="E54" i="110"/>
  <c r="Q53" i="110"/>
  <c r="Q52" i="110"/>
  <c r="Q51" i="110"/>
  <c r="P49" i="110"/>
  <c r="O49" i="110"/>
  <c r="N49" i="110"/>
  <c r="M49" i="110"/>
  <c r="L49" i="110"/>
  <c r="K49" i="110"/>
  <c r="J49" i="110"/>
  <c r="I49" i="110"/>
  <c r="H49" i="110"/>
  <c r="G49" i="110"/>
  <c r="F49" i="110"/>
  <c r="E49" i="110"/>
  <c r="Q48" i="110"/>
  <c r="Q47" i="110"/>
  <c r="Q46" i="110"/>
  <c r="Q45" i="110"/>
  <c r="Q44" i="110"/>
  <c r="Q43" i="110"/>
  <c r="Q42" i="110"/>
  <c r="Q41" i="110"/>
  <c r="Q40" i="110"/>
  <c r="Q39" i="110"/>
  <c r="Q38" i="110"/>
  <c r="Q37" i="110"/>
  <c r="P32" i="110"/>
  <c r="O32" i="110"/>
  <c r="N32" i="110"/>
  <c r="M32" i="110"/>
  <c r="L32" i="110"/>
  <c r="K32" i="110"/>
  <c r="I32" i="110"/>
  <c r="G32" i="110"/>
  <c r="F32" i="110"/>
  <c r="E32" i="110"/>
  <c r="Q31" i="110"/>
  <c r="P20" i="110"/>
  <c r="O20" i="110"/>
  <c r="N20" i="110"/>
  <c r="M20" i="110"/>
  <c r="L20" i="110"/>
  <c r="K20" i="110"/>
  <c r="J20" i="110"/>
  <c r="I20" i="110"/>
  <c r="I34" i="110" s="1"/>
  <c r="H20" i="110"/>
  <c r="G20" i="110"/>
  <c r="F20" i="110"/>
  <c r="Q13" i="110"/>
  <c r="Q12" i="110"/>
  <c r="Q11" i="110"/>
  <c r="Q10" i="110"/>
  <c r="Q9" i="110"/>
  <c r="Q8" i="110"/>
  <c r="Q7" i="110"/>
  <c r="Q6" i="110"/>
  <c r="Q5" i="110"/>
  <c r="Q4" i="110"/>
  <c r="Q3" i="110"/>
  <c r="P26" i="91"/>
  <c r="D26" i="131" s="1"/>
  <c r="O26" i="91"/>
  <c r="N26" i="91"/>
  <c r="M26" i="91"/>
  <c r="L26" i="91"/>
  <c r="K26" i="91"/>
  <c r="Q26" i="91" s="1"/>
  <c r="C12" i="8"/>
  <c r="S1048490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Q27" i="111"/>
  <c r="Q26" i="111"/>
  <c r="Q25" i="111"/>
  <c r="D14" i="111"/>
  <c r="D18" i="111" s="1"/>
  <c r="D22" i="111" s="1"/>
  <c r="J14" i="111"/>
  <c r="J18" i="111" s="1"/>
  <c r="J22" i="111" s="1"/>
  <c r="I14" i="111"/>
  <c r="I18" i="111" s="1"/>
  <c r="I22" i="111" s="1"/>
  <c r="H14" i="111"/>
  <c r="H18" i="111" s="1"/>
  <c r="H22" i="111" s="1"/>
  <c r="G14" i="111"/>
  <c r="G18" i="111" s="1"/>
  <c r="G22" i="111" s="1"/>
  <c r="F14" i="111"/>
  <c r="F18" i="111" s="1"/>
  <c r="F22" i="111" s="1"/>
  <c r="E14" i="111"/>
  <c r="E18" i="111" s="1"/>
  <c r="E22" i="111" s="1"/>
  <c r="Q6" i="111"/>
  <c r="P6" i="111"/>
  <c r="O6" i="111"/>
  <c r="N6" i="111"/>
  <c r="M6" i="111"/>
  <c r="L6" i="111"/>
  <c r="K6" i="111"/>
  <c r="J6" i="111"/>
  <c r="I6" i="111"/>
  <c r="H6" i="111"/>
  <c r="G6" i="111"/>
  <c r="F6" i="111"/>
  <c r="S1048575" i="91"/>
  <c r="Q27" i="91"/>
  <c r="P6" i="91"/>
  <c r="O6" i="91"/>
  <c r="N6" i="91"/>
  <c r="M6" i="91"/>
  <c r="L6" i="91"/>
  <c r="K6" i="91"/>
  <c r="J6" i="91"/>
  <c r="I6" i="91"/>
  <c r="H6" i="91"/>
  <c r="G6" i="91"/>
  <c r="F6" i="91"/>
  <c r="D31" i="111" l="1"/>
  <c r="N15" i="99"/>
  <c r="P15" i="99" s="1"/>
  <c r="R15" i="99"/>
  <c r="F15" i="100" s="1"/>
  <c r="R15" i="100" s="1"/>
  <c r="R29" i="99"/>
  <c r="F29" i="100" s="1"/>
  <c r="R29" i="100" s="1"/>
  <c r="F29" i="101" s="1"/>
  <c r="R29" i="101" s="1"/>
  <c r="R30" i="99"/>
  <c r="F30" i="100" s="1"/>
  <c r="R30" i="100" s="1"/>
  <c r="F30" i="101" s="1"/>
  <c r="R30" i="101" s="1"/>
  <c r="L11" i="108"/>
  <c r="F12" i="8"/>
  <c r="O12" i="147"/>
  <c r="A22" i="104"/>
  <c r="A23" i="104" s="1"/>
  <c r="A25" i="104" s="1"/>
  <c r="A28" i="104" s="1"/>
  <c r="A22" i="103"/>
  <c r="A23" i="103" s="1"/>
  <c r="A25" i="103" s="1"/>
  <c r="A28" i="103" s="1"/>
  <c r="A22" i="102"/>
  <c r="A23" i="102" s="1"/>
  <c r="A25" i="102" s="1"/>
  <c r="A28" i="102" s="1"/>
  <c r="A22" i="101"/>
  <c r="A23" i="101" s="1"/>
  <c r="A25" i="101" s="1"/>
  <c r="A28" i="101" s="1"/>
  <c r="A22" i="100"/>
  <c r="A23" i="100" s="1"/>
  <c r="A25" i="100" s="1"/>
  <c r="A28" i="100" s="1"/>
  <c r="A22" i="99"/>
  <c r="A23" i="99" s="1"/>
  <c r="A25" i="99" s="1"/>
  <c r="A28" i="99" s="1"/>
  <c r="A29" i="99" s="1"/>
  <c r="A30" i="99" s="1"/>
  <c r="A31" i="99" s="1"/>
  <c r="F56" i="110"/>
  <c r="J56" i="110"/>
  <c r="N56" i="110"/>
  <c r="G56" i="110"/>
  <c r="K56" i="110"/>
  <c r="O56" i="110"/>
  <c r="Q20" i="110"/>
  <c r="F34" i="110"/>
  <c r="G34" i="110"/>
  <c r="O34" i="110"/>
  <c r="F77" i="110"/>
  <c r="L34" i="110"/>
  <c r="M77" i="110"/>
  <c r="F31" i="111"/>
  <c r="J31" i="111"/>
  <c r="G31" i="111"/>
  <c r="H34" i="110"/>
  <c r="P34" i="110"/>
  <c r="E77" i="110"/>
  <c r="I77" i="110"/>
  <c r="M34" i="110"/>
  <c r="Q70" i="110"/>
  <c r="J77" i="110"/>
  <c r="N77" i="110"/>
  <c r="F25" i="99"/>
  <c r="H56" i="110"/>
  <c r="P56" i="110"/>
  <c r="G77" i="110"/>
  <c r="O77" i="110"/>
  <c r="Q49" i="110"/>
  <c r="E56" i="110"/>
  <c r="I56" i="110"/>
  <c r="M56" i="110"/>
  <c r="H77" i="110"/>
  <c r="L77" i="110"/>
  <c r="P77" i="110"/>
  <c r="Q32" i="110"/>
  <c r="L56" i="110"/>
  <c r="K77" i="110"/>
  <c r="E20" i="110"/>
  <c r="E34" i="110" s="1"/>
  <c r="J34" i="110"/>
  <c r="N34" i="110"/>
  <c r="Q54" i="110"/>
  <c r="Q75" i="110"/>
  <c r="E12" i="8"/>
  <c r="E31" i="111"/>
  <c r="I31" i="111"/>
  <c r="J23" i="99"/>
  <c r="J17" i="99"/>
  <c r="X17" i="108"/>
  <c r="X18" i="108" s="1"/>
  <c r="X19" i="108" s="1"/>
  <c r="X20" i="108" s="1"/>
  <c r="X21" i="108" s="1"/>
  <c r="X22" i="108" s="1"/>
  <c r="N14" i="104"/>
  <c r="N16" i="104"/>
  <c r="N13" i="99"/>
  <c r="P13" i="99" s="1"/>
  <c r="K34" i="110"/>
  <c r="Q29" i="111"/>
  <c r="H31" i="111"/>
  <c r="T44" i="108"/>
  <c r="I44" i="108"/>
  <c r="J44" i="108"/>
  <c r="G44" i="108"/>
  <c r="K44" i="108"/>
  <c r="H44" i="108"/>
  <c r="E15" i="92"/>
  <c r="L31" i="101"/>
  <c r="L31" i="99"/>
  <c r="I12" i="92"/>
  <c r="I11" i="92"/>
  <c r="C15" i="92"/>
  <c r="G15" i="92"/>
  <c r="I22" i="92"/>
  <c r="N16" i="101"/>
  <c r="N15" i="101"/>
  <c r="F16" i="100"/>
  <c r="R16" i="100" s="1"/>
  <c r="N16" i="99"/>
  <c r="P16" i="99" s="1"/>
  <c r="L31" i="100"/>
  <c r="L13" i="102"/>
  <c r="F15" i="92"/>
  <c r="L31" i="104"/>
  <c r="K14" i="111"/>
  <c r="K18" i="111" s="1"/>
  <c r="I10" i="92"/>
  <c r="I13" i="92"/>
  <c r="I14" i="92"/>
  <c r="D27" i="92"/>
  <c r="F22" i="100"/>
  <c r="N22" i="99"/>
  <c r="P22" i="99" s="1"/>
  <c r="N22" i="100"/>
  <c r="H27" i="92"/>
  <c r="L17" i="99"/>
  <c r="L17" i="103"/>
  <c r="L75" i="108" s="1"/>
  <c r="N13" i="103"/>
  <c r="N14" i="99"/>
  <c r="P14" i="99" s="1"/>
  <c r="F14" i="100"/>
  <c r="R14" i="100" s="1"/>
  <c r="N15" i="103"/>
  <c r="N16" i="103"/>
  <c r="L13" i="101"/>
  <c r="N15" i="102"/>
  <c r="L13" i="100"/>
  <c r="D15" i="92"/>
  <c r="L13" i="104"/>
  <c r="H15" i="92"/>
  <c r="I29" i="92"/>
  <c r="N16" i="102"/>
  <c r="I24" i="92"/>
  <c r="I25" i="92"/>
  <c r="E27" i="92"/>
  <c r="L31" i="102"/>
  <c r="F27" i="92"/>
  <c r="L31" i="103"/>
  <c r="C27" i="92"/>
  <c r="G27" i="92"/>
  <c r="N22" i="104"/>
  <c r="G11" i="162" l="1"/>
  <c r="H11" i="183"/>
  <c r="L71" i="108"/>
  <c r="L23" i="108"/>
  <c r="M23" i="108" s="1"/>
  <c r="Q77" i="110"/>
  <c r="A29" i="101"/>
  <c r="A30" i="101" s="1"/>
  <c r="A31" i="101" s="1"/>
  <c r="G22" i="162"/>
  <c r="J22" i="162" s="1"/>
  <c r="G20" i="162"/>
  <c r="J20" i="162" s="1"/>
  <c r="G17" i="162"/>
  <c r="G55" i="162"/>
  <c r="G23" i="162"/>
  <c r="J23" i="162" s="1"/>
  <c r="G24" i="162"/>
  <c r="J24" i="162" s="1"/>
  <c r="G25" i="162"/>
  <c r="J25" i="162" s="1"/>
  <c r="G26" i="162"/>
  <c r="J26" i="162" s="1"/>
  <c r="G18" i="162"/>
  <c r="J18" i="162" s="1"/>
  <c r="G28" i="162"/>
  <c r="J28" i="162" s="1"/>
  <c r="G27" i="162"/>
  <c r="J27" i="162" s="1"/>
  <c r="G21" i="162"/>
  <c r="J21" i="162" s="1"/>
  <c r="G19" i="162"/>
  <c r="J19" i="162" s="1"/>
  <c r="P12" i="147"/>
  <c r="J22" i="100"/>
  <c r="R22" i="100"/>
  <c r="F22" i="101" s="1"/>
  <c r="J22" i="101" s="1"/>
  <c r="P22" i="101" s="1"/>
  <c r="P14" i="111"/>
  <c r="P18" i="111" s="1"/>
  <c r="D11" i="132"/>
  <c r="E11" i="132" s="1"/>
  <c r="F11" i="132" s="1"/>
  <c r="G11" i="132" s="1"/>
  <c r="H11" i="132" s="1"/>
  <c r="I11" i="132" s="1"/>
  <c r="J11" i="132" s="1"/>
  <c r="K11" i="132" s="1"/>
  <c r="L11" i="132" s="1"/>
  <c r="M11" i="132" s="1"/>
  <c r="N11" i="132" s="1"/>
  <c r="O11" i="132" s="1"/>
  <c r="P11" i="132" s="1"/>
  <c r="A29" i="104"/>
  <c r="A30" i="104" s="1"/>
  <c r="A31" i="104" s="1"/>
  <c r="A29" i="103"/>
  <c r="A30" i="103" s="1"/>
  <c r="A31" i="103" s="1"/>
  <c r="A29" i="102"/>
  <c r="A30" i="102" s="1"/>
  <c r="A31" i="102" s="1"/>
  <c r="A29" i="100"/>
  <c r="A30" i="100" s="1"/>
  <c r="A31" i="100" s="1"/>
  <c r="F30" i="102"/>
  <c r="R30" i="102" s="1"/>
  <c r="F30" i="103" s="1"/>
  <c r="R30" i="103" s="1"/>
  <c r="F30" i="104" s="1"/>
  <c r="R30" i="104" s="1"/>
  <c r="F30" i="113" s="1"/>
  <c r="R30" i="113" s="1"/>
  <c r="F30" i="116" s="1"/>
  <c r="R30" i="116" s="1"/>
  <c r="F30" i="117" s="1"/>
  <c r="R30" i="117" s="1"/>
  <c r="F30" i="118" s="1"/>
  <c r="R30" i="118" s="1"/>
  <c r="F30" i="119" s="1"/>
  <c r="R30" i="119" s="1"/>
  <c r="F30" i="120" s="1"/>
  <c r="R30" i="120" s="1"/>
  <c r="F30" i="121" s="1"/>
  <c r="R30" i="121" s="1"/>
  <c r="F30" i="122" s="1"/>
  <c r="R30" i="122" s="1"/>
  <c r="F30" i="123" s="1"/>
  <c r="R30" i="123" s="1"/>
  <c r="F30" i="124" s="1"/>
  <c r="R30" i="124" s="1"/>
  <c r="F30" i="125" s="1"/>
  <c r="R30" i="125" s="1"/>
  <c r="F30" i="126" s="1"/>
  <c r="R30" i="126" s="1"/>
  <c r="F30" i="150" s="1"/>
  <c r="R30" i="150" s="1"/>
  <c r="F30" i="151" s="1"/>
  <c r="R30" i="151" s="1"/>
  <c r="F30" i="152" s="1"/>
  <c r="R30" i="152" s="1"/>
  <c r="F30" i="153" s="1"/>
  <c r="R30" i="153" s="1"/>
  <c r="F30" i="154" s="1"/>
  <c r="R30" i="154" s="1"/>
  <c r="F30" i="155" s="1"/>
  <c r="R30" i="155" s="1"/>
  <c r="F30" i="156" s="1"/>
  <c r="R30" i="156" s="1"/>
  <c r="F30" i="157" s="1"/>
  <c r="R30" i="157" s="1"/>
  <c r="F30" i="158" s="1"/>
  <c r="R30" i="158" s="1"/>
  <c r="F30" i="159" s="1"/>
  <c r="R30" i="159" s="1"/>
  <c r="F30" i="160" s="1"/>
  <c r="R30" i="160" s="1"/>
  <c r="F30" i="161" s="1"/>
  <c r="R30" i="161" s="1"/>
  <c r="F37" i="171" s="1"/>
  <c r="R37" i="171" s="1"/>
  <c r="F37" i="172" s="1"/>
  <c r="R37" i="172" s="1"/>
  <c r="F37" i="173" s="1"/>
  <c r="R37" i="173" s="1"/>
  <c r="F37" i="174" s="1"/>
  <c r="R37" i="174" s="1"/>
  <c r="F37" i="175" s="1"/>
  <c r="R37" i="175" s="1"/>
  <c r="F37" i="176" s="1"/>
  <c r="R37" i="176" s="1"/>
  <c r="F37" i="177" s="1"/>
  <c r="R37" i="177" s="1"/>
  <c r="F37" i="178" s="1"/>
  <c r="R37" i="178" s="1"/>
  <c r="F37" i="179" s="1"/>
  <c r="R37" i="179" s="1"/>
  <c r="F37" i="180" s="1"/>
  <c r="R37" i="180" s="1"/>
  <c r="F37" i="181" s="1"/>
  <c r="R37" i="181" s="1"/>
  <c r="F37" i="182" s="1"/>
  <c r="R37" i="182" s="1"/>
  <c r="F37" i="193" s="1"/>
  <c r="R37" i="193" s="1"/>
  <c r="F37" i="194" s="1"/>
  <c r="R37" i="194" s="1"/>
  <c r="F37" i="195" s="1"/>
  <c r="R37" i="195" s="1"/>
  <c r="F37" i="196" s="1"/>
  <c r="R37" i="196" s="1"/>
  <c r="F37" i="197" s="1"/>
  <c r="R37" i="197" s="1"/>
  <c r="F37" i="198" s="1"/>
  <c r="R37" i="198" s="1"/>
  <c r="R37" i="199" s="1"/>
  <c r="F37" i="200" s="1"/>
  <c r="R37" i="200" s="1"/>
  <c r="F37" i="201" s="1"/>
  <c r="R37" i="201" s="1"/>
  <c r="F37" i="202" s="1"/>
  <c r="R37" i="202" s="1"/>
  <c r="F37" i="203" s="1"/>
  <c r="R37" i="203" s="1"/>
  <c r="F37" i="204" s="1"/>
  <c r="R37" i="204" s="1"/>
  <c r="F37" i="221" s="1"/>
  <c r="R37" i="221" s="1"/>
  <c r="F37" i="222" s="1"/>
  <c r="R37" i="222" s="1"/>
  <c r="F37" i="223" s="1"/>
  <c r="R37" i="223" s="1"/>
  <c r="F37" i="224" s="1"/>
  <c r="R37" i="224" s="1"/>
  <c r="F37" i="225" s="1"/>
  <c r="R37" i="225" s="1"/>
  <c r="F37" i="226" s="1"/>
  <c r="R37" i="226" s="1"/>
  <c r="F37" i="227" s="1"/>
  <c r="R37" i="227" s="1"/>
  <c r="F37" i="228" s="1"/>
  <c r="R37" i="228" s="1"/>
  <c r="F37" i="229" s="1"/>
  <c r="R37" i="229" s="1"/>
  <c r="F37" i="230" s="1"/>
  <c r="R37" i="230" s="1"/>
  <c r="F37" i="231" s="1"/>
  <c r="R37" i="231" s="1"/>
  <c r="F37" i="232" s="1"/>
  <c r="R37" i="232" s="1"/>
  <c r="F34" i="249" s="1"/>
  <c r="R34" i="249" s="1"/>
  <c r="F34" i="250" s="1"/>
  <c r="R34" i="250" s="1"/>
  <c r="F34" i="251" s="1"/>
  <c r="R34" i="251" s="1"/>
  <c r="F34" i="252" s="1"/>
  <c r="R34" i="252" s="1"/>
  <c r="F34" i="253" s="1"/>
  <c r="R34" i="253" s="1"/>
  <c r="F34" i="254" s="1"/>
  <c r="R34" i="254" s="1"/>
  <c r="F34" i="255" s="1"/>
  <c r="R34" i="255" s="1"/>
  <c r="F34" i="256" s="1"/>
  <c r="R34" i="256" s="1"/>
  <c r="F34" i="257" s="1"/>
  <c r="R34" i="257" s="1"/>
  <c r="F34" i="258" s="1"/>
  <c r="R34" i="258" s="1"/>
  <c r="F34" i="259" s="1"/>
  <c r="R34" i="259" s="1"/>
  <c r="F34" i="260" s="1"/>
  <c r="R34" i="260" s="1"/>
  <c r="F29" i="102"/>
  <c r="R29" i="102" s="1"/>
  <c r="F29" i="103" s="1"/>
  <c r="R29" i="103" s="1"/>
  <c r="F29" i="104" s="1"/>
  <c r="R29" i="104" s="1"/>
  <c r="F29" i="113" s="1"/>
  <c r="R29" i="113" s="1"/>
  <c r="F29" i="116" s="1"/>
  <c r="R29" i="116" s="1"/>
  <c r="F29" i="117" s="1"/>
  <c r="R29" i="117" s="1"/>
  <c r="F29" i="118" s="1"/>
  <c r="R29" i="118" s="1"/>
  <c r="F29" i="119" s="1"/>
  <c r="R29" i="119" s="1"/>
  <c r="F29" i="120" s="1"/>
  <c r="R29" i="120" s="1"/>
  <c r="F29" i="121" s="1"/>
  <c r="R29" i="121" s="1"/>
  <c r="F29" i="122" s="1"/>
  <c r="R29" i="122" s="1"/>
  <c r="F29" i="123" s="1"/>
  <c r="R29" i="123" s="1"/>
  <c r="F29" i="124" s="1"/>
  <c r="R29" i="124" s="1"/>
  <c r="F29" i="125" s="1"/>
  <c r="R29" i="125" s="1"/>
  <c r="L59" i="108"/>
  <c r="G11" i="130"/>
  <c r="J14" i="100"/>
  <c r="F14" i="101"/>
  <c r="L27" i="108"/>
  <c r="M27" i="108" s="1"/>
  <c r="N23" i="108"/>
  <c r="N71" i="108" s="1"/>
  <c r="N25" i="108"/>
  <c r="N73" i="108" s="1"/>
  <c r="Q11" i="111"/>
  <c r="Q14" i="111" s="1"/>
  <c r="Q18" i="111" s="1"/>
  <c r="L14" i="111"/>
  <c r="L18" i="111" s="1"/>
  <c r="Q34" i="110"/>
  <c r="Q56" i="110"/>
  <c r="O14" i="111"/>
  <c r="O18" i="111" s="1"/>
  <c r="N14" i="111"/>
  <c r="N18" i="111" s="1"/>
  <c r="M14" i="111"/>
  <c r="M18" i="111" s="1"/>
  <c r="J25" i="99"/>
  <c r="I15" i="92"/>
  <c r="N27" i="108"/>
  <c r="N75" i="108" s="1"/>
  <c r="N26" i="108"/>
  <c r="N74" i="108" s="1"/>
  <c r="I27" i="92"/>
  <c r="N13" i="104"/>
  <c r="L17" i="104"/>
  <c r="L76" i="108" s="1"/>
  <c r="N17" i="103"/>
  <c r="M71" i="108"/>
  <c r="L17" i="102"/>
  <c r="N13" i="102"/>
  <c r="N17" i="102" s="1"/>
  <c r="J16" i="100"/>
  <c r="P16" i="100" s="1"/>
  <c r="F16" i="101"/>
  <c r="N28" i="108"/>
  <c r="N76" i="108" s="1"/>
  <c r="P22" i="100"/>
  <c r="N17" i="99"/>
  <c r="F13" i="100"/>
  <c r="R13" i="100" s="1"/>
  <c r="R17" i="100" s="1"/>
  <c r="R17" i="99"/>
  <c r="L17" i="100"/>
  <c r="L17" i="101"/>
  <c r="N13" i="101"/>
  <c r="N17" i="101" s="1"/>
  <c r="F28" i="100"/>
  <c r="R28" i="100" s="1"/>
  <c r="R31" i="100" s="1"/>
  <c r="R31" i="99"/>
  <c r="K12" i="91" s="1"/>
  <c r="M75" i="108"/>
  <c r="J15" i="100"/>
  <c r="P15" i="100" s="1"/>
  <c r="F15" i="101"/>
  <c r="N24" i="108"/>
  <c r="N72" i="108" s="1"/>
  <c r="P17" i="99"/>
  <c r="O23" i="108" s="1"/>
  <c r="H21" i="233" l="1"/>
  <c r="N21" i="233" s="1"/>
  <c r="H27" i="233"/>
  <c r="N27" i="233" s="1"/>
  <c r="H24" i="233"/>
  <c r="N24" i="233" s="1"/>
  <c r="H19" i="233"/>
  <c r="N19" i="233" s="1"/>
  <c r="H25" i="233"/>
  <c r="N25" i="233" s="1"/>
  <c r="H22" i="233"/>
  <c r="N22" i="233" s="1"/>
  <c r="H57" i="233"/>
  <c r="H23" i="233"/>
  <c r="N23" i="233" s="1"/>
  <c r="H17" i="233"/>
  <c r="H18" i="233"/>
  <c r="N18" i="233" s="1"/>
  <c r="H26" i="233"/>
  <c r="N26" i="233" s="1"/>
  <c r="H11" i="205"/>
  <c r="H21" i="205" s="1"/>
  <c r="H17" i="183"/>
  <c r="H20" i="183"/>
  <c r="L20" i="183" s="1"/>
  <c r="H27" i="183"/>
  <c r="L27" i="183" s="1"/>
  <c r="H19" i="183"/>
  <c r="L19" i="183" s="1"/>
  <c r="H23" i="183"/>
  <c r="L23" i="183" s="1"/>
  <c r="H24" i="183"/>
  <c r="L24" i="183" s="1"/>
  <c r="H22" i="183"/>
  <c r="L22" i="183" s="1"/>
  <c r="H55" i="183"/>
  <c r="H25" i="183"/>
  <c r="L25" i="183" s="1"/>
  <c r="H28" i="183"/>
  <c r="L28" i="183" s="1"/>
  <c r="H26" i="183"/>
  <c r="L26" i="183" s="1"/>
  <c r="H21" i="183"/>
  <c r="L21" i="183" s="1"/>
  <c r="H18" i="183"/>
  <c r="L18" i="183" s="1"/>
  <c r="D11" i="147"/>
  <c r="D14" i="147" s="1"/>
  <c r="D18" i="147" s="1"/>
  <c r="F50" i="165"/>
  <c r="L74" i="108"/>
  <c r="M74" i="108" s="1"/>
  <c r="L26" i="108"/>
  <c r="M26" i="108" s="1"/>
  <c r="P14" i="100"/>
  <c r="G66" i="162"/>
  <c r="J66" i="162" s="1"/>
  <c r="G72" i="162"/>
  <c r="J72" i="162" s="1"/>
  <c r="G67" i="162"/>
  <c r="J67" i="162" s="1"/>
  <c r="G61" i="162"/>
  <c r="G62" i="162"/>
  <c r="J62" i="162" s="1"/>
  <c r="G68" i="162"/>
  <c r="J68" i="162" s="1"/>
  <c r="G63" i="162"/>
  <c r="J63" i="162" s="1"/>
  <c r="G70" i="162"/>
  <c r="J70" i="162" s="1"/>
  <c r="G65" i="162"/>
  <c r="J65" i="162" s="1"/>
  <c r="G64" i="162"/>
  <c r="J64" i="162" s="1"/>
  <c r="G71" i="162"/>
  <c r="J71" i="162" s="1"/>
  <c r="G69" i="162"/>
  <c r="J69" i="162" s="1"/>
  <c r="G44" i="162"/>
  <c r="J17" i="162"/>
  <c r="J44" i="162" s="1"/>
  <c r="L73" i="108"/>
  <c r="M73" i="108" s="1"/>
  <c r="L25" i="108"/>
  <c r="M25" i="108" s="1"/>
  <c r="L72" i="108"/>
  <c r="M72" i="108" s="1"/>
  <c r="L24" i="108"/>
  <c r="M24" i="108" s="1"/>
  <c r="G19" i="130"/>
  <c r="G23" i="130"/>
  <c r="G27" i="130"/>
  <c r="G21" i="130"/>
  <c r="G25" i="130"/>
  <c r="G22" i="130"/>
  <c r="G26" i="130"/>
  <c r="G20" i="130"/>
  <c r="G24" i="130"/>
  <c r="G28" i="130"/>
  <c r="I28" i="130" s="1"/>
  <c r="G17" i="130"/>
  <c r="I17" i="130" s="1"/>
  <c r="G18" i="130"/>
  <c r="M20" i="147"/>
  <c r="I20" i="147"/>
  <c r="L20" i="146"/>
  <c r="P20" i="146"/>
  <c r="L20" i="147"/>
  <c r="I20" i="146"/>
  <c r="K20" i="147"/>
  <c r="J20" i="146"/>
  <c r="N20" i="147"/>
  <c r="J20" i="147"/>
  <c r="K20" i="146"/>
  <c r="O20" i="146"/>
  <c r="P20" i="147"/>
  <c r="M20" i="146"/>
  <c r="O20" i="147"/>
  <c r="N20" i="146"/>
  <c r="Q12" i="147"/>
  <c r="D14" i="132"/>
  <c r="D18" i="132" s="1"/>
  <c r="D22" i="132" s="1"/>
  <c r="D31" i="132" s="1"/>
  <c r="O71" i="108"/>
  <c r="P71" i="108" s="1"/>
  <c r="Q71" i="108" s="1"/>
  <c r="R23" i="108" s="1"/>
  <c r="S23" i="108" s="1"/>
  <c r="K13" i="91"/>
  <c r="J14" i="101"/>
  <c r="P14" i="101" s="1"/>
  <c r="R14" i="101"/>
  <c r="F14" i="102" s="1"/>
  <c r="G54" i="130"/>
  <c r="N17" i="104"/>
  <c r="Q12" i="132"/>
  <c r="L28" i="108"/>
  <c r="M28" i="108" s="1"/>
  <c r="F29" i="126"/>
  <c r="R29" i="126" s="1"/>
  <c r="F29" i="150" s="1"/>
  <c r="R29" i="150" s="1"/>
  <c r="F29" i="151" s="1"/>
  <c r="R29" i="151" s="1"/>
  <c r="F29" i="152" s="1"/>
  <c r="R29" i="152" s="1"/>
  <c r="F29" i="153" s="1"/>
  <c r="R29" i="153" s="1"/>
  <c r="F29" i="154" s="1"/>
  <c r="R29" i="154" s="1"/>
  <c r="F29" i="155" s="1"/>
  <c r="R29" i="155" s="1"/>
  <c r="F29" i="156" s="1"/>
  <c r="R29" i="156" s="1"/>
  <c r="F29" i="157" s="1"/>
  <c r="R29" i="157" s="1"/>
  <c r="F29" i="158" s="1"/>
  <c r="R29" i="158" s="1"/>
  <c r="F29" i="159" s="1"/>
  <c r="R29" i="159" s="1"/>
  <c r="F29" i="160" s="1"/>
  <c r="R29" i="160" s="1"/>
  <c r="F29" i="161" s="1"/>
  <c r="R29" i="161" s="1"/>
  <c r="F36" i="171" s="1"/>
  <c r="J87" i="130"/>
  <c r="J44" i="130"/>
  <c r="P22" i="111"/>
  <c r="P31" i="111" s="1"/>
  <c r="N44" i="108"/>
  <c r="N92" i="108"/>
  <c r="R22" i="101"/>
  <c r="J15" i="101"/>
  <c r="P15" i="101" s="1"/>
  <c r="R15" i="101"/>
  <c r="F15" i="102" s="1"/>
  <c r="F31" i="100"/>
  <c r="J16" i="101"/>
  <c r="P16" i="101" s="1"/>
  <c r="R16" i="101"/>
  <c r="F16" i="102" s="1"/>
  <c r="F13" i="101"/>
  <c r="F17" i="100"/>
  <c r="J13" i="100"/>
  <c r="M76" i="108"/>
  <c r="M30" i="205" l="1"/>
  <c r="M31" i="205"/>
  <c r="M32" i="205"/>
  <c r="H23" i="205"/>
  <c r="M23" i="205" s="1"/>
  <c r="H26" i="205"/>
  <c r="M26" i="205" s="1"/>
  <c r="H20" i="233"/>
  <c r="N20" i="233" s="1"/>
  <c r="H28" i="233"/>
  <c r="N28" i="233" s="1"/>
  <c r="H25" i="205"/>
  <c r="M25" i="205" s="1"/>
  <c r="H24" i="205"/>
  <c r="M24" i="205" s="1"/>
  <c r="M33" i="205"/>
  <c r="N17" i="233"/>
  <c r="H64" i="233"/>
  <c r="N64" i="233" s="1"/>
  <c r="H70" i="233"/>
  <c r="N70" i="233" s="1"/>
  <c r="H63" i="233"/>
  <c r="H65" i="233"/>
  <c r="N65" i="233" s="1"/>
  <c r="H71" i="233"/>
  <c r="N71" i="233" s="1"/>
  <c r="H73" i="233"/>
  <c r="N73" i="233" s="1"/>
  <c r="H74" i="233"/>
  <c r="N74" i="233" s="1"/>
  <c r="H66" i="233"/>
  <c r="N66" i="233" s="1"/>
  <c r="H72" i="233"/>
  <c r="N72" i="233" s="1"/>
  <c r="H68" i="233"/>
  <c r="N68" i="233" s="1"/>
  <c r="H67" i="233"/>
  <c r="N67" i="233" s="1"/>
  <c r="H69" i="233"/>
  <c r="N69" i="233" s="1"/>
  <c r="M29" i="205"/>
  <c r="C11" i="149"/>
  <c r="O11" i="149" s="1"/>
  <c r="O15" i="149" s="1"/>
  <c r="H61" i="205"/>
  <c r="M79" i="205" s="1"/>
  <c r="H22" i="205"/>
  <c r="M22" i="205" s="1"/>
  <c r="M28" i="205"/>
  <c r="M21" i="205"/>
  <c r="H72" i="183"/>
  <c r="L72" i="183" s="1"/>
  <c r="H71" i="183"/>
  <c r="L71" i="183" s="1"/>
  <c r="H69" i="183"/>
  <c r="L69" i="183" s="1"/>
  <c r="H62" i="183"/>
  <c r="L62" i="183" s="1"/>
  <c r="H63" i="183"/>
  <c r="L63" i="183" s="1"/>
  <c r="H65" i="183"/>
  <c r="L65" i="183" s="1"/>
  <c r="H67" i="183"/>
  <c r="L67" i="183" s="1"/>
  <c r="H61" i="183"/>
  <c r="H66" i="183"/>
  <c r="L66" i="183" s="1"/>
  <c r="H64" i="183"/>
  <c r="L64" i="183" s="1"/>
  <c r="H70" i="183"/>
  <c r="L70" i="183" s="1"/>
  <c r="H68" i="183"/>
  <c r="L68" i="183" s="1"/>
  <c r="E11" i="147"/>
  <c r="F11" i="147" s="1"/>
  <c r="Q20" i="146"/>
  <c r="Q20" i="147"/>
  <c r="L17" i="183"/>
  <c r="L44" i="183" s="1"/>
  <c r="H44" i="183"/>
  <c r="R36" i="171"/>
  <c r="G61" i="130"/>
  <c r="I61" i="130" s="1"/>
  <c r="G62" i="130"/>
  <c r="I62" i="130" s="1"/>
  <c r="G68" i="130"/>
  <c r="I68" i="130" s="1"/>
  <c r="G63" i="130"/>
  <c r="I63" i="130" s="1"/>
  <c r="G69" i="130"/>
  <c r="I69" i="130" s="1"/>
  <c r="G65" i="130"/>
  <c r="I65" i="130" s="1"/>
  <c r="G64" i="130"/>
  <c r="I64" i="130" s="1"/>
  <c r="G70" i="130"/>
  <c r="I70" i="130" s="1"/>
  <c r="G71" i="130"/>
  <c r="I71" i="130" s="1"/>
  <c r="G66" i="130"/>
  <c r="I66" i="130" s="1"/>
  <c r="G60" i="130"/>
  <c r="I60" i="130" s="1"/>
  <c r="G67" i="130"/>
  <c r="I67" i="130" s="1"/>
  <c r="N17" i="100"/>
  <c r="G88" i="162"/>
  <c r="J61" i="162"/>
  <c r="J88" i="162" s="1"/>
  <c r="D22" i="147"/>
  <c r="D31" i="147" s="1"/>
  <c r="I23" i="130"/>
  <c r="I24" i="130"/>
  <c r="P23" i="108"/>
  <c r="Q23" i="108" s="1"/>
  <c r="U23" i="108" s="1"/>
  <c r="K16" i="91" s="1"/>
  <c r="F22" i="102"/>
  <c r="J22" i="102" s="1"/>
  <c r="P22" i="102" s="1"/>
  <c r="I25" i="130"/>
  <c r="I27" i="130"/>
  <c r="I18" i="130"/>
  <c r="I20" i="130"/>
  <c r="I22" i="130"/>
  <c r="J14" i="102"/>
  <c r="P14" i="102" s="1"/>
  <c r="R14" i="102"/>
  <c r="F14" i="103" s="1"/>
  <c r="I19" i="130"/>
  <c r="I21" i="130"/>
  <c r="G44" i="130"/>
  <c r="I26" i="130"/>
  <c r="N22" i="111"/>
  <c r="N31" i="111" s="1"/>
  <c r="Q22" i="111"/>
  <c r="Q31" i="111" s="1"/>
  <c r="M22" i="111"/>
  <c r="M31" i="111" s="1"/>
  <c r="L22" i="111"/>
  <c r="L31" i="111" s="1"/>
  <c r="O22" i="111"/>
  <c r="O31" i="111" s="1"/>
  <c r="K22" i="111"/>
  <c r="K31" i="111" s="1"/>
  <c r="L44" i="108"/>
  <c r="L92" i="108"/>
  <c r="J13" i="101"/>
  <c r="F17" i="101"/>
  <c r="R13" i="101"/>
  <c r="F13" i="102" s="1"/>
  <c r="F17" i="102" s="1"/>
  <c r="J16" i="102"/>
  <c r="P16" i="102" s="1"/>
  <c r="R16" i="102"/>
  <c r="F16" i="103" s="1"/>
  <c r="J17" i="100"/>
  <c r="F28" i="101"/>
  <c r="L12" i="91"/>
  <c r="J15" i="102"/>
  <c r="P15" i="102" s="1"/>
  <c r="R15" i="102"/>
  <c r="F15" i="103" s="1"/>
  <c r="M44" i="108"/>
  <c r="M92" i="108"/>
  <c r="H27" i="205" l="1"/>
  <c r="M27" i="205" s="1"/>
  <c r="C15" i="149"/>
  <c r="N44" i="233"/>
  <c r="H44" i="233"/>
  <c r="H73" i="205"/>
  <c r="M73" i="205" s="1"/>
  <c r="M82" i="205"/>
  <c r="M80" i="205"/>
  <c r="H72" i="205"/>
  <c r="M72" i="205" s="1"/>
  <c r="H90" i="233"/>
  <c r="N63" i="233"/>
  <c r="N90" i="233" s="1"/>
  <c r="M83" i="205"/>
  <c r="H74" i="205"/>
  <c r="M74" i="205" s="1"/>
  <c r="H76" i="205"/>
  <c r="M76" i="205" s="1"/>
  <c r="M78" i="205"/>
  <c r="H75" i="205"/>
  <c r="M75" i="205" s="1"/>
  <c r="H71" i="205"/>
  <c r="M71" i="205" s="1"/>
  <c r="M81" i="205"/>
  <c r="M49" i="205"/>
  <c r="H88" i="183"/>
  <c r="L61" i="183"/>
  <c r="L88" i="183" s="1"/>
  <c r="E14" i="147"/>
  <c r="E18" i="147" s="1"/>
  <c r="F36" i="172"/>
  <c r="P13" i="100"/>
  <c r="P17" i="100" s="1"/>
  <c r="O24" i="108" s="1"/>
  <c r="O72" i="108" s="1"/>
  <c r="P72" i="108" s="1"/>
  <c r="Q72" i="108" s="1"/>
  <c r="R24" i="108" s="1"/>
  <c r="S24" i="108" s="1"/>
  <c r="G11" i="147"/>
  <c r="F14" i="147"/>
  <c r="F18" i="147" s="1"/>
  <c r="F22" i="147" s="1"/>
  <c r="F31" i="147" s="1"/>
  <c r="R22" i="102"/>
  <c r="F22" i="103" s="1"/>
  <c r="J22" i="103" s="1"/>
  <c r="I87" i="130"/>
  <c r="J14" i="103"/>
  <c r="P14" i="103" s="1"/>
  <c r="R14" i="103"/>
  <c r="F14" i="104" s="1"/>
  <c r="G87" i="130"/>
  <c r="I44" i="130"/>
  <c r="J15" i="103"/>
  <c r="P15" i="103" s="1"/>
  <c r="R15" i="103"/>
  <c r="F15" i="104" s="1"/>
  <c r="F31" i="101"/>
  <c r="R28" i="101"/>
  <c r="F28" i="102" s="1"/>
  <c r="F31" i="102" s="1"/>
  <c r="J16" i="103"/>
  <c r="P16" i="103" s="1"/>
  <c r="R16" i="103"/>
  <c r="F16" i="104" s="1"/>
  <c r="J17" i="101"/>
  <c r="P13" i="101"/>
  <c r="P17" i="101" s="1"/>
  <c r="O25" i="108" s="1"/>
  <c r="V23" i="108"/>
  <c r="X23" i="108" s="1"/>
  <c r="R17" i="101"/>
  <c r="H49" i="205" l="1"/>
  <c r="L13" i="91"/>
  <c r="M13" i="91" s="1"/>
  <c r="H99" i="205"/>
  <c r="M99" i="205"/>
  <c r="E22" i="147"/>
  <c r="E31" i="147" s="1"/>
  <c r="R36" i="172"/>
  <c r="H11" i="147"/>
  <c r="G14" i="147"/>
  <c r="G18" i="147" s="1"/>
  <c r="G22" i="147" s="1"/>
  <c r="G31" i="147" s="1"/>
  <c r="P24" i="108"/>
  <c r="Q24" i="108" s="1"/>
  <c r="U24" i="108" s="1"/>
  <c r="O73" i="108"/>
  <c r="P73" i="108" s="1"/>
  <c r="Q73" i="108" s="1"/>
  <c r="R25" i="108" s="1"/>
  <c r="S25" i="108" s="1"/>
  <c r="E14" i="132"/>
  <c r="E18" i="132" s="1"/>
  <c r="E22" i="132" s="1"/>
  <c r="E31" i="132" s="1"/>
  <c r="R31" i="101"/>
  <c r="M12" i="91" s="1"/>
  <c r="J13" i="102"/>
  <c r="R13" i="102"/>
  <c r="J15" i="104"/>
  <c r="P15" i="104" s="1"/>
  <c r="R15" i="104"/>
  <c r="F15" i="113" s="1"/>
  <c r="J14" i="104"/>
  <c r="P14" i="104" s="1"/>
  <c r="R14" i="104"/>
  <c r="F14" i="113" s="1"/>
  <c r="J16" i="104"/>
  <c r="P16" i="104" s="1"/>
  <c r="R16" i="104"/>
  <c r="F16" i="113" s="1"/>
  <c r="V24" i="108" l="1"/>
  <c r="X24" i="108" s="1"/>
  <c r="L16" i="91"/>
  <c r="F36" i="173"/>
  <c r="I11" i="147"/>
  <c r="H14" i="147"/>
  <c r="H18" i="147" s="1"/>
  <c r="H22" i="147" s="1"/>
  <c r="H31" i="147" s="1"/>
  <c r="P25" i="108"/>
  <c r="Q25" i="108" s="1"/>
  <c r="U25" i="108" s="1"/>
  <c r="R14" i="113"/>
  <c r="F14" i="116" s="1"/>
  <c r="J14" i="113"/>
  <c r="P14" i="113" s="1"/>
  <c r="R16" i="113"/>
  <c r="F16" i="116" s="1"/>
  <c r="J16" i="113"/>
  <c r="P16" i="113" s="1"/>
  <c r="R15" i="113"/>
  <c r="F15" i="116" s="1"/>
  <c r="J15" i="113"/>
  <c r="P15" i="113" s="1"/>
  <c r="P13" i="102"/>
  <c r="P17" i="102" s="1"/>
  <c r="O26" i="108" s="1"/>
  <c r="J17" i="102"/>
  <c r="F13" i="103"/>
  <c r="R17" i="102"/>
  <c r="R28" i="102"/>
  <c r="V25" i="108" l="1"/>
  <c r="X25" i="108" s="1"/>
  <c r="M16" i="91"/>
  <c r="R36" i="173"/>
  <c r="J11" i="147"/>
  <c r="I14" i="147"/>
  <c r="I18" i="147" s="1"/>
  <c r="I22" i="147" s="1"/>
  <c r="I31" i="147" s="1"/>
  <c r="N13" i="91"/>
  <c r="O74" i="108"/>
  <c r="P74" i="108" s="1"/>
  <c r="Q74" i="108" s="1"/>
  <c r="R26" i="108" s="1"/>
  <c r="S26" i="108" s="1"/>
  <c r="F14" i="132"/>
  <c r="F18" i="132" s="1"/>
  <c r="F22" i="132" s="1"/>
  <c r="F31" i="132" s="1"/>
  <c r="R15" i="116"/>
  <c r="F15" i="117" s="1"/>
  <c r="J15" i="116"/>
  <c r="P15" i="116" s="1"/>
  <c r="R16" i="116"/>
  <c r="F16" i="117" s="1"/>
  <c r="J16" i="116"/>
  <c r="P16" i="116" s="1"/>
  <c r="J14" i="116"/>
  <c r="P14" i="116" s="1"/>
  <c r="R14" i="116"/>
  <c r="F14" i="117" s="1"/>
  <c r="J13" i="103"/>
  <c r="F17" i="103"/>
  <c r="R13" i="103"/>
  <c r="R31" i="102"/>
  <c r="N12" i="91" s="1"/>
  <c r="F28" i="103"/>
  <c r="F36" i="174" l="1"/>
  <c r="K11" i="147"/>
  <c r="J14" i="147"/>
  <c r="J18" i="147" s="1"/>
  <c r="J22" i="147" s="1"/>
  <c r="J31" i="147" s="1"/>
  <c r="P26" i="108"/>
  <c r="Q26" i="108" s="1"/>
  <c r="U26" i="108" s="1"/>
  <c r="R14" i="117"/>
  <c r="F14" i="118" s="1"/>
  <c r="J14" i="117"/>
  <c r="P14" i="117" s="1"/>
  <c r="R16" i="117"/>
  <c r="F16" i="118" s="1"/>
  <c r="J16" i="117"/>
  <c r="P16" i="117" s="1"/>
  <c r="J15" i="117"/>
  <c r="P15" i="117" s="1"/>
  <c r="R15" i="117"/>
  <c r="F15" i="118" s="1"/>
  <c r="P13" i="103"/>
  <c r="P17" i="103" s="1"/>
  <c r="O27" i="108" s="1"/>
  <c r="J17" i="103"/>
  <c r="F31" i="103"/>
  <c r="R28" i="103"/>
  <c r="F13" i="104"/>
  <c r="R17" i="103"/>
  <c r="V26" i="108" l="1"/>
  <c r="X26" i="108" s="1"/>
  <c r="N16" i="91"/>
  <c r="R36" i="174"/>
  <c r="L11" i="147"/>
  <c r="K14" i="147"/>
  <c r="K18" i="147" s="1"/>
  <c r="K22" i="147" s="1"/>
  <c r="K31" i="147" s="1"/>
  <c r="O13" i="91"/>
  <c r="O75" i="108"/>
  <c r="P75" i="108" s="1"/>
  <c r="Q75" i="108" s="1"/>
  <c r="R27" i="108" s="1"/>
  <c r="S27" i="108" s="1"/>
  <c r="G14" i="132"/>
  <c r="G18" i="132" s="1"/>
  <c r="G22" i="132" s="1"/>
  <c r="G31" i="132" s="1"/>
  <c r="R16" i="118"/>
  <c r="F16" i="119" s="1"/>
  <c r="J16" i="118"/>
  <c r="P16" i="118" s="1"/>
  <c r="R15" i="118"/>
  <c r="F15" i="119" s="1"/>
  <c r="J15" i="118"/>
  <c r="P15" i="118" s="1"/>
  <c r="R14" i="118"/>
  <c r="F14" i="119" s="1"/>
  <c r="J14" i="118"/>
  <c r="P14" i="118" s="1"/>
  <c r="F17" i="104"/>
  <c r="J13" i="104"/>
  <c r="R13" i="104"/>
  <c r="R31" i="103"/>
  <c r="O12" i="91" s="1"/>
  <c r="F28" i="104"/>
  <c r="F36" i="175" l="1"/>
  <c r="M11" i="147"/>
  <c r="L14" i="147"/>
  <c r="L18" i="147" s="1"/>
  <c r="L22" i="147" s="1"/>
  <c r="L31" i="147" s="1"/>
  <c r="P27" i="108"/>
  <c r="Q27" i="108" s="1"/>
  <c r="U27" i="108" s="1"/>
  <c r="R14" i="119"/>
  <c r="F14" i="120" s="1"/>
  <c r="J14" i="119"/>
  <c r="P14" i="119" s="1"/>
  <c r="J15" i="119"/>
  <c r="P15" i="119" s="1"/>
  <c r="R15" i="119"/>
  <c r="F15" i="120" s="1"/>
  <c r="R17" i="104"/>
  <c r="F13" i="113"/>
  <c r="R16" i="119"/>
  <c r="F16" i="120" s="1"/>
  <c r="J16" i="119"/>
  <c r="P16" i="119" s="1"/>
  <c r="F31" i="104"/>
  <c r="R28" i="104"/>
  <c r="J17" i="104"/>
  <c r="P13" i="104"/>
  <c r="P17" i="104" s="1"/>
  <c r="O28" i="108" s="1"/>
  <c r="V27" i="108" l="1"/>
  <c r="X27" i="108" s="1"/>
  <c r="O16" i="91"/>
  <c r="R36" i="175"/>
  <c r="N11" i="147"/>
  <c r="M14" i="147"/>
  <c r="M18" i="147" s="1"/>
  <c r="M22" i="147" s="1"/>
  <c r="M31" i="147" s="1"/>
  <c r="O76" i="108"/>
  <c r="P76" i="108" s="1"/>
  <c r="Q76" i="108" s="1"/>
  <c r="R28" i="108" s="1"/>
  <c r="S28" i="108" s="1"/>
  <c r="P13" i="91"/>
  <c r="H14" i="132"/>
  <c r="H18" i="132" s="1"/>
  <c r="H22" i="132" s="1"/>
  <c r="H31" i="132" s="1"/>
  <c r="R16" i="120"/>
  <c r="F16" i="121" s="1"/>
  <c r="J16" i="120"/>
  <c r="P16" i="120" s="1"/>
  <c r="J14" i="120"/>
  <c r="P14" i="120" s="1"/>
  <c r="R14" i="120"/>
  <c r="F14" i="121" s="1"/>
  <c r="F17" i="113"/>
  <c r="R13" i="113"/>
  <c r="J13" i="113"/>
  <c r="P13" i="113" s="1"/>
  <c r="R15" i="120"/>
  <c r="F15" i="121" s="1"/>
  <c r="J15" i="120"/>
  <c r="P15" i="120" s="1"/>
  <c r="R31" i="104"/>
  <c r="P12" i="91" s="1"/>
  <c r="F28" i="113"/>
  <c r="F36" i="176" l="1"/>
  <c r="O11" i="147"/>
  <c r="N14" i="147"/>
  <c r="N18" i="147" s="1"/>
  <c r="N22" i="147" s="1"/>
  <c r="N31" i="147" s="1"/>
  <c r="P28" i="108"/>
  <c r="Q28" i="108" s="1"/>
  <c r="U28" i="108" s="1"/>
  <c r="R16" i="121"/>
  <c r="F16" i="122" s="1"/>
  <c r="J16" i="121"/>
  <c r="P16" i="121" s="1"/>
  <c r="R15" i="121"/>
  <c r="F15" i="122" s="1"/>
  <c r="J15" i="121"/>
  <c r="P15" i="121" s="1"/>
  <c r="R14" i="121"/>
  <c r="F14" i="122" s="1"/>
  <c r="J14" i="121"/>
  <c r="P14" i="121" s="1"/>
  <c r="Q13" i="91"/>
  <c r="D13" i="131"/>
  <c r="J17" i="113"/>
  <c r="F13" i="116"/>
  <c r="R17" i="113"/>
  <c r="Q12" i="91"/>
  <c r="D12" i="131"/>
  <c r="F31" i="113"/>
  <c r="R28" i="113"/>
  <c r="E12" i="131" s="1"/>
  <c r="Q16" i="130" l="1"/>
  <c r="T16" i="130" s="1"/>
  <c r="P16" i="91"/>
  <c r="Q16" i="91" s="1"/>
  <c r="R36" i="176"/>
  <c r="P11" i="147"/>
  <c r="D11" i="168" s="1"/>
  <c r="E11" i="168" s="1"/>
  <c r="F11" i="168" s="1"/>
  <c r="G11" i="168" s="1"/>
  <c r="H11" i="168" s="1"/>
  <c r="I11" i="168" s="1"/>
  <c r="J11" i="168" s="1"/>
  <c r="K11" i="168" s="1"/>
  <c r="L11" i="168" s="1"/>
  <c r="M11" i="168" s="1"/>
  <c r="O14" i="147"/>
  <c r="O18" i="147" s="1"/>
  <c r="O22" i="147" s="1"/>
  <c r="O31" i="147" s="1"/>
  <c r="I14" i="132"/>
  <c r="I18" i="132" s="1"/>
  <c r="I22" i="132" s="1"/>
  <c r="I31" i="132" s="1"/>
  <c r="P17" i="113"/>
  <c r="K60" i="130" s="1"/>
  <c r="L60" i="130" s="1"/>
  <c r="E13" i="131"/>
  <c r="R13" i="116"/>
  <c r="J13" i="116"/>
  <c r="F17" i="116"/>
  <c r="J14" i="122"/>
  <c r="P14" i="122" s="1"/>
  <c r="R14" i="122"/>
  <c r="F14" i="123" s="1"/>
  <c r="R16" i="122"/>
  <c r="F16" i="123" s="1"/>
  <c r="J16" i="122"/>
  <c r="P16" i="122" s="1"/>
  <c r="R15" i="122"/>
  <c r="F15" i="123" s="1"/>
  <c r="J15" i="122"/>
  <c r="P15" i="122" s="1"/>
  <c r="R31" i="113"/>
  <c r="F28" i="116"/>
  <c r="V28" i="108"/>
  <c r="X28" i="108" s="1"/>
  <c r="U44" i="108"/>
  <c r="O44" i="108"/>
  <c r="O92" i="108"/>
  <c r="D16" i="131" l="1"/>
  <c r="N11" i="168"/>
  <c r="O11" i="168" s="1"/>
  <c r="P11" i="168" s="1"/>
  <c r="D14" i="168"/>
  <c r="D18" i="168" s="1"/>
  <c r="D22" i="168" s="1"/>
  <c r="D31" i="168" s="1"/>
  <c r="F36" i="177"/>
  <c r="P14" i="147"/>
  <c r="P18" i="147" s="1"/>
  <c r="P22" i="147" s="1"/>
  <c r="P31" i="147" s="1"/>
  <c r="Q11" i="147"/>
  <c r="Q14" i="147" s="1"/>
  <c r="Q18" i="147" s="1"/>
  <c r="K17" i="130"/>
  <c r="L17" i="130" s="1"/>
  <c r="M17" i="130" s="1"/>
  <c r="M60" i="130"/>
  <c r="R15" i="123"/>
  <c r="F15" i="124" s="1"/>
  <c r="J15" i="123"/>
  <c r="P15" i="123" s="1"/>
  <c r="R16" i="123"/>
  <c r="F16" i="124" s="1"/>
  <c r="J16" i="123"/>
  <c r="P16" i="123" s="1"/>
  <c r="J14" i="123"/>
  <c r="P14" i="123" s="1"/>
  <c r="R14" i="123"/>
  <c r="F14" i="124" s="1"/>
  <c r="J17" i="116"/>
  <c r="P13" i="116"/>
  <c r="F13" i="117"/>
  <c r="R17" i="116"/>
  <c r="R28" i="116"/>
  <c r="F12" i="131" s="1"/>
  <c r="F31" i="116"/>
  <c r="P92" i="108"/>
  <c r="Q44" i="108"/>
  <c r="P44" i="108"/>
  <c r="M11" i="191" l="1"/>
  <c r="N11" i="191" s="1"/>
  <c r="L14" i="191"/>
  <c r="L18" i="191" s="1"/>
  <c r="Q22" i="147"/>
  <c r="Q31" i="147" s="1"/>
  <c r="E14" i="168"/>
  <c r="E18" i="168" s="1"/>
  <c r="E22" i="168" s="1"/>
  <c r="E31" i="168" s="1"/>
  <c r="R36" i="177"/>
  <c r="J14" i="132"/>
  <c r="J18" i="132" s="1"/>
  <c r="J22" i="132" s="1"/>
  <c r="J31" i="132" s="1"/>
  <c r="P17" i="116"/>
  <c r="K61" i="130" s="1"/>
  <c r="L61" i="130" s="1"/>
  <c r="F13" i="131"/>
  <c r="J15" i="124"/>
  <c r="P15" i="124" s="1"/>
  <c r="R15" i="124"/>
  <c r="F15" i="125" s="1"/>
  <c r="R16" i="124"/>
  <c r="F16" i="125" s="1"/>
  <c r="J16" i="124"/>
  <c r="P16" i="124" s="1"/>
  <c r="R14" i="124"/>
  <c r="F14" i="125" s="1"/>
  <c r="J14" i="124"/>
  <c r="P14" i="124" s="1"/>
  <c r="J13" i="117"/>
  <c r="R13" i="117"/>
  <c r="F17" i="117"/>
  <c r="F28" i="117"/>
  <c r="R31" i="116"/>
  <c r="Q92" i="108"/>
  <c r="T19" i="194" l="1"/>
  <c r="T20" i="194" s="1"/>
  <c r="T19" i="193"/>
  <c r="T20" i="193" s="1"/>
  <c r="E14" i="191"/>
  <c r="E18" i="191" s="1"/>
  <c r="E22" i="191" s="1"/>
  <c r="E31" i="191" s="1"/>
  <c r="T19" i="195"/>
  <c r="T20" i="195" s="1"/>
  <c r="F14" i="191"/>
  <c r="F18" i="191" s="1"/>
  <c r="F22" i="191" s="1"/>
  <c r="F31" i="191" s="1"/>
  <c r="F14" i="168"/>
  <c r="F18" i="168" s="1"/>
  <c r="F22" i="168" s="1"/>
  <c r="F31" i="168" s="1"/>
  <c r="F36" i="178"/>
  <c r="K18" i="130"/>
  <c r="L18" i="130" s="1"/>
  <c r="R14" i="125"/>
  <c r="F14" i="126" s="1"/>
  <c r="M61" i="130"/>
  <c r="N17" i="130"/>
  <c r="O17" i="130" s="1"/>
  <c r="J16" i="125"/>
  <c r="P16" i="125" s="1"/>
  <c r="R16" i="125"/>
  <c r="F16" i="126" s="1"/>
  <c r="F13" i="118"/>
  <c r="R17" i="117"/>
  <c r="P13" i="117"/>
  <c r="J17" i="117"/>
  <c r="R15" i="125"/>
  <c r="F15" i="126" s="1"/>
  <c r="J15" i="125"/>
  <c r="P15" i="125" s="1"/>
  <c r="F31" i="117"/>
  <c r="R28" i="117"/>
  <c r="G12" i="131" s="1"/>
  <c r="S44" i="108"/>
  <c r="R44" i="108"/>
  <c r="I18" i="92"/>
  <c r="L21" i="104"/>
  <c r="L21" i="102"/>
  <c r="L20" i="103"/>
  <c r="L20" i="104"/>
  <c r="N20" i="104" s="1"/>
  <c r="L21" i="100"/>
  <c r="N21" i="100" s="1"/>
  <c r="L21" i="99"/>
  <c r="D20" i="92"/>
  <c r="L20" i="100"/>
  <c r="I17" i="92"/>
  <c r="T19" i="196" l="1"/>
  <c r="T20" i="196" s="1"/>
  <c r="G14" i="191"/>
  <c r="G18" i="191" s="1"/>
  <c r="G22" i="191" s="1"/>
  <c r="G31" i="191" s="1"/>
  <c r="G14" i="168"/>
  <c r="G18" i="168" s="1"/>
  <c r="G22" i="168" s="1"/>
  <c r="G31" i="168" s="1"/>
  <c r="R36" i="178"/>
  <c r="R21" i="99"/>
  <c r="F21" i="100" s="1"/>
  <c r="K14" i="132"/>
  <c r="K18" i="132" s="1"/>
  <c r="K22" i="132" s="1"/>
  <c r="K31" i="132" s="1"/>
  <c r="P17" i="117"/>
  <c r="K19" i="130" s="1"/>
  <c r="G13" i="131"/>
  <c r="J14" i="125"/>
  <c r="P14" i="125" s="1"/>
  <c r="J14" i="126"/>
  <c r="P14" i="126" s="1"/>
  <c r="M18" i="130"/>
  <c r="R14" i="126"/>
  <c r="F14" i="150" s="1"/>
  <c r="R13" i="118"/>
  <c r="J13" i="118"/>
  <c r="F17" i="118"/>
  <c r="R15" i="126"/>
  <c r="F15" i="150" s="1"/>
  <c r="J15" i="126"/>
  <c r="P15" i="126" s="1"/>
  <c r="J16" i="126"/>
  <c r="P16" i="126" s="1"/>
  <c r="R16" i="126"/>
  <c r="F16" i="150" s="1"/>
  <c r="R31" i="117"/>
  <c r="F28" i="118"/>
  <c r="L23" i="104"/>
  <c r="L25" i="104" s="1"/>
  <c r="N21" i="99"/>
  <c r="P21" i="99" s="1"/>
  <c r="L20" i="102"/>
  <c r="F20" i="92"/>
  <c r="N20" i="103"/>
  <c r="G20" i="92"/>
  <c r="N20" i="100"/>
  <c r="N23" i="100" s="1"/>
  <c r="N25" i="100" s="1"/>
  <c r="L23" i="100"/>
  <c r="L25" i="100" s="1"/>
  <c r="E20" i="92"/>
  <c r="L20" i="101"/>
  <c r="H20" i="92"/>
  <c r="L20" i="99"/>
  <c r="R20" i="99" s="1"/>
  <c r="C20" i="92"/>
  <c r="N21" i="102"/>
  <c r="I19" i="92"/>
  <c r="I20" i="92" s="1"/>
  <c r="L22" i="103"/>
  <c r="L23" i="103" s="1"/>
  <c r="L25" i="103" s="1"/>
  <c r="N21" i="104"/>
  <c r="N23" i="104" s="1"/>
  <c r="N25" i="104" s="1"/>
  <c r="T19" i="197" l="1"/>
  <c r="T20" i="197" s="1"/>
  <c r="H14" i="191"/>
  <c r="H18" i="191" s="1"/>
  <c r="H22" i="191" s="1"/>
  <c r="H31" i="191" s="1"/>
  <c r="H14" i="168"/>
  <c r="H18" i="168" s="1"/>
  <c r="H22" i="168" s="1"/>
  <c r="H31" i="168" s="1"/>
  <c r="F36" i="179"/>
  <c r="R21" i="100"/>
  <c r="F21" i="101" s="1"/>
  <c r="J21" i="100"/>
  <c r="P21" i="100" s="1"/>
  <c r="J16" i="150"/>
  <c r="P16" i="150" s="1"/>
  <c r="R16" i="150"/>
  <c r="F16" i="151" s="1"/>
  <c r="J15" i="150"/>
  <c r="P15" i="150" s="1"/>
  <c r="R15" i="150"/>
  <c r="F15" i="151" s="1"/>
  <c r="J14" i="150"/>
  <c r="P14" i="150" s="1"/>
  <c r="R14" i="150"/>
  <c r="F14" i="151" s="1"/>
  <c r="J21" i="101"/>
  <c r="P21" i="101" s="1"/>
  <c r="R21" i="101"/>
  <c r="F21" i="102" s="1"/>
  <c r="K62" i="130"/>
  <c r="L19" i="130"/>
  <c r="N18" i="130"/>
  <c r="Q17" i="130"/>
  <c r="E16" i="131" s="1"/>
  <c r="R17" i="118"/>
  <c r="F13" i="119"/>
  <c r="P13" i="118"/>
  <c r="J17" i="118"/>
  <c r="F31" i="118"/>
  <c r="R28" i="118"/>
  <c r="H12" i="131" s="1"/>
  <c r="R22" i="103"/>
  <c r="F22" i="104" s="1"/>
  <c r="N22" i="103"/>
  <c r="P22" i="103" s="1"/>
  <c r="L23" i="99"/>
  <c r="L25" i="99" s="1"/>
  <c r="N20" i="99"/>
  <c r="L23" i="102"/>
  <c r="L25" i="102" s="1"/>
  <c r="N20" i="102"/>
  <c r="N23" i="102" s="1"/>
  <c r="N25" i="102" s="1"/>
  <c r="N20" i="101"/>
  <c r="N23" i="101" s="1"/>
  <c r="N25" i="101" s="1"/>
  <c r="L23" i="101"/>
  <c r="L25" i="101" s="1"/>
  <c r="T19" i="198" l="1"/>
  <c r="T20" i="198" s="1"/>
  <c r="I14" i="191"/>
  <c r="I18" i="191" s="1"/>
  <c r="I22" i="191" s="1"/>
  <c r="I31" i="191" s="1"/>
  <c r="I14" i="168"/>
  <c r="I18" i="168" s="1"/>
  <c r="I22" i="168" s="1"/>
  <c r="I31" i="168" s="1"/>
  <c r="R36" i="179"/>
  <c r="L62" i="130"/>
  <c r="M62" i="130" s="1"/>
  <c r="J14" i="151"/>
  <c r="P14" i="151" s="1"/>
  <c r="R14" i="151"/>
  <c r="F14" i="152" s="1"/>
  <c r="R16" i="151"/>
  <c r="F16" i="152" s="1"/>
  <c r="J16" i="151"/>
  <c r="P16" i="151" s="1"/>
  <c r="J15" i="151"/>
  <c r="P15" i="151" s="1"/>
  <c r="R15" i="151"/>
  <c r="F15" i="152" s="1"/>
  <c r="L14" i="132"/>
  <c r="L18" i="132" s="1"/>
  <c r="L22" i="132" s="1"/>
  <c r="L31" i="132" s="1"/>
  <c r="P17" i="118"/>
  <c r="K63" i="130" s="1"/>
  <c r="L63" i="130" s="1"/>
  <c r="H13" i="131"/>
  <c r="M19" i="130"/>
  <c r="O18" i="130"/>
  <c r="R17" i="130"/>
  <c r="T17" i="130" s="1"/>
  <c r="R13" i="119"/>
  <c r="F17" i="119"/>
  <c r="J13" i="119"/>
  <c r="R31" i="118"/>
  <c r="F28" i="119"/>
  <c r="N23" i="103"/>
  <c r="N25" i="103" s="1"/>
  <c r="J21" i="102"/>
  <c r="P21" i="102" s="1"/>
  <c r="R21" i="102"/>
  <c r="F21" i="103" s="1"/>
  <c r="R23" i="99"/>
  <c r="R25" i="99" s="1"/>
  <c r="K11" i="91" s="1"/>
  <c r="F20" i="100"/>
  <c r="R20" i="100" s="1"/>
  <c r="R23" i="100" s="1"/>
  <c r="R25" i="100" s="1"/>
  <c r="R22" i="104"/>
  <c r="F22" i="113" s="1"/>
  <c r="J22" i="104"/>
  <c r="P22" i="104" s="1"/>
  <c r="N23" i="99"/>
  <c r="N25" i="99" s="1"/>
  <c r="P20" i="99"/>
  <c r="P23" i="99" s="1"/>
  <c r="P25" i="99" s="1"/>
  <c r="K25" i="91" s="1"/>
  <c r="T19" i="199" l="1"/>
  <c r="T20" i="199" s="1"/>
  <c r="J14" i="191"/>
  <c r="J18" i="191" s="1"/>
  <c r="J22" i="191" s="1"/>
  <c r="J31" i="191" s="1"/>
  <c r="J14" i="168"/>
  <c r="J18" i="168" s="1"/>
  <c r="J22" i="168" s="1"/>
  <c r="J31" i="168" s="1"/>
  <c r="F36" i="180"/>
  <c r="J16" i="152"/>
  <c r="P16" i="152" s="1"/>
  <c r="R16" i="152"/>
  <c r="F16" i="153" s="1"/>
  <c r="R15" i="152"/>
  <c r="F15" i="153" s="1"/>
  <c r="J15" i="152"/>
  <c r="P15" i="152" s="1"/>
  <c r="J14" i="152"/>
  <c r="P14" i="152" s="1"/>
  <c r="R14" i="152"/>
  <c r="F14" i="153" s="1"/>
  <c r="J21" i="103"/>
  <c r="P21" i="103" s="1"/>
  <c r="R21" i="103"/>
  <c r="F21" i="104" s="1"/>
  <c r="K20" i="130"/>
  <c r="L20" i="130" s="1"/>
  <c r="J22" i="113"/>
  <c r="P22" i="113" s="1"/>
  <c r="R22" i="113"/>
  <c r="F22" i="116" s="1"/>
  <c r="M63" i="130"/>
  <c r="N19" i="130"/>
  <c r="Q18" i="130"/>
  <c r="F13" i="120"/>
  <c r="R17" i="119"/>
  <c r="J17" i="119"/>
  <c r="P13" i="119"/>
  <c r="R28" i="119"/>
  <c r="I12" i="131" s="1"/>
  <c r="F31" i="119"/>
  <c r="K29" i="91"/>
  <c r="J20" i="100"/>
  <c r="F23" i="100"/>
  <c r="F25" i="100" s="1"/>
  <c r="K14" i="91"/>
  <c r="K18" i="91" s="1"/>
  <c r="K22" i="91" s="1"/>
  <c r="R18" i="130" l="1"/>
  <c r="T18" i="130" s="1"/>
  <c r="F16" i="131"/>
  <c r="M14" i="191"/>
  <c r="M18" i="191" s="1"/>
  <c r="M22" i="191" s="1"/>
  <c r="M31" i="191" s="1"/>
  <c r="K14" i="168"/>
  <c r="K18" i="168" s="1"/>
  <c r="K22" i="168" s="1"/>
  <c r="K31" i="168" s="1"/>
  <c r="R36" i="180"/>
  <c r="J15" i="153"/>
  <c r="P15" i="153" s="1"/>
  <c r="R15" i="153"/>
  <c r="F15" i="154" s="1"/>
  <c r="J14" i="153"/>
  <c r="P14" i="153" s="1"/>
  <c r="R14" i="153"/>
  <c r="F14" i="154" s="1"/>
  <c r="J16" i="153"/>
  <c r="P16" i="153" s="1"/>
  <c r="R16" i="153"/>
  <c r="F16" i="154" s="1"/>
  <c r="P17" i="119"/>
  <c r="K21" i="130" s="1"/>
  <c r="I13" i="131"/>
  <c r="R22" i="116"/>
  <c r="F22" i="117" s="1"/>
  <c r="J22" i="116"/>
  <c r="P22" i="116" s="1"/>
  <c r="M20" i="130"/>
  <c r="O19" i="130"/>
  <c r="Q19" i="130" s="1"/>
  <c r="G16" i="131" s="1"/>
  <c r="F17" i="120"/>
  <c r="J13" i="120"/>
  <c r="R13" i="120"/>
  <c r="F28" i="120"/>
  <c r="R31" i="119"/>
  <c r="J23" i="100"/>
  <c r="J25" i="100" s="1"/>
  <c r="P20" i="100"/>
  <c r="P23" i="100" s="1"/>
  <c r="P25" i="100" s="1"/>
  <c r="L25" i="91" s="1"/>
  <c r="K31" i="91"/>
  <c r="J21" i="104"/>
  <c r="P21" i="104" s="1"/>
  <c r="R21" i="104"/>
  <c r="F21" i="113" s="1"/>
  <c r="L11" i="91"/>
  <c r="F20" i="101"/>
  <c r="T19" i="200" l="1"/>
  <c r="T20" i="200" s="1"/>
  <c r="O11" i="191"/>
  <c r="N14" i="191"/>
  <c r="N18" i="191" s="1"/>
  <c r="N22" i="191" s="1"/>
  <c r="N31" i="191" s="1"/>
  <c r="L14" i="168"/>
  <c r="L18" i="168" s="1"/>
  <c r="L22" i="168" s="1"/>
  <c r="L31" i="168" s="1"/>
  <c r="F36" i="181"/>
  <c r="J14" i="154"/>
  <c r="P14" i="154" s="1"/>
  <c r="R14" i="154"/>
  <c r="F14" i="155" s="1"/>
  <c r="J16" i="154"/>
  <c r="P16" i="154" s="1"/>
  <c r="R16" i="154"/>
  <c r="F16" i="155" s="1"/>
  <c r="J15" i="154"/>
  <c r="P15" i="154" s="1"/>
  <c r="R15" i="154"/>
  <c r="F15" i="155" s="1"/>
  <c r="M14" i="132"/>
  <c r="M18" i="132" s="1"/>
  <c r="M22" i="132" s="1"/>
  <c r="M31" i="132" s="1"/>
  <c r="K64" i="130"/>
  <c r="R22" i="117"/>
  <c r="F22" i="118" s="1"/>
  <c r="J22" i="117"/>
  <c r="P22" i="117" s="1"/>
  <c r="R21" i="113"/>
  <c r="F21" i="116" s="1"/>
  <c r="J21" i="113"/>
  <c r="P21" i="113" s="1"/>
  <c r="L21" i="130"/>
  <c r="N20" i="130"/>
  <c r="R19" i="130"/>
  <c r="T19" i="130" s="1"/>
  <c r="J17" i="120"/>
  <c r="P13" i="120"/>
  <c r="F13" i="121"/>
  <c r="R17" i="120"/>
  <c r="F31" i="120"/>
  <c r="R28" i="120"/>
  <c r="J12" i="131" s="1"/>
  <c r="L29" i="91"/>
  <c r="L14" i="91"/>
  <c r="L18" i="91" s="1"/>
  <c r="L22" i="91" s="1"/>
  <c r="J20" i="101"/>
  <c r="F23" i="101"/>
  <c r="F25" i="101" s="1"/>
  <c r="R20" i="101"/>
  <c r="F20" i="102" s="1"/>
  <c r="F23" i="102" s="1"/>
  <c r="F25" i="102" s="1"/>
  <c r="T19" i="201" l="1"/>
  <c r="T20" i="201" s="1"/>
  <c r="P11" i="191"/>
  <c r="T19" i="202" s="1"/>
  <c r="T20" i="202" s="1"/>
  <c r="O14" i="191"/>
  <c r="O18" i="191" s="1"/>
  <c r="O22" i="191" s="1"/>
  <c r="O31" i="191" s="1"/>
  <c r="M14" i="168"/>
  <c r="M18" i="168" s="1"/>
  <c r="M22" i="168" s="1"/>
  <c r="M31" i="168" s="1"/>
  <c r="R36" i="181"/>
  <c r="L64" i="130"/>
  <c r="M64" i="130" s="1"/>
  <c r="R15" i="155"/>
  <c r="F15" i="156" s="1"/>
  <c r="J15" i="155"/>
  <c r="P15" i="155" s="1"/>
  <c r="J14" i="155"/>
  <c r="P14" i="155" s="1"/>
  <c r="R14" i="155"/>
  <c r="F14" i="156" s="1"/>
  <c r="R16" i="155"/>
  <c r="F16" i="156" s="1"/>
  <c r="J16" i="155"/>
  <c r="P16" i="155" s="1"/>
  <c r="R21" i="116"/>
  <c r="F21" i="117" s="1"/>
  <c r="J21" i="116"/>
  <c r="P21" i="116" s="1"/>
  <c r="P17" i="120"/>
  <c r="K65" i="130" s="1"/>
  <c r="L65" i="130" s="1"/>
  <c r="J13" i="131"/>
  <c r="J22" i="118"/>
  <c r="P22" i="118" s="1"/>
  <c r="R22" i="118"/>
  <c r="F22" i="119" s="1"/>
  <c r="M21" i="130"/>
  <c r="O20" i="130"/>
  <c r="F17" i="121"/>
  <c r="R13" i="121"/>
  <c r="J13" i="121"/>
  <c r="F28" i="121"/>
  <c r="R31" i="120"/>
  <c r="L31" i="91"/>
  <c r="J23" i="101"/>
  <c r="J25" i="101" s="1"/>
  <c r="P20" i="101"/>
  <c r="P23" i="101" s="1"/>
  <c r="P25" i="101" s="1"/>
  <c r="M25" i="91" s="1"/>
  <c r="R23" i="101"/>
  <c r="R25" i="101" s="1"/>
  <c r="M11" i="91" s="1"/>
  <c r="Q11" i="191" l="1"/>
  <c r="T19" i="203" s="1"/>
  <c r="T20" i="203" s="1"/>
  <c r="P14" i="191"/>
  <c r="P18" i="191" s="1"/>
  <c r="P22" i="191" s="1"/>
  <c r="P31" i="191" s="1"/>
  <c r="N14" i="168"/>
  <c r="N18" i="168" s="1"/>
  <c r="N22" i="168" s="1"/>
  <c r="N31" i="168" s="1"/>
  <c r="F36" i="182"/>
  <c r="J14" i="156"/>
  <c r="P14" i="156" s="1"/>
  <c r="R14" i="156"/>
  <c r="F14" i="157" s="1"/>
  <c r="R16" i="156"/>
  <c r="F16" i="157" s="1"/>
  <c r="J16" i="156"/>
  <c r="P16" i="156" s="1"/>
  <c r="J15" i="156"/>
  <c r="P15" i="156" s="1"/>
  <c r="R15" i="156"/>
  <c r="F15" i="157" s="1"/>
  <c r="N14" i="132"/>
  <c r="N18" i="132" s="1"/>
  <c r="N22" i="132" s="1"/>
  <c r="N31" i="132" s="1"/>
  <c r="R22" i="119"/>
  <c r="F22" i="120" s="1"/>
  <c r="J22" i="119"/>
  <c r="P22" i="119" s="1"/>
  <c r="K22" i="130"/>
  <c r="L22" i="130" s="1"/>
  <c r="R21" i="117"/>
  <c r="F21" i="118" s="1"/>
  <c r="J21" i="117"/>
  <c r="P21" i="117" s="1"/>
  <c r="M65" i="130"/>
  <c r="N21" i="130"/>
  <c r="Q20" i="130"/>
  <c r="H16" i="131" s="1"/>
  <c r="J17" i="121"/>
  <c r="P13" i="121"/>
  <c r="F13" i="122"/>
  <c r="R17" i="121"/>
  <c r="R28" i="121"/>
  <c r="K12" i="131" s="1"/>
  <c r="F31" i="121"/>
  <c r="M29" i="91"/>
  <c r="M14" i="91"/>
  <c r="M18" i="91" s="1"/>
  <c r="M22" i="91" s="1"/>
  <c r="J20" i="102"/>
  <c r="R20" i="102"/>
  <c r="R11" i="191" l="1"/>
  <c r="Q14" i="191"/>
  <c r="Q18" i="191" s="1"/>
  <c r="Q22" i="191" s="1"/>
  <c r="Q31" i="191" s="1"/>
  <c r="O14" i="168"/>
  <c r="O18" i="168" s="1"/>
  <c r="O22" i="168" s="1"/>
  <c r="O31" i="168" s="1"/>
  <c r="R36" i="182"/>
  <c r="R16" i="157"/>
  <c r="F16" i="158" s="1"/>
  <c r="J16" i="157"/>
  <c r="P16" i="157" s="1"/>
  <c r="R15" i="157"/>
  <c r="F15" i="158" s="1"/>
  <c r="J15" i="157"/>
  <c r="P15" i="157" s="1"/>
  <c r="J14" i="157"/>
  <c r="P14" i="157" s="1"/>
  <c r="R14" i="157"/>
  <c r="F14" i="158" s="1"/>
  <c r="P17" i="121"/>
  <c r="K66" i="130" s="1"/>
  <c r="L66" i="130" s="1"/>
  <c r="K13" i="131"/>
  <c r="R21" i="118"/>
  <c r="F21" i="119" s="1"/>
  <c r="J21" i="118"/>
  <c r="P21" i="118" s="1"/>
  <c r="R22" i="120"/>
  <c r="F22" i="121" s="1"/>
  <c r="J22" i="120"/>
  <c r="P22" i="120" s="1"/>
  <c r="M22" i="130"/>
  <c r="O21" i="130"/>
  <c r="Q21" i="130" s="1"/>
  <c r="I16" i="131" s="1"/>
  <c r="R20" i="130"/>
  <c r="T20" i="130" s="1"/>
  <c r="J13" i="122"/>
  <c r="F17" i="122"/>
  <c r="R13" i="122"/>
  <c r="R31" i="121"/>
  <c r="F28" i="122"/>
  <c r="M31" i="91"/>
  <c r="R23" i="102"/>
  <c r="R25" i="102" s="1"/>
  <c r="N11" i="91" s="1"/>
  <c r="F20" i="103"/>
  <c r="J23" i="102"/>
  <c r="J25" i="102" s="1"/>
  <c r="P20" i="102"/>
  <c r="P23" i="102" s="1"/>
  <c r="P25" i="102" s="1"/>
  <c r="N25" i="91" s="1"/>
  <c r="T19" i="204" l="1"/>
  <c r="T20" i="204" s="1"/>
  <c r="S11" i="191"/>
  <c r="S14" i="191" s="1"/>
  <c r="S18" i="191" s="1"/>
  <c r="S22" i="191" s="1"/>
  <c r="F36" i="193"/>
  <c r="R14" i="191"/>
  <c r="R18" i="191" s="1"/>
  <c r="R22" i="191" s="1"/>
  <c r="R31" i="191" s="1"/>
  <c r="P14" i="168"/>
  <c r="P18" i="168" s="1"/>
  <c r="Q11" i="168"/>
  <c r="J15" i="158"/>
  <c r="P15" i="158" s="1"/>
  <c r="R15" i="158"/>
  <c r="F15" i="159" s="1"/>
  <c r="J14" i="158"/>
  <c r="P14" i="158" s="1"/>
  <c r="R14" i="158"/>
  <c r="F14" i="159" s="1"/>
  <c r="J16" i="158"/>
  <c r="P16" i="158" s="1"/>
  <c r="R16" i="158"/>
  <c r="F16" i="159" s="1"/>
  <c r="O14" i="132"/>
  <c r="O18" i="132" s="1"/>
  <c r="O22" i="132" s="1"/>
  <c r="O31" i="132" s="1"/>
  <c r="Q13" i="132"/>
  <c r="K23" i="130"/>
  <c r="L23" i="130" s="1"/>
  <c r="R21" i="119"/>
  <c r="F21" i="120" s="1"/>
  <c r="J21" i="119"/>
  <c r="P21" i="119" s="1"/>
  <c r="J22" i="121"/>
  <c r="P22" i="121" s="1"/>
  <c r="R22" i="121"/>
  <c r="F22" i="122" s="1"/>
  <c r="M66" i="130"/>
  <c r="N22" i="130"/>
  <c r="R21" i="130"/>
  <c r="T21" i="130" s="1"/>
  <c r="F13" i="123"/>
  <c r="R17" i="122"/>
  <c r="J17" i="122"/>
  <c r="P13" i="122"/>
  <c r="P17" i="122" s="1"/>
  <c r="R28" i="122"/>
  <c r="L12" i="131" s="1"/>
  <c r="F31" i="122"/>
  <c r="N29" i="91"/>
  <c r="N14" i="91"/>
  <c r="N18" i="91" s="1"/>
  <c r="N22" i="91" s="1"/>
  <c r="F23" i="103"/>
  <c r="F25" i="103" s="1"/>
  <c r="R20" i="103"/>
  <c r="J20" i="103"/>
  <c r="P22" i="168" l="1"/>
  <c r="Z18" i="191"/>
  <c r="T18" i="191"/>
  <c r="Q14" i="168"/>
  <c r="Q18" i="168" s="1"/>
  <c r="Q22" i="168" s="1"/>
  <c r="R36" i="193"/>
  <c r="R16" i="159"/>
  <c r="F16" i="160" s="1"/>
  <c r="J16" i="159"/>
  <c r="P16" i="159" s="1"/>
  <c r="R15" i="159"/>
  <c r="F15" i="160" s="1"/>
  <c r="J15" i="159"/>
  <c r="P15" i="159" s="1"/>
  <c r="R14" i="159"/>
  <c r="F14" i="160" s="1"/>
  <c r="J14" i="159"/>
  <c r="P14" i="159" s="1"/>
  <c r="P14" i="132"/>
  <c r="P18" i="132" s="1"/>
  <c r="P22" i="132" s="1"/>
  <c r="P31" i="132" s="1"/>
  <c r="Q11" i="132"/>
  <c r="Q14" i="132" s="1"/>
  <c r="Q18" i="132" s="1"/>
  <c r="Q22" i="132" s="1"/>
  <c r="Q31" i="132" s="1"/>
  <c r="L13" i="131"/>
  <c r="J22" i="122"/>
  <c r="P22" i="122" s="1"/>
  <c r="R22" i="122"/>
  <c r="F22" i="123" s="1"/>
  <c r="R21" i="120"/>
  <c r="F21" i="121" s="1"/>
  <c r="J21" i="120"/>
  <c r="P21" i="120" s="1"/>
  <c r="K67" i="130"/>
  <c r="L67" i="130" s="1"/>
  <c r="K24" i="130"/>
  <c r="M23" i="130"/>
  <c r="O22" i="130"/>
  <c r="F17" i="123"/>
  <c r="R13" i="123"/>
  <c r="J13" i="123"/>
  <c r="R31" i="122"/>
  <c r="F28" i="123"/>
  <c r="N31" i="91"/>
  <c r="P20" i="103"/>
  <c r="P23" i="103" s="1"/>
  <c r="P25" i="103" s="1"/>
  <c r="O25" i="91" s="1"/>
  <c r="J23" i="103"/>
  <c r="J25" i="103" s="1"/>
  <c r="R23" i="103"/>
  <c r="R25" i="103" s="1"/>
  <c r="O11" i="91" s="1"/>
  <c r="F20" i="104"/>
  <c r="P31" i="168" l="1"/>
  <c r="Z31" i="191" s="1"/>
  <c r="Z22" i="191"/>
  <c r="T22" i="191"/>
  <c r="Q31" i="168"/>
  <c r="F36" i="194"/>
  <c r="J15" i="160"/>
  <c r="P15" i="160" s="1"/>
  <c r="R15" i="160"/>
  <c r="F15" i="161" s="1"/>
  <c r="R14" i="160"/>
  <c r="F14" i="161" s="1"/>
  <c r="J14" i="160"/>
  <c r="P14" i="160" s="1"/>
  <c r="J16" i="160"/>
  <c r="P16" i="160" s="1"/>
  <c r="R16" i="160"/>
  <c r="F16" i="161" s="1"/>
  <c r="J22" i="123"/>
  <c r="P22" i="123" s="1"/>
  <c r="R22" i="123"/>
  <c r="F22" i="124" s="1"/>
  <c r="J21" i="121"/>
  <c r="P21" i="121" s="1"/>
  <c r="R21" i="121"/>
  <c r="F21" i="122" s="1"/>
  <c r="L24" i="130"/>
  <c r="M67" i="130"/>
  <c r="N23" i="130"/>
  <c r="Q22" i="130"/>
  <c r="J16" i="131" s="1"/>
  <c r="F13" i="124"/>
  <c r="R17" i="123"/>
  <c r="P13" i="123"/>
  <c r="P17" i="123" s="1"/>
  <c r="J17" i="123"/>
  <c r="R28" i="123"/>
  <c r="M12" i="131" s="1"/>
  <c r="F31" i="123"/>
  <c r="O14" i="91"/>
  <c r="O18" i="91" s="1"/>
  <c r="O22" i="91" s="1"/>
  <c r="O29" i="91"/>
  <c r="J20" i="104"/>
  <c r="F23" i="104"/>
  <c r="F25" i="104" s="1"/>
  <c r="R20" i="104"/>
  <c r="T31" i="191" l="1"/>
  <c r="V31" i="191" s="1"/>
  <c r="V22" i="191"/>
  <c r="R36" i="194"/>
  <c r="J14" i="161"/>
  <c r="P14" i="161" s="1"/>
  <c r="R14" i="161"/>
  <c r="F16" i="171" s="1"/>
  <c r="J16" i="161"/>
  <c r="P16" i="161" s="1"/>
  <c r="R16" i="161"/>
  <c r="F18" i="171" s="1"/>
  <c r="J15" i="161"/>
  <c r="P15" i="161" s="1"/>
  <c r="R15" i="161"/>
  <c r="F17" i="171" s="1"/>
  <c r="R23" i="104"/>
  <c r="R25" i="104" s="1"/>
  <c r="P11" i="91" s="1"/>
  <c r="F20" i="113"/>
  <c r="M13" i="131"/>
  <c r="J22" i="124"/>
  <c r="P22" i="124" s="1"/>
  <c r="R22" i="124"/>
  <c r="F22" i="125" s="1"/>
  <c r="J21" i="122"/>
  <c r="P21" i="122" s="1"/>
  <c r="R21" i="122"/>
  <c r="F21" i="123" s="1"/>
  <c r="K68" i="130"/>
  <c r="L68" i="130" s="1"/>
  <c r="K25" i="130"/>
  <c r="M24" i="130"/>
  <c r="O23" i="130"/>
  <c r="R22" i="130"/>
  <c r="T22" i="130" s="1"/>
  <c r="R13" i="124"/>
  <c r="J13" i="124"/>
  <c r="F17" i="124"/>
  <c r="R31" i="123"/>
  <c r="F28" i="124"/>
  <c r="O31" i="91"/>
  <c r="J23" i="104"/>
  <c r="J25" i="104" s="1"/>
  <c r="P20" i="104"/>
  <c r="P23" i="104" s="1"/>
  <c r="P25" i="104" s="1"/>
  <c r="P25" i="91" s="1"/>
  <c r="D25" i="131" s="1"/>
  <c r="D29" i="131" s="1"/>
  <c r="F36" i="195" l="1"/>
  <c r="J17" i="171"/>
  <c r="P17" i="171" s="1"/>
  <c r="R17" i="171"/>
  <c r="F17" i="172" s="1"/>
  <c r="J18" i="171"/>
  <c r="P18" i="171" s="1"/>
  <c r="R18" i="171"/>
  <c r="F18" i="172" s="1"/>
  <c r="J16" i="171"/>
  <c r="R16" i="171"/>
  <c r="D11" i="131"/>
  <c r="D14" i="131" s="1"/>
  <c r="D18" i="131" s="1"/>
  <c r="D22" i="131" s="1"/>
  <c r="D31" i="131" s="1"/>
  <c r="J21" i="123"/>
  <c r="P21" i="123" s="1"/>
  <c r="R21" i="123"/>
  <c r="F21" i="124" s="1"/>
  <c r="J20" i="113"/>
  <c r="R20" i="113"/>
  <c r="F23" i="113"/>
  <c r="F25" i="113" s="1"/>
  <c r="R22" i="125"/>
  <c r="F22" i="126" s="1"/>
  <c r="J22" i="125"/>
  <c r="P22" i="125" s="1"/>
  <c r="M68" i="130"/>
  <c r="L25" i="130"/>
  <c r="N24" i="130"/>
  <c r="Q23" i="130"/>
  <c r="Q11" i="91"/>
  <c r="Q14" i="91" s="1"/>
  <c r="Q18" i="91" s="1"/>
  <c r="Q22" i="91" s="1"/>
  <c r="J17" i="124"/>
  <c r="P13" i="124"/>
  <c r="P17" i="124" s="1"/>
  <c r="R17" i="124"/>
  <c r="F13" i="125"/>
  <c r="R28" i="124"/>
  <c r="N12" i="131" s="1"/>
  <c r="F31" i="124"/>
  <c r="P29" i="91"/>
  <c r="Q25" i="91"/>
  <c r="Q29" i="91" s="1"/>
  <c r="R23" i="130" l="1"/>
  <c r="T23" i="130" s="1"/>
  <c r="K16" i="131"/>
  <c r="R36" i="195"/>
  <c r="F16" i="172"/>
  <c r="R16" i="172" s="1"/>
  <c r="J17" i="172"/>
  <c r="P17" i="172" s="1"/>
  <c r="R17" i="172"/>
  <c r="F17" i="173" s="1"/>
  <c r="P16" i="171"/>
  <c r="R18" i="172"/>
  <c r="F18" i="173" s="1"/>
  <c r="J18" i="172"/>
  <c r="P18" i="172" s="1"/>
  <c r="P14" i="91"/>
  <c r="P18" i="91" s="1"/>
  <c r="P22" i="91" s="1"/>
  <c r="P31" i="91" s="1"/>
  <c r="F20" i="116"/>
  <c r="R23" i="113"/>
  <c r="R25" i="113" s="1"/>
  <c r="E11" i="131"/>
  <c r="E14" i="131" s="1"/>
  <c r="E18" i="131" s="1"/>
  <c r="E22" i="131" s="1"/>
  <c r="J23" i="113"/>
  <c r="J25" i="113" s="1"/>
  <c r="P20" i="113"/>
  <c r="P23" i="113" s="1"/>
  <c r="P25" i="113" s="1"/>
  <c r="J21" i="124"/>
  <c r="P21" i="124" s="1"/>
  <c r="R21" i="124"/>
  <c r="F21" i="125" s="1"/>
  <c r="R22" i="126"/>
  <c r="F22" i="150" s="1"/>
  <c r="J22" i="126"/>
  <c r="P22" i="126" s="1"/>
  <c r="N13" i="131"/>
  <c r="K69" i="130"/>
  <c r="L69" i="130" s="1"/>
  <c r="K26" i="130"/>
  <c r="M25" i="130"/>
  <c r="O24" i="130"/>
  <c r="Q24" i="130" s="1"/>
  <c r="F17" i="125"/>
  <c r="R13" i="125"/>
  <c r="J13" i="125"/>
  <c r="R31" i="124"/>
  <c r="F28" i="125"/>
  <c r="Q31" i="91"/>
  <c r="R24" i="130" l="1"/>
  <c r="T24" i="130" s="1"/>
  <c r="L16" i="131"/>
  <c r="F16" i="173"/>
  <c r="J16" i="173" s="1"/>
  <c r="P16" i="173" s="1"/>
  <c r="F36" i="196"/>
  <c r="J16" i="172"/>
  <c r="P16" i="172" s="1"/>
  <c r="J17" i="173"/>
  <c r="P17" i="173" s="1"/>
  <c r="R17" i="173"/>
  <c r="F17" i="174" s="1"/>
  <c r="J18" i="173"/>
  <c r="P18" i="173" s="1"/>
  <c r="R18" i="173"/>
  <c r="F18" i="174" s="1"/>
  <c r="R22" i="150"/>
  <c r="F22" i="151" s="1"/>
  <c r="J22" i="150"/>
  <c r="P22" i="150" s="1"/>
  <c r="J21" i="125"/>
  <c r="P21" i="125" s="1"/>
  <c r="R21" i="125"/>
  <c r="F21" i="126" s="1"/>
  <c r="E25" i="131"/>
  <c r="F23" i="116"/>
  <c r="F25" i="116" s="1"/>
  <c r="J20" i="116"/>
  <c r="R20" i="116"/>
  <c r="M69" i="130"/>
  <c r="L26" i="130"/>
  <c r="N25" i="130"/>
  <c r="J17" i="125"/>
  <c r="P13" i="125"/>
  <c r="P17" i="125" s="1"/>
  <c r="F13" i="126"/>
  <c r="R17" i="125"/>
  <c r="R28" i="125"/>
  <c r="O12" i="131" s="1"/>
  <c r="F31" i="125"/>
  <c r="R16" i="173" l="1"/>
  <c r="F16" i="174"/>
  <c r="J16" i="174" s="1"/>
  <c r="P16" i="174" s="1"/>
  <c r="R36" i="196"/>
  <c r="J17" i="174"/>
  <c r="P17" i="174" s="1"/>
  <c r="R17" i="174"/>
  <c r="F17" i="175" s="1"/>
  <c r="R18" i="174"/>
  <c r="F18" i="175" s="1"/>
  <c r="J18" i="174"/>
  <c r="P18" i="174" s="1"/>
  <c r="E29" i="131"/>
  <c r="E31" i="131" s="1"/>
  <c r="K70" i="130"/>
  <c r="L70" i="130" s="1"/>
  <c r="K27" i="130"/>
  <c r="J22" i="151"/>
  <c r="P22" i="151" s="1"/>
  <c r="R22" i="151"/>
  <c r="F22" i="152" s="1"/>
  <c r="O13" i="131"/>
  <c r="F20" i="117"/>
  <c r="R23" i="116"/>
  <c r="R25" i="116" s="1"/>
  <c r="F11" i="131"/>
  <c r="F14" i="131" s="1"/>
  <c r="F18" i="131" s="1"/>
  <c r="F22" i="131" s="1"/>
  <c r="J23" i="116"/>
  <c r="J25" i="116" s="1"/>
  <c r="P20" i="116"/>
  <c r="P23" i="116" s="1"/>
  <c r="P25" i="116" s="1"/>
  <c r="F25" i="131" s="1"/>
  <c r="F29" i="131" s="1"/>
  <c r="J21" i="126"/>
  <c r="P21" i="126" s="1"/>
  <c r="R21" i="126"/>
  <c r="F21" i="150" s="1"/>
  <c r="M26" i="130"/>
  <c r="O25" i="130"/>
  <c r="J13" i="126"/>
  <c r="F17" i="126"/>
  <c r="R13" i="126"/>
  <c r="F13" i="150" s="1"/>
  <c r="F28" i="126"/>
  <c r="R31" i="125"/>
  <c r="R16" i="174" l="1"/>
  <c r="F16" i="175" s="1"/>
  <c r="J16" i="175" s="1"/>
  <c r="P16" i="175" s="1"/>
  <c r="F36" i="197"/>
  <c r="J17" i="175"/>
  <c r="P17" i="175" s="1"/>
  <c r="R17" i="175"/>
  <c r="F17" i="176" s="1"/>
  <c r="J18" i="175"/>
  <c r="P18" i="175" s="1"/>
  <c r="R18" i="175"/>
  <c r="F18" i="176" s="1"/>
  <c r="J22" i="152"/>
  <c r="P22" i="152" s="1"/>
  <c r="R22" i="152"/>
  <c r="F22" i="153" s="1"/>
  <c r="J21" i="150"/>
  <c r="P21" i="150" s="1"/>
  <c r="R21" i="150"/>
  <c r="F21" i="151" s="1"/>
  <c r="F17" i="150"/>
  <c r="R13" i="150"/>
  <c r="J13" i="150"/>
  <c r="F31" i="131"/>
  <c r="R17" i="126"/>
  <c r="F23" i="117"/>
  <c r="F25" i="117" s="1"/>
  <c r="J20" i="117"/>
  <c r="R20" i="117"/>
  <c r="L27" i="130"/>
  <c r="M70" i="130"/>
  <c r="N26" i="130"/>
  <c r="Q25" i="130"/>
  <c r="M16" i="131" s="1"/>
  <c r="J17" i="126"/>
  <c r="P13" i="126"/>
  <c r="F31" i="126"/>
  <c r="R28" i="126"/>
  <c r="F28" i="150" s="1"/>
  <c r="R16" i="175" l="1"/>
  <c r="F16" i="176" s="1"/>
  <c r="R36" i="197"/>
  <c r="J17" i="176"/>
  <c r="P17" i="176" s="1"/>
  <c r="R17" i="176"/>
  <c r="F17" i="177" s="1"/>
  <c r="J18" i="176"/>
  <c r="P18" i="176" s="1"/>
  <c r="R18" i="176"/>
  <c r="F18" i="177" s="1"/>
  <c r="J21" i="151"/>
  <c r="P21" i="151" s="1"/>
  <c r="R21" i="151"/>
  <c r="F21" i="152" s="1"/>
  <c r="J22" i="153"/>
  <c r="P22" i="153" s="1"/>
  <c r="R22" i="153"/>
  <c r="F22" i="154" s="1"/>
  <c r="P13" i="150"/>
  <c r="J17" i="150"/>
  <c r="F13" i="151"/>
  <c r="R17" i="150"/>
  <c r="F31" i="150"/>
  <c r="R28" i="150"/>
  <c r="P17" i="126"/>
  <c r="K28" i="130" s="1"/>
  <c r="P13" i="131"/>
  <c r="P20" i="117"/>
  <c r="P23" i="117" s="1"/>
  <c r="P25" i="117" s="1"/>
  <c r="G25" i="131" s="1"/>
  <c r="J23" i="117"/>
  <c r="J25" i="117" s="1"/>
  <c r="R31" i="126"/>
  <c r="D12" i="146" s="1"/>
  <c r="P12" i="131"/>
  <c r="Q12" i="131" s="1"/>
  <c r="F20" i="118"/>
  <c r="R23" i="117"/>
  <c r="R25" i="117" s="1"/>
  <c r="G11" i="131"/>
  <c r="G14" i="131" s="1"/>
  <c r="G18" i="131" s="1"/>
  <c r="G22" i="131" s="1"/>
  <c r="M27" i="130"/>
  <c r="O26" i="130"/>
  <c r="Q26" i="130" s="1"/>
  <c r="N16" i="131" s="1"/>
  <c r="R25" i="130"/>
  <c r="T25" i="130" s="1"/>
  <c r="J16" i="176" l="1"/>
  <c r="P16" i="176" s="1"/>
  <c r="R16" i="176"/>
  <c r="F36" i="198"/>
  <c r="J17" i="177"/>
  <c r="P17" i="177" s="1"/>
  <c r="R17" i="177"/>
  <c r="F17" i="178" s="1"/>
  <c r="R18" i="177"/>
  <c r="F18" i="178" s="1"/>
  <c r="J18" i="177"/>
  <c r="P18" i="177" s="1"/>
  <c r="J21" i="152"/>
  <c r="P21" i="152" s="1"/>
  <c r="R21" i="152"/>
  <c r="F21" i="153" s="1"/>
  <c r="J22" i="154"/>
  <c r="P22" i="154" s="1"/>
  <c r="R22" i="154"/>
  <c r="F22" i="155" s="1"/>
  <c r="G29" i="131"/>
  <c r="G31" i="131" s="1"/>
  <c r="R13" i="151"/>
  <c r="J13" i="151"/>
  <c r="F17" i="151"/>
  <c r="Q13" i="131"/>
  <c r="D13" i="146"/>
  <c r="E13" i="146" s="1"/>
  <c r="P17" i="150"/>
  <c r="R31" i="150"/>
  <c r="E12" i="146"/>
  <c r="F28" i="151"/>
  <c r="K71" i="130"/>
  <c r="F23" i="118"/>
  <c r="F25" i="118" s="1"/>
  <c r="J20" i="118"/>
  <c r="R20" i="118"/>
  <c r="L28" i="130"/>
  <c r="K44" i="130"/>
  <c r="N27" i="130"/>
  <c r="R26" i="130"/>
  <c r="T26" i="130" s="1"/>
  <c r="F16" i="177" l="1"/>
  <c r="J16" i="177" s="1"/>
  <c r="P16" i="177" s="1"/>
  <c r="R36" i="198"/>
  <c r="R17" i="178"/>
  <c r="F17" i="179" s="1"/>
  <c r="J17" i="178"/>
  <c r="P17" i="178" s="1"/>
  <c r="J18" i="178"/>
  <c r="P18" i="178" s="1"/>
  <c r="R18" i="178"/>
  <c r="F18" i="179" s="1"/>
  <c r="J22" i="155"/>
  <c r="P22" i="155" s="1"/>
  <c r="R22" i="155"/>
  <c r="F22" i="156" s="1"/>
  <c r="J21" i="153"/>
  <c r="P21" i="153" s="1"/>
  <c r="R21" i="153"/>
  <c r="F21" i="154" s="1"/>
  <c r="K87" i="130"/>
  <c r="L71" i="130"/>
  <c r="L87" i="130" s="1"/>
  <c r="L61" i="162"/>
  <c r="L17" i="162"/>
  <c r="J17" i="151"/>
  <c r="P13" i="151"/>
  <c r="F13" i="152"/>
  <c r="R17" i="151"/>
  <c r="F31" i="151"/>
  <c r="R28" i="151"/>
  <c r="R23" i="118"/>
  <c r="R25" i="118" s="1"/>
  <c r="F20" i="119"/>
  <c r="H11" i="131"/>
  <c r="H14" i="131" s="1"/>
  <c r="H18" i="131" s="1"/>
  <c r="H22" i="131" s="1"/>
  <c r="J23" i="118"/>
  <c r="J25" i="118" s="1"/>
  <c r="P20" i="118"/>
  <c r="P23" i="118" s="1"/>
  <c r="P25" i="118" s="1"/>
  <c r="H25" i="131" s="1"/>
  <c r="M28" i="130"/>
  <c r="M44" i="130" s="1"/>
  <c r="L44" i="130"/>
  <c r="O27" i="130"/>
  <c r="R16" i="177" l="1"/>
  <c r="M71" i="130"/>
  <c r="M87" i="130" s="1"/>
  <c r="J17" i="179"/>
  <c r="P17" i="179" s="1"/>
  <c r="R17" i="179"/>
  <c r="F17" i="180" s="1"/>
  <c r="J18" i="179"/>
  <c r="P18" i="179" s="1"/>
  <c r="R18" i="179"/>
  <c r="F18" i="180" s="1"/>
  <c r="J21" i="154"/>
  <c r="P21" i="154" s="1"/>
  <c r="R21" i="154"/>
  <c r="F21" i="155" s="1"/>
  <c r="H29" i="131"/>
  <c r="H31" i="131" s="1"/>
  <c r="J22" i="156"/>
  <c r="P22" i="156" s="1"/>
  <c r="R22" i="156"/>
  <c r="F22" i="157" s="1"/>
  <c r="R13" i="152"/>
  <c r="F17" i="152"/>
  <c r="J13" i="152"/>
  <c r="M61" i="162"/>
  <c r="N61" i="162" s="1"/>
  <c r="P17" i="151"/>
  <c r="F13" i="146"/>
  <c r="M17" i="162"/>
  <c r="F28" i="152"/>
  <c r="F12" i="146"/>
  <c r="R31" i="151"/>
  <c r="R20" i="119"/>
  <c r="F23" i="119"/>
  <c r="F25" i="119" s="1"/>
  <c r="J20" i="119"/>
  <c r="Q27" i="130"/>
  <c r="O16" i="131" s="1"/>
  <c r="N28" i="130" l="1"/>
  <c r="F16" i="178"/>
  <c r="R36" i="199"/>
  <c r="J17" i="180"/>
  <c r="P17" i="180" s="1"/>
  <c r="R17" i="180"/>
  <c r="F17" i="181" s="1"/>
  <c r="R18" i="180"/>
  <c r="F18" i="181" s="1"/>
  <c r="J18" i="180"/>
  <c r="P18" i="180" s="1"/>
  <c r="J21" i="155"/>
  <c r="P21" i="155" s="1"/>
  <c r="R21" i="155"/>
  <c r="F21" i="156" s="1"/>
  <c r="R22" i="157"/>
  <c r="F22" i="158" s="1"/>
  <c r="J22" i="157"/>
  <c r="P22" i="157" s="1"/>
  <c r="N17" i="162"/>
  <c r="J17" i="152"/>
  <c r="P13" i="152"/>
  <c r="F13" i="153"/>
  <c r="R17" i="152"/>
  <c r="L62" i="162"/>
  <c r="L18" i="162"/>
  <c r="F31" i="152"/>
  <c r="R28" i="152"/>
  <c r="F20" i="120"/>
  <c r="R23" i="119"/>
  <c r="R25" i="119" s="1"/>
  <c r="I11" i="131"/>
  <c r="I14" i="131" s="1"/>
  <c r="I18" i="131" s="1"/>
  <c r="I22" i="131" s="1"/>
  <c r="J23" i="119"/>
  <c r="J25" i="119" s="1"/>
  <c r="P20" i="119"/>
  <c r="P23" i="119" s="1"/>
  <c r="P25" i="119" s="1"/>
  <c r="I25" i="131" s="1"/>
  <c r="O28" i="130"/>
  <c r="O44" i="130" s="1"/>
  <c r="N44" i="130"/>
  <c r="R27" i="130"/>
  <c r="T27" i="130" s="1"/>
  <c r="R16" i="178" l="1"/>
  <c r="J16" i="178"/>
  <c r="P16" i="178" s="1"/>
  <c r="F36" i="200"/>
  <c r="J17" i="181"/>
  <c r="P17" i="181" s="1"/>
  <c r="R17" i="181"/>
  <c r="F17" i="182" s="1"/>
  <c r="R18" i="181"/>
  <c r="F18" i="182" s="1"/>
  <c r="J18" i="181"/>
  <c r="P18" i="181" s="1"/>
  <c r="J21" i="156"/>
  <c r="P21" i="156" s="1"/>
  <c r="R21" i="156"/>
  <c r="F21" i="157" s="1"/>
  <c r="I29" i="131"/>
  <c r="I31" i="131" s="1"/>
  <c r="J22" i="158"/>
  <c r="P22" i="158" s="1"/>
  <c r="R22" i="158"/>
  <c r="F22" i="159" s="1"/>
  <c r="M18" i="162"/>
  <c r="M62" i="162"/>
  <c r="N62" i="162" s="1"/>
  <c r="O17" i="162"/>
  <c r="R13" i="153"/>
  <c r="J13" i="153"/>
  <c r="F17" i="153"/>
  <c r="G13" i="146"/>
  <c r="P17" i="152"/>
  <c r="R31" i="152"/>
  <c r="G12" i="146"/>
  <c r="F28" i="153"/>
  <c r="J20" i="120"/>
  <c r="R20" i="120"/>
  <c r="F23" i="120"/>
  <c r="F25" i="120" s="1"/>
  <c r="Q28" i="130"/>
  <c r="P16" i="131" s="1"/>
  <c r="Q16" i="131" s="1"/>
  <c r="D16" i="146" l="1"/>
  <c r="F16" i="179"/>
  <c r="R36" i="200"/>
  <c r="J17" i="182"/>
  <c r="P17" i="182" s="1"/>
  <c r="R17" i="182"/>
  <c r="F17" i="193" s="1"/>
  <c r="J18" i="182"/>
  <c r="P18" i="182" s="1"/>
  <c r="R18" i="182"/>
  <c r="F18" i="193" s="1"/>
  <c r="R21" i="157"/>
  <c r="F21" i="158" s="1"/>
  <c r="J21" i="157"/>
  <c r="P21" i="157" s="1"/>
  <c r="J22" i="159"/>
  <c r="P22" i="159" s="1"/>
  <c r="R22" i="159"/>
  <c r="F22" i="160" s="1"/>
  <c r="F13" i="154"/>
  <c r="R17" i="153"/>
  <c r="J17" i="153"/>
  <c r="P13" i="153"/>
  <c r="L63" i="162"/>
  <c r="L19" i="162"/>
  <c r="P17" i="162"/>
  <c r="N18" i="162"/>
  <c r="R28" i="130"/>
  <c r="T28" i="130" s="1"/>
  <c r="R16" i="162"/>
  <c r="U16" i="162" s="1"/>
  <c r="R28" i="153"/>
  <c r="F31" i="153"/>
  <c r="F20" i="121"/>
  <c r="R23" i="120"/>
  <c r="R25" i="120" s="1"/>
  <c r="J11" i="131"/>
  <c r="J14" i="131" s="1"/>
  <c r="J18" i="131" s="1"/>
  <c r="J22" i="131" s="1"/>
  <c r="P20" i="120"/>
  <c r="P23" i="120" s="1"/>
  <c r="P25" i="120" s="1"/>
  <c r="J25" i="131" s="1"/>
  <c r="J29" i="131" s="1"/>
  <c r="J23" i="120"/>
  <c r="J25" i="120" s="1"/>
  <c r="Q44" i="130"/>
  <c r="R16" i="179" l="1"/>
  <c r="J16" i="179"/>
  <c r="P16" i="179" s="1"/>
  <c r="R17" i="193"/>
  <c r="F17" i="194" s="1"/>
  <c r="J17" i="193"/>
  <c r="P17" i="193" s="1"/>
  <c r="J18" i="193"/>
  <c r="P18" i="193" s="1"/>
  <c r="R18" i="193"/>
  <c r="F36" i="201"/>
  <c r="R22" i="160"/>
  <c r="F22" i="161" s="1"/>
  <c r="J22" i="160"/>
  <c r="P22" i="160" s="1"/>
  <c r="J21" i="158"/>
  <c r="P21" i="158" s="1"/>
  <c r="R21" i="158"/>
  <c r="F21" i="159" s="1"/>
  <c r="M19" i="162"/>
  <c r="M63" i="162"/>
  <c r="N63" i="162" s="1"/>
  <c r="J13" i="154"/>
  <c r="F17" i="154"/>
  <c r="R13" i="154"/>
  <c r="O18" i="162"/>
  <c r="P17" i="153"/>
  <c r="H13" i="146"/>
  <c r="F28" i="154"/>
  <c r="R31" i="153"/>
  <c r="H12" i="146"/>
  <c r="R17" i="162"/>
  <c r="E16" i="146" s="1"/>
  <c r="F23" i="121"/>
  <c r="F25" i="121" s="1"/>
  <c r="R20" i="121"/>
  <c r="J20" i="121"/>
  <c r="J31" i="131"/>
  <c r="F16" i="180" l="1"/>
  <c r="F18" i="194"/>
  <c r="J18" i="194" s="1"/>
  <c r="P18" i="194" s="1"/>
  <c r="R17" i="194"/>
  <c r="F17" i="195" s="1"/>
  <c r="J17" i="194"/>
  <c r="P17" i="194" s="1"/>
  <c r="R36" i="201"/>
  <c r="J21" i="159"/>
  <c r="P21" i="159" s="1"/>
  <c r="R21" i="159"/>
  <c r="F21" i="160" s="1"/>
  <c r="J22" i="161"/>
  <c r="P22" i="161" s="1"/>
  <c r="R22" i="161"/>
  <c r="F26" i="171" s="1"/>
  <c r="F13" i="155"/>
  <c r="R17" i="154"/>
  <c r="L64" i="162"/>
  <c r="L20" i="162"/>
  <c r="P13" i="154"/>
  <c r="J17" i="154"/>
  <c r="N19" i="162"/>
  <c r="P18" i="162"/>
  <c r="R18" i="162" s="1"/>
  <c r="F16" i="146" s="1"/>
  <c r="S17" i="162"/>
  <c r="U17" i="162" s="1"/>
  <c r="F31" i="154"/>
  <c r="R28" i="154"/>
  <c r="J23" i="121"/>
  <c r="J25" i="121" s="1"/>
  <c r="P20" i="121"/>
  <c r="P23" i="121" s="1"/>
  <c r="P25" i="121" s="1"/>
  <c r="K25" i="131" s="1"/>
  <c r="K29" i="131" s="1"/>
  <c r="F20" i="122"/>
  <c r="R23" i="121"/>
  <c r="R25" i="121" s="1"/>
  <c r="K11" i="131"/>
  <c r="K14" i="131" s="1"/>
  <c r="K18" i="131" s="1"/>
  <c r="K22" i="131" s="1"/>
  <c r="R18" i="194" l="1"/>
  <c r="F18" i="195" s="1"/>
  <c r="R16" i="180"/>
  <c r="J16" i="180"/>
  <c r="P16" i="180" s="1"/>
  <c r="R17" i="195"/>
  <c r="F17" i="196" s="1"/>
  <c r="J17" i="195"/>
  <c r="P17" i="195" s="1"/>
  <c r="F36" i="202"/>
  <c r="J26" i="171"/>
  <c r="P26" i="171" s="1"/>
  <c r="R26" i="171"/>
  <c r="F26" i="172" s="1"/>
  <c r="R21" i="160"/>
  <c r="F21" i="161" s="1"/>
  <c r="J21" i="160"/>
  <c r="P21" i="160" s="1"/>
  <c r="P17" i="154"/>
  <c r="I13" i="146"/>
  <c r="R13" i="155"/>
  <c r="J13" i="155"/>
  <c r="F17" i="155"/>
  <c r="O19" i="162"/>
  <c r="M20" i="162"/>
  <c r="M64" i="162"/>
  <c r="N64" i="162" s="1"/>
  <c r="R31" i="154"/>
  <c r="F28" i="155"/>
  <c r="I12" i="146"/>
  <c r="S18" i="162"/>
  <c r="U18" i="162" s="1"/>
  <c r="K31" i="131"/>
  <c r="F23" i="122"/>
  <c r="F25" i="122" s="1"/>
  <c r="R20" i="122"/>
  <c r="J20" i="122"/>
  <c r="J18" i="195" l="1"/>
  <c r="P18" i="195" s="1"/>
  <c r="R18" i="195"/>
  <c r="F18" i="196" s="1"/>
  <c r="F16" i="181"/>
  <c r="J17" i="196"/>
  <c r="P17" i="196" s="1"/>
  <c r="R17" i="196"/>
  <c r="F17" i="197" s="1"/>
  <c r="R36" i="202"/>
  <c r="J26" i="172"/>
  <c r="P26" i="172" s="1"/>
  <c r="R26" i="172"/>
  <c r="F26" i="173" s="1"/>
  <c r="J21" i="161"/>
  <c r="P21" i="161" s="1"/>
  <c r="R21" i="161"/>
  <c r="F25" i="171" s="1"/>
  <c r="N20" i="162"/>
  <c r="F13" i="156"/>
  <c r="R17" i="155"/>
  <c r="P19" i="162"/>
  <c r="R19" i="162" s="1"/>
  <c r="L21" i="162"/>
  <c r="L65" i="162"/>
  <c r="J17" i="155"/>
  <c r="P13" i="155"/>
  <c r="F31" i="155"/>
  <c r="R28" i="155"/>
  <c r="P20" i="122"/>
  <c r="P23" i="122" s="1"/>
  <c r="P25" i="122" s="1"/>
  <c r="L25" i="131" s="1"/>
  <c r="L29" i="131" s="1"/>
  <c r="J23" i="122"/>
  <c r="J25" i="122" s="1"/>
  <c r="F20" i="123"/>
  <c r="R23" i="122"/>
  <c r="R25" i="122" s="1"/>
  <c r="L11" i="131"/>
  <c r="L14" i="131" s="1"/>
  <c r="L18" i="131" s="1"/>
  <c r="L22" i="131" s="1"/>
  <c r="S19" i="162" l="1"/>
  <c r="U19" i="162" s="1"/>
  <c r="G16" i="146"/>
  <c r="J18" i="196"/>
  <c r="P18" i="196" s="1"/>
  <c r="R18" i="196"/>
  <c r="F18" i="197" s="1"/>
  <c r="J18" i="197" s="1"/>
  <c r="P18" i="197" s="1"/>
  <c r="J16" i="181"/>
  <c r="P16" i="181" s="1"/>
  <c r="R16" i="181"/>
  <c r="R17" i="197"/>
  <c r="F17" i="198" s="1"/>
  <c r="J17" i="197"/>
  <c r="P17" i="197" s="1"/>
  <c r="F36" i="203"/>
  <c r="J25" i="171"/>
  <c r="P25" i="171" s="1"/>
  <c r="R25" i="171"/>
  <c r="F25" i="172" s="1"/>
  <c r="J26" i="173"/>
  <c r="P26" i="173" s="1"/>
  <c r="R26" i="173"/>
  <c r="F26" i="174" s="1"/>
  <c r="P17" i="155"/>
  <c r="J13" i="146"/>
  <c r="M21" i="162"/>
  <c r="O20" i="162"/>
  <c r="J13" i="156"/>
  <c r="R13" i="156"/>
  <c r="F17" i="156"/>
  <c r="M65" i="162"/>
  <c r="N65" i="162" s="1"/>
  <c r="F28" i="156"/>
  <c r="J12" i="146"/>
  <c r="R31" i="155"/>
  <c r="L31" i="131"/>
  <c r="F23" i="123"/>
  <c r="F25" i="123" s="1"/>
  <c r="J20" i="123"/>
  <c r="R20" i="123"/>
  <c r="R18" i="197" l="1"/>
  <c r="F18" i="198" s="1"/>
  <c r="R18" i="198" s="1"/>
  <c r="F16" i="182"/>
  <c r="R17" i="198"/>
  <c r="J17" i="198"/>
  <c r="P17" i="198" s="1"/>
  <c r="R36" i="203"/>
  <c r="J26" i="174"/>
  <c r="P26" i="174" s="1"/>
  <c r="R26" i="174"/>
  <c r="F26" i="175" s="1"/>
  <c r="J25" i="172"/>
  <c r="P25" i="172" s="1"/>
  <c r="R25" i="172"/>
  <c r="F25" i="173" s="1"/>
  <c r="F13" i="157"/>
  <c r="R17" i="156"/>
  <c r="P13" i="156"/>
  <c r="J17" i="156"/>
  <c r="N21" i="162"/>
  <c r="P20" i="162"/>
  <c r="R20" i="162" s="1"/>
  <c r="H16" i="146" s="1"/>
  <c r="L22" i="162"/>
  <c r="M22" i="162" s="1"/>
  <c r="N22" i="162" s="1"/>
  <c r="L66" i="162"/>
  <c r="M66" i="162" s="1"/>
  <c r="R28" i="156"/>
  <c r="F31" i="156"/>
  <c r="P20" i="123"/>
  <c r="P23" i="123" s="1"/>
  <c r="P25" i="123" s="1"/>
  <c r="M25" i="131" s="1"/>
  <c r="M29" i="131" s="1"/>
  <c r="J23" i="123"/>
  <c r="J25" i="123" s="1"/>
  <c r="F20" i="124"/>
  <c r="R23" i="123"/>
  <c r="R25" i="123" s="1"/>
  <c r="M11" i="131"/>
  <c r="M14" i="131" s="1"/>
  <c r="M18" i="131" s="1"/>
  <c r="M22" i="131" s="1"/>
  <c r="J18" i="198" l="1"/>
  <c r="P18" i="198" s="1"/>
  <c r="J16" i="182"/>
  <c r="P16" i="182" s="1"/>
  <c r="R16" i="182"/>
  <c r="J18" i="199"/>
  <c r="P18" i="199" s="1"/>
  <c r="R17" i="199"/>
  <c r="F17" i="200" s="1"/>
  <c r="J17" i="199"/>
  <c r="P17" i="199" s="1"/>
  <c r="F36" i="204"/>
  <c r="J25" i="173"/>
  <c r="P25" i="173" s="1"/>
  <c r="R25" i="173"/>
  <c r="F25" i="174" s="1"/>
  <c r="J26" i="175"/>
  <c r="P26" i="175" s="1"/>
  <c r="R26" i="175"/>
  <c r="F26" i="176" s="1"/>
  <c r="N66" i="162"/>
  <c r="O22" i="162" s="1"/>
  <c r="P22" i="162" s="1"/>
  <c r="S20" i="162"/>
  <c r="U20" i="162" s="1"/>
  <c r="P17" i="156"/>
  <c r="K13" i="146"/>
  <c r="O21" i="162"/>
  <c r="R13" i="157"/>
  <c r="F17" i="157"/>
  <c r="J13" i="157"/>
  <c r="K12" i="146"/>
  <c r="F28" i="157"/>
  <c r="R31" i="156"/>
  <c r="M31" i="131"/>
  <c r="F23" i="124"/>
  <c r="F25" i="124" s="1"/>
  <c r="J20" i="124"/>
  <c r="R20" i="124"/>
  <c r="R18" i="199" l="1"/>
  <c r="F18" i="200" s="1"/>
  <c r="J18" i="200" s="1"/>
  <c r="P18" i="200" s="1"/>
  <c r="F16" i="193"/>
  <c r="J17" i="200"/>
  <c r="P17" i="200" s="1"/>
  <c r="R17" i="200"/>
  <c r="F17" i="201" s="1"/>
  <c r="R36" i="204"/>
  <c r="F36" i="221" s="1"/>
  <c r="R26" i="176"/>
  <c r="F26" i="177" s="1"/>
  <c r="J26" i="176"/>
  <c r="P26" i="176" s="1"/>
  <c r="R25" i="174"/>
  <c r="F25" i="175" s="1"/>
  <c r="J25" i="174"/>
  <c r="P25" i="174" s="1"/>
  <c r="L67" i="162"/>
  <c r="M67" i="162" s="1"/>
  <c r="L23" i="162"/>
  <c r="M23" i="162" s="1"/>
  <c r="N23" i="162" s="1"/>
  <c r="J17" i="157"/>
  <c r="P13" i="157"/>
  <c r="P21" i="162"/>
  <c r="R21" i="162" s="1"/>
  <c r="I16" i="146" s="1"/>
  <c r="F13" i="158"/>
  <c r="R17" i="157"/>
  <c r="R28" i="157"/>
  <c r="F31" i="157"/>
  <c r="F20" i="125"/>
  <c r="R23" i="124"/>
  <c r="R25" i="124" s="1"/>
  <c r="N11" i="131"/>
  <c r="N14" i="131" s="1"/>
  <c r="N18" i="131" s="1"/>
  <c r="N22" i="131" s="1"/>
  <c r="P20" i="124"/>
  <c r="P23" i="124" s="1"/>
  <c r="P25" i="124" s="1"/>
  <c r="N25" i="131" s="1"/>
  <c r="N29" i="131" s="1"/>
  <c r="J23" i="124"/>
  <c r="J25" i="124" s="1"/>
  <c r="R36" i="221" l="1"/>
  <c r="R18" i="200"/>
  <c r="R16" i="193"/>
  <c r="J16" i="193"/>
  <c r="P16" i="193" s="1"/>
  <c r="E13" i="190" s="1"/>
  <c r="F18" i="201"/>
  <c r="J17" i="201"/>
  <c r="P17" i="201" s="1"/>
  <c r="R17" i="201"/>
  <c r="F17" i="202" s="1"/>
  <c r="J25" i="175"/>
  <c r="P25" i="175" s="1"/>
  <c r="R25" i="175"/>
  <c r="F25" i="176" s="1"/>
  <c r="R26" i="177"/>
  <c r="F26" i="178" s="1"/>
  <c r="J26" i="177"/>
  <c r="P26" i="177" s="1"/>
  <c r="N67" i="162"/>
  <c r="O23" i="162" s="1"/>
  <c r="P23" i="162" s="1"/>
  <c r="R13" i="158"/>
  <c r="F17" i="158"/>
  <c r="J13" i="158"/>
  <c r="R22" i="162"/>
  <c r="J16" i="146" s="1"/>
  <c r="S21" i="162"/>
  <c r="U21" i="162" s="1"/>
  <c r="P17" i="157"/>
  <c r="L13" i="146"/>
  <c r="F28" i="158"/>
  <c r="R31" i="157"/>
  <c r="L12" i="146"/>
  <c r="N31" i="131"/>
  <c r="R20" i="125"/>
  <c r="F23" i="125"/>
  <c r="F25" i="125" s="1"/>
  <c r="J20" i="125"/>
  <c r="R18" i="201" l="1"/>
  <c r="F18" i="202" s="1"/>
  <c r="J18" i="201"/>
  <c r="P18" i="201" s="1"/>
  <c r="F36" i="222"/>
  <c r="F16" i="194"/>
  <c r="J17" i="202"/>
  <c r="P17" i="202" s="1"/>
  <c r="R17" i="202"/>
  <c r="F17" i="203" s="1"/>
  <c r="J26" i="178"/>
  <c r="P26" i="178" s="1"/>
  <c r="R26" i="178"/>
  <c r="F26" i="179" s="1"/>
  <c r="R25" i="176"/>
  <c r="F25" i="177" s="1"/>
  <c r="J25" i="176"/>
  <c r="P25" i="176" s="1"/>
  <c r="J17" i="158"/>
  <c r="P13" i="158"/>
  <c r="L24" i="162"/>
  <c r="M24" i="162" s="1"/>
  <c r="N24" i="162" s="1"/>
  <c r="L68" i="162"/>
  <c r="M68" i="162" s="1"/>
  <c r="R17" i="158"/>
  <c r="F13" i="159"/>
  <c r="S22" i="162"/>
  <c r="U22" i="162" s="1"/>
  <c r="R23" i="162"/>
  <c r="K16" i="146" s="1"/>
  <c r="F31" i="158"/>
  <c r="R28" i="158"/>
  <c r="R23" i="125"/>
  <c r="R25" i="125" s="1"/>
  <c r="F20" i="126"/>
  <c r="O11" i="131"/>
  <c r="O14" i="131" s="1"/>
  <c r="O18" i="131" s="1"/>
  <c r="O22" i="131" s="1"/>
  <c r="J23" i="125"/>
  <c r="J25" i="125" s="1"/>
  <c r="P20" i="125"/>
  <c r="P23" i="125" s="1"/>
  <c r="P25" i="125" s="1"/>
  <c r="O25" i="131" s="1"/>
  <c r="O29" i="131" s="1"/>
  <c r="R18" i="202" l="1"/>
  <c r="J18" i="202"/>
  <c r="P18" i="202" s="1"/>
  <c r="R36" i="222"/>
  <c r="J16" i="194"/>
  <c r="P16" i="194" s="1"/>
  <c r="F13" i="190" s="1"/>
  <c r="R16" i="194"/>
  <c r="F18" i="203"/>
  <c r="J18" i="203" s="1"/>
  <c r="P18" i="203" s="1"/>
  <c r="J17" i="203"/>
  <c r="P17" i="203" s="1"/>
  <c r="R17" i="203"/>
  <c r="F17" i="204" s="1"/>
  <c r="J25" i="177"/>
  <c r="P25" i="177" s="1"/>
  <c r="R25" i="177"/>
  <c r="F25" i="178" s="1"/>
  <c r="R26" i="179"/>
  <c r="F26" i="180" s="1"/>
  <c r="J26" i="179"/>
  <c r="P26" i="179" s="1"/>
  <c r="N68" i="162"/>
  <c r="O24" i="162" s="1"/>
  <c r="S23" i="162"/>
  <c r="U23" i="162" s="1"/>
  <c r="P17" i="158"/>
  <c r="M13" i="146"/>
  <c r="F17" i="159"/>
  <c r="J13" i="159"/>
  <c r="R13" i="159"/>
  <c r="F28" i="159"/>
  <c r="M12" i="146"/>
  <c r="R31" i="158"/>
  <c r="O31" i="131"/>
  <c r="R20" i="126"/>
  <c r="F20" i="150" s="1"/>
  <c r="F23" i="126"/>
  <c r="F25" i="126" s="1"/>
  <c r="J20" i="126"/>
  <c r="F36" i="223" l="1"/>
  <c r="R18" i="203"/>
  <c r="F18" i="204" s="1"/>
  <c r="R18" i="204" s="1"/>
  <c r="F18" i="221" s="1"/>
  <c r="J18" i="221" s="1"/>
  <c r="F16" i="195"/>
  <c r="J17" i="204"/>
  <c r="P17" i="204" s="1"/>
  <c r="R17" i="204"/>
  <c r="F17" i="221" s="1"/>
  <c r="R26" i="180"/>
  <c r="F26" i="181" s="1"/>
  <c r="J26" i="180"/>
  <c r="P26" i="180" s="1"/>
  <c r="J25" i="178"/>
  <c r="P25" i="178" s="1"/>
  <c r="R25" i="178"/>
  <c r="F25" i="179" s="1"/>
  <c r="R20" i="150"/>
  <c r="J20" i="150"/>
  <c r="F23" i="150"/>
  <c r="F25" i="150" s="1"/>
  <c r="P24" i="162"/>
  <c r="R24" i="162" s="1"/>
  <c r="R17" i="159"/>
  <c r="F13" i="160"/>
  <c r="L25" i="162"/>
  <c r="M25" i="162" s="1"/>
  <c r="N25" i="162" s="1"/>
  <c r="L69" i="162"/>
  <c r="M69" i="162" s="1"/>
  <c r="J17" i="159"/>
  <c r="P13" i="159"/>
  <c r="F31" i="159"/>
  <c r="R28" i="159"/>
  <c r="R23" i="126"/>
  <c r="R25" i="126" s="1"/>
  <c r="P11" i="131"/>
  <c r="P20" i="126"/>
  <c r="P23" i="126" s="1"/>
  <c r="P25" i="126" s="1"/>
  <c r="P25" i="131" s="1"/>
  <c r="J23" i="126"/>
  <c r="J25" i="126" s="1"/>
  <c r="R17" i="221" l="1"/>
  <c r="F17" i="222" s="1"/>
  <c r="J17" i="221"/>
  <c r="P17" i="221" s="1"/>
  <c r="R36" i="223"/>
  <c r="R18" i="221"/>
  <c r="S24" i="162"/>
  <c r="U24" i="162" s="1"/>
  <c r="L16" i="146"/>
  <c r="J16" i="195"/>
  <c r="P16" i="195" s="1"/>
  <c r="G13" i="190" s="1"/>
  <c r="R16" i="195"/>
  <c r="J18" i="204"/>
  <c r="P18" i="204" s="1"/>
  <c r="J25" i="179"/>
  <c r="P25" i="179" s="1"/>
  <c r="R25" i="179"/>
  <c r="F25" i="180" s="1"/>
  <c r="J26" i="181"/>
  <c r="P26" i="181" s="1"/>
  <c r="R26" i="181"/>
  <c r="F26" i="182" s="1"/>
  <c r="J23" i="150"/>
  <c r="J25" i="150" s="1"/>
  <c r="P20" i="150"/>
  <c r="P23" i="150" s="1"/>
  <c r="P25" i="150" s="1"/>
  <c r="E25" i="146" s="1"/>
  <c r="E29" i="146" s="1"/>
  <c r="D25" i="146"/>
  <c r="D29" i="146" s="1"/>
  <c r="Q25" i="131"/>
  <c r="Q29" i="131" s="1"/>
  <c r="F20" i="151"/>
  <c r="R23" i="150"/>
  <c r="R25" i="150" s="1"/>
  <c r="E11" i="146"/>
  <c r="E14" i="146" s="1"/>
  <c r="E18" i="146" s="1"/>
  <c r="E22" i="146" s="1"/>
  <c r="N69" i="162"/>
  <c r="O25" i="162" s="1"/>
  <c r="P17" i="159"/>
  <c r="N13" i="146"/>
  <c r="J13" i="160"/>
  <c r="F17" i="160"/>
  <c r="R13" i="160"/>
  <c r="P14" i="131"/>
  <c r="P18" i="131" s="1"/>
  <c r="P22" i="131" s="1"/>
  <c r="D11" i="146"/>
  <c r="R31" i="159"/>
  <c r="N12" i="146"/>
  <c r="F28" i="160"/>
  <c r="Q11" i="131"/>
  <c r="Q14" i="131" s="1"/>
  <c r="P29" i="131"/>
  <c r="R17" i="222" l="1"/>
  <c r="F17" i="223" s="1"/>
  <c r="J17" i="222"/>
  <c r="P17" i="222" s="1"/>
  <c r="F36" i="224"/>
  <c r="P18" i="221"/>
  <c r="F18" i="222"/>
  <c r="J18" i="222" s="1"/>
  <c r="F16" i="196"/>
  <c r="J26" i="182"/>
  <c r="P26" i="182" s="1"/>
  <c r="R26" i="182"/>
  <c r="F26" i="193" s="1"/>
  <c r="J25" i="180"/>
  <c r="P25" i="180" s="1"/>
  <c r="R25" i="180"/>
  <c r="F25" i="181" s="1"/>
  <c r="Q18" i="131"/>
  <c r="Q22" i="131" s="1"/>
  <c r="Q31" i="131" s="1"/>
  <c r="E31" i="146"/>
  <c r="R20" i="151"/>
  <c r="F23" i="151"/>
  <c r="F25" i="151" s="1"/>
  <c r="J20" i="151"/>
  <c r="P25" i="162"/>
  <c r="R25" i="162" s="1"/>
  <c r="P31" i="131"/>
  <c r="R17" i="160"/>
  <c r="F13" i="161"/>
  <c r="J17" i="160"/>
  <c r="P13" i="160"/>
  <c r="L70" i="162"/>
  <c r="M70" i="162" s="1"/>
  <c r="L26" i="162"/>
  <c r="M26" i="162" s="1"/>
  <c r="N26" i="162" s="1"/>
  <c r="D14" i="146"/>
  <c r="D18" i="146" s="1"/>
  <c r="D22" i="146" s="1"/>
  <c r="D31" i="146" s="1"/>
  <c r="R28" i="160"/>
  <c r="F31" i="160"/>
  <c r="R17" i="223" l="1"/>
  <c r="F17" i="224" s="1"/>
  <c r="J17" i="223"/>
  <c r="P17" i="223" s="1"/>
  <c r="R36" i="224"/>
  <c r="R18" i="222"/>
  <c r="S25" i="162"/>
  <c r="U25" i="162" s="1"/>
  <c r="M16" i="146"/>
  <c r="J16" i="196"/>
  <c r="P16" i="196" s="1"/>
  <c r="H13" i="190" s="1"/>
  <c r="R16" i="196"/>
  <c r="R26" i="193"/>
  <c r="F26" i="194" s="1"/>
  <c r="J26" i="193"/>
  <c r="P26" i="193" s="1"/>
  <c r="J25" i="181"/>
  <c r="P25" i="181" s="1"/>
  <c r="R25" i="181"/>
  <c r="F25" i="182" s="1"/>
  <c r="P20" i="151"/>
  <c r="P23" i="151" s="1"/>
  <c r="P25" i="151" s="1"/>
  <c r="F25" i="146" s="1"/>
  <c r="F29" i="146" s="1"/>
  <c r="J23" i="151"/>
  <c r="J25" i="151" s="1"/>
  <c r="F20" i="152"/>
  <c r="R23" i="151"/>
  <c r="R25" i="151" s="1"/>
  <c r="F11" i="146"/>
  <c r="F14" i="146" s="1"/>
  <c r="F18" i="146" s="1"/>
  <c r="F22" i="146" s="1"/>
  <c r="N70" i="162"/>
  <c r="O26" i="162" s="1"/>
  <c r="J13" i="161"/>
  <c r="F17" i="161"/>
  <c r="R13" i="161"/>
  <c r="F13" i="171" s="1"/>
  <c r="P17" i="160"/>
  <c r="O13" i="146"/>
  <c r="R31" i="160"/>
  <c r="F28" i="161"/>
  <c r="O12" i="146"/>
  <c r="R17" i="224" l="1"/>
  <c r="F17" i="225" s="1"/>
  <c r="J17" i="224"/>
  <c r="P17" i="224" s="1"/>
  <c r="F36" i="225"/>
  <c r="P18" i="222"/>
  <c r="F18" i="223"/>
  <c r="F16" i="197"/>
  <c r="J26" i="194"/>
  <c r="P26" i="194" s="1"/>
  <c r="R26" i="194"/>
  <c r="F26" i="195" s="1"/>
  <c r="J25" i="182"/>
  <c r="P25" i="182" s="1"/>
  <c r="R25" i="182"/>
  <c r="F25" i="193" s="1"/>
  <c r="J13" i="171"/>
  <c r="F19" i="171"/>
  <c r="R13" i="171"/>
  <c r="F23" i="152"/>
  <c r="F25" i="152" s="1"/>
  <c r="J20" i="152"/>
  <c r="R20" i="152"/>
  <c r="F31" i="146"/>
  <c r="P26" i="162"/>
  <c r="R26" i="162" s="1"/>
  <c r="L71" i="162"/>
  <c r="M71" i="162" s="1"/>
  <c r="L27" i="162"/>
  <c r="M27" i="162" s="1"/>
  <c r="N27" i="162" s="1"/>
  <c r="R17" i="161"/>
  <c r="J17" i="161"/>
  <c r="P13" i="161"/>
  <c r="P13" i="146" s="1"/>
  <c r="F31" i="161"/>
  <c r="R28" i="161"/>
  <c r="F33" i="171" s="1"/>
  <c r="F39" i="171" s="1"/>
  <c r="R17" i="225" l="1"/>
  <c r="F17" i="226" s="1"/>
  <c r="J17" i="225"/>
  <c r="P17" i="225" s="1"/>
  <c r="R36" i="225"/>
  <c r="R18" i="223"/>
  <c r="J18" i="223"/>
  <c r="S26" i="162"/>
  <c r="U26" i="162" s="1"/>
  <c r="N16" i="146"/>
  <c r="R16" i="197"/>
  <c r="J16" i="197"/>
  <c r="P16" i="197" s="1"/>
  <c r="I13" i="190" s="1"/>
  <c r="J26" i="195"/>
  <c r="P26" i="195" s="1"/>
  <c r="R26" i="195"/>
  <c r="F26" i="196" s="1"/>
  <c r="R25" i="193"/>
  <c r="F25" i="194" s="1"/>
  <c r="J25" i="193"/>
  <c r="P25" i="193" s="1"/>
  <c r="R19" i="171"/>
  <c r="V2" i="184"/>
  <c r="V5" i="184" s="1"/>
  <c r="R33" i="171"/>
  <c r="F13" i="172"/>
  <c r="P13" i="171"/>
  <c r="J19" i="171"/>
  <c r="R23" i="152"/>
  <c r="R25" i="152" s="1"/>
  <c r="F20" i="153"/>
  <c r="G11" i="146"/>
  <c r="J23" i="152"/>
  <c r="J25" i="152" s="1"/>
  <c r="P20" i="152"/>
  <c r="P23" i="152" s="1"/>
  <c r="P25" i="152" s="1"/>
  <c r="G25" i="146" s="1"/>
  <c r="G29" i="146" s="1"/>
  <c r="N71" i="162"/>
  <c r="O27" i="162" s="1"/>
  <c r="P17" i="161"/>
  <c r="R31" i="161"/>
  <c r="P12" i="146"/>
  <c r="D12" i="167" s="1"/>
  <c r="E12" i="167" s="1"/>
  <c r="F12" i="167" s="1"/>
  <c r="G12" i="167" s="1"/>
  <c r="H12" i="167" s="1"/>
  <c r="I12" i="167" s="1"/>
  <c r="J12" i="167" s="1"/>
  <c r="K12" i="167" s="1"/>
  <c r="L12" i="167" s="1"/>
  <c r="M12" i="167" s="1"/>
  <c r="N12" i="167" s="1"/>
  <c r="O12" i="167" s="1"/>
  <c r="P12" i="167" s="1"/>
  <c r="R17" i="226" l="1"/>
  <c r="F17" i="227" s="1"/>
  <c r="J17" i="226"/>
  <c r="P17" i="226" s="1"/>
  <c r="M12" i="190"/>
  <c r="F36" i="226"/>
  <c r="P18" i="223"/>
  <c r="F18" i="224"/>
  <c r="N17" i="183"/>
  <c r="N61" i="183" s="1"/>
  <c r="F16" i="198"/>
  <c r="J26" i="196"/>
  <c r="P26" i="196" s="1"/>
  <c r="R26" i="196"/>
  <c r="F26" i="197" s="1"/>
  <c r="J25" i="194"/>
  <c r="P25" i="194" s="1"/>
  <c r="R25" i="194"/>
  <c r="F25" i="195" s="1"/>
  <c r="R39" i="171"/>
  <c r="P19" i="171"/>
  <c r="F33" i="172"/>
  <c r="F39" i="172" s="1"/>
  <c r="F19" i="172"/>
  <c r="J13" i="172"/>
  <c r="R13" i="172"/>
  <c r="Q13" i="146"/>
  <c r="D13" i="167"/>
  <c r="E13" i="167" s="1"/>
  <c r="J20" i="153"/>
  <c r="F23" i="153"/>
  <c r="F25" i="153" s="1"/>
  <c r="R20" i="153"/>
  <c r="G14" i="146"/>
  <c r="G18" i="146" s="1"/>
  <c r="G22" i="146" s="1"/>
  <c r="G31" i="146" s="1"/>
  <c r="P27" i="162"/>
  <c r="R27" i="162" s="1"/>
  <c r="L72" i="162"/>
  <c r="L28" i="162"/>
  <c r="Q12" i="146"/>
  <c r="R17" i="227" l="1"/>
  <c r="F17" i="228" s="1"/>
  <c r="J17" i="227"/>
  <c r="P17" i="227" s="1"/>
  <c r="R36" i="226"/>
  <c r="R18" i="224"/>
  <c r="J18" i="224"/>
  <c r="S27" i="162"/>
  <c r="U27" i="162" s="1"/>
  <c r="O16" i="146"/>
  <c r="J16" i="198"/>
  <c r="P16" i="198" s="1"/>
  <c r="J13" i="190" s="1"/>
  <c r="K13" i="190" s="1"/>
  <c r="R16" i="198"/>
  <c r="J26" i="197"/>
  <c r="P26" i="197" s="1"/>
  <c r="R26" i="197"/>
  <c r="F26" i="198" s="1"/>
  <c r="J25" i="195"/>
  <c r="P25" i="195" s="1"/>
  <c r="R25" i="195"/>
  <c r="F25" i="196" s="1"/>
  <c r="R33" i="172"/>
  <c r="O17" i="183"/>
  <c r="R19" i="172"/>
  <c r="F13" i="173"/>
  <c r="J19" i="172"/>
  <c r="P13" i="172"/>
  <c r="N18" i="183" s="1"/>
  <c r="O61" i="183"/>
  <c r="R23" i="153"/>
  <c r="R25" i="153" s="1"/>
  <c r="F20" i="154"/>
  <c r="H11" i="146"/>
  <c r="J23" i="153"/>
  <c r="J25" i="153" s="1"/>
  <c r="P20" i="153"/>
  <c r="P23" i="153" s="1"/>
  <c r="P25" i="153" s="1"/>
  <c r="H25" i="146" s="1"/>
  <c r="H29" i="146" s="1"/>
  <c r="M28" i="162"/>
  <c r="L44" i="162"/>
  <c r="M72" i="162"/>
  <c r="N72" i="162" s="1"/>
  <c r="L88" i="162"/>
  <c r="R17" i="228" l="1"/>
  <c r="F17" i="229" s="1"/>
  <c r="J17" i="228"/>
  <c r="P17" i="228" s="1"/>
  <c r="F36" i="227"/>
  <c r="P18" i="224"/>
  <c r="F18" i="225"/>
  <c r="J26" i="198"/>
  <c r="P26" i="198" s="1"/>
  <c r="R26" i="198"/>
  <c r="R25" i="196"/>
  <c r="F25" i="197" s="1"/>
  <c r="J25" i="196"/>
  <c r="P25" i="196" s="1"/>
  <c r="N62" i="183"/>
  <c r="R39" i="172"/>
  <c r="P19" i="172"/>
  <c r="F33" i="173"/>
  <c r="F39" i="173" s="1"/>
  <c r="R13" i="173"/>
  <c r="J13" i="173"/>
  <c r="F19" i="173"/>
  <c r="P17" i="183"/>
  <c r="P61" i="183"/>
  <c r="H14" i="146"/>
  <c r="H18" i="146" s="1"/>
  <c r="H22" i="146" s="1"/>
  <c r="H31" i="146" s="1"/>
  <c r="F23" i="154"/>
  <c r="F25" i="154" s="1"/>
  <c r="R20" i="154"/>
  <c r="J20" i="154"/>
  <c r="M88" i="162"/>
  <c r="N28" i="162"/>
  <c r="M44" i="162"/>
  <c r="R17" i="229" l="1"/>
  <c r="F17" i="230" s="1"/>
  <c r="J17" i="229"/>
  <c r="P17" i="229" s="1"/>
  <c r="R36" i="227"/>
  <c r="J18" i="225"/>
  <c r="R18" i="225"/>
  <c r="J16" i="199"/>
  <c r="P16" i="199" s="1"/>
  <c r="R16" i="199"/>
  <c r="R26" i="199"/>
  <c r="F26" i="200" s="1"/>
  <c r="J26" i="199"/>
  <c r="P26" i="199" s="1"/>
  <c r="J25" i="197"/>
  <c r="P25" i="197" s="1"/>
  <c r="R25" i="197"/>
  <c r="F25" i="198" s="1"/>
  <c r="R33" i="173"/>
  <c r="O18" i="183"/>
  <c r="J19" i="173"/>
  <c r="P13" i="173"/>
  <c r="N19" i="183" s="1"/>
  <c r="O62" i="183"/>
  <c r="Q17" i="183"/>
  <c r="R19" i="173"/>
  <c r="F13" i="174"/>
  <c r="F20" i="155"/>
  <c r="R23" i="154"/>
  <c r="R25" i="154" s="1"/>
  <c r="I11" i="146"/>
  <c r="P20" i="154"/>
  <c r="P23" i="154" s="1"/>
  <c r="P25" i="154" s="1"/>
  <c r="I25" i="146" s="1"/>
  <c r="J23" i="154"/>
  <c r="J25" i="154" s="1"/>
  <c r="N44" i="162"/>
  <c r="O28" i="162"/>
  <c r="N88" i="162"/>
  <c r="R17" i="230" l="1"/>
  <c r="F17" i="231" s="1"/>
  <c r="J17" i="230"/>
  <c r="P17" i="230" s="1"/>
  <c r="F36" i="228"/>
  <c r="F18" i="226"/>
  <c r="P18" i="225"/>
  <c r="G13" i="167"/>
  <c r="F16" i="200"/>
  <c r="J26" i="200"/>
  <c r="P26" i="200" s="1"/>
  <c r="R26" i="200"/>
  <c r="F26" i="201" s="1"/>
  <c r="J25" i="198"/>
  <c r="P25" i="198" s="1"/>
  <c r="R25" i="198"/>
  <c r="N63" i="183"/>
  <c r="R39" i="173"/>
  <c r="P19" i="173"/>
  <c r="F33" i="174"/>
  <c r="F39" i="174" s="1"/>
  <c r="F19" i="174"/>
  <c r="J13" i="174"/>
  <c r="R13" i="174"/>
  <c r="P18" i="183"/>
  <c r="R17" i="183"/>
  <c r="P62" i="183"/>
  <c r="I29" i="146"/>
  <c r="I14" i="146"/>
  <c r="I18" i="146" s="1"/>
  <c r="I22" i="146" s="1"/>
  <c r="R20" i="155"/>
  <c r="J20" i="155"/>
  <c r="F23" i="155"/>
  <c r="F25" i="155" s="1"/>
  <c r="P28" i="162"/>
  <c r="P44" i="162" s="1"/>
  <c r="O44" i="162"/>
  <c r="R17" i="231" l="1"/>
  <c r="F17" i="232" s="1"/>
  <c r="J17" i="231"/>
  <c r="P17" i="231" s="1"/>
  <c r="R36" i="228"/>
  <c r="R18" i="226"/>
  <c r="J18" i="226"/>
  <c r="J16" i="200"/>
  <c r="P16" i="200" s="1"/>
  <c r="R16" i="200"/>
  <c r="J26" i="201"/>
  <c r="P26" i="201" s="1"/>
  <c r="R26" i="201"/>
  <c r="F26" i="202" s="1"/>
  <c r="R25" i="199"/>
  <c r="F25" i="200" s="1"/>
  <c r="J25" i="199"/>
  <c r="P25" i="199" s="1"/>
  <c r="R33" i="174"/>
  <c r="F13" i="175"/>
  <c r="R19" i="174"/>
  <c r="O19" i="183"/>
  <c r="P13" i="174"/>
  <c r="N20" i="183" s="1"/>
  <c r="J19" i="174"/>
  <c r="Q18" i="183"/>
  <c r="O63" i="183"/>
  <c r="I31" i="146"/>
  <c r="P20" i="155"/>
  <c r="P23" i="155" s="1"/>
  <c r="P25" i="155" s="1"/>
  <c r="J25" i="146" s="1"/>
  <c r="J23" i="155"/>
  <c r="J25" i="155" s="1"/>
  <c r="F20" i="156"/>
  <c r="R23" i="155"/>
  <c r="R25" i="155" s="1"/>
  <c r="J11" i="146"/>
  <c r="R28" i="162"/>
  <c r="P16" i="146" s="1"/>
  <c r="R17" i="232" l="1"/>
  <c r="F16" i="249" s="1"/>
  <c r="J17" i="232"/>
  <c r="P17" i="232" s="1"/>
  <c r="F36" i="229"/>
  <c r="P18" i="226"/>
  <c r="F18" i="227"/>
  <c r="D16" i="167"/>
  <c r="Q16" i="146"/>
  <c r="H13" i="167"/>
  <c r="F16" i="201"/>
  <c r="R26" i="202"/>
  <c r="F26" i="203" s="1"/>
  <c r="J26" i="202"/>
  <c r="P26" i="202" s="1"/>
  <c r="J25" i="200"/>
  <c r="P25" i="200" s="1"/>
  <c r="R25" i="200"/>
  <c r="F25" i="201" s="1"/>
  <c r="R39" i="174"/>
  <c r="N64" i="183"/>
  <c r="P19" i="174"/>
  <c r="S28" i="162"/>
  <c r="U28" i="162" s="1"/>
  <c r="T16" i="183"/>
  <c r="F33" i="175"/>
  <c r="F39" i="175" s="1"/>
  <c r="R18" i="183"/>
  <c r="P63" i="183"/>
  <c r="P19" i="183"/>
  <c r="J13" i="175"/>
  <c r="F19" i="175"/>
  <c r="R13" i="175"/>
  <c r="J14" i="146"/>
  <c r="J18" i="146" s="1"/>
  <c r="J22" i="146" s="1"/>
  <c r="F23" i="156"/>
  <c r="F25" i="156" s="1"/>
  <c r="J20" i="156"/>
  <c r="R20" i="156"/>
  <c r="J29" i="146"/>
  <c r="R44" i="162"/>
  <c r="R16" i="249" l="1"/>
  <c r="F16" i="250" s="1"/>
  <c r="J16" i="249"/>
  <c r="P16" i="249" s="1"/>
  <c r="R36" i="229"/>
  <c r="R18" i="227"/>
  <c r="J18" i="227"/>
  <c r="J16" i="201"/>
  <c r="P16" i="201" s="1"/>
  <c r="R16" i="201"/>
  <c r="R26" i="203"/>
  <c r="F26" i="204" s="1"/>
  <c r="J26" i="203"/>
  <c r="P26" i="203" s="1"/>
  <c r="J25" i="201"/>
  <c r="P25" i="201" s="1"/>
  <c r="R25" i="201"/>
  <c r="F25" i="202" s="1"/>
  <c r="W16" i="183"/>
  <c r="T17" i="183"/>
  <c r="R33" i="175"/>
  <c r="O64" i="183"/>
  <c r="F13" i="176"/>
  <c r="R19" i="175"/>
  <c r="Q19" i="183"/>
  <c r="P13" i="175"/>
  <c r="N21" i="183" s="1"/>
  <c r="J19" i="175"/>
  <c r="O20" i="183"/>
  <c r="R23" i="156"/>
  <c r="R25" i="156" s="1"/>
  <c r="F20" i="157"/>
  <c r="K11" i="146"/>
  <c r="J23" i="156"/>
  <c r="J25" i="156" s="1"/>
  <c r="P20" i="156"/>
  <c r="P23" i="156" s="1"/>
  <c r="P25" i="156" s="1"/>
  <c r="K25" i="146" s="1"/>
  <c r="J31" i="146"/>
  <c r="R16" i="250" l="1"/>
  <c r="F16" i="251" s="1"/>
  <c r="J16" i="250"/>
  <c r="P16" i="250" s="1"/>
  <c r="F36" i="230"/>
  <c r="P18" i="227"/>
  <c r="F18" i="228"/>
  <c r="I13" i="167"/>
  <c r="F16" i="202"/>
  <c r="J26" i="204"/>
  <c r="P26" i="204" s="1"/>
  <c r="R26" i="204"/>
  <c r="F26" i="221" s="1"/>
  <c r="R25" i="202"/>
  <c r="F25" i="203" s="1"/>
  <c r="J25" i="202"/>
  <c r="P25" i="202" s="1"/>
  <c r="U17" i="183"/>
  <c r="W17" i="183" s="1"/>
  <c r="E16" i="167"/>
  <c r="N65" i="183"/>
  <c r="R39" i="175"/>
  <c r="T18" i="183"/>
  <c r="F33" i="176"/>
  <c r="F39" i="176" s="1"/>
  <c r="P20" i="183"/>
  <c r="R19" i="183"/>
  <c r="P64" i="183"/>
  <c r="P19" i="175"/>
  <c r="F19" i="176"/>
  <c r="R13" i="176"/>
  <c r="J13" i="176"/>
  <c r="K29" i="146"/>
  <c r="K14" i="146"/>
  <c r="K18" i="146" s="1"/>
  <c r="K22" i="146" s="1"/>
  <c r="J20" i="157"/>
  <c r="R20" i="157"/>
  <c r="F23" i="157"/>
  <c r="F25" i="157" s="1"/>
  <c r="J16" i="251" l="1"/>
  <c r="P16" i="251" s="1"/>
  <c r="R16" i="251"/>
  <c r="F16" i="252" s="1"/>
  <c r="R26" i="221"/>
  <c r="F26" i="222" s="1"/>
  <c r="J26" i="221"/>
  <c r="P26" i="221" s="1"/>
  <c r="R36" i="230"/>
  <c r="R18" i="228"/>
  <c r="J18" i="228"/>
  <c r="R16" i="202"/>
  <c r="J16" i="202"/>
  <c r="P16" i="202" s="1"/>
  <c r="R25" i="203"/>
  <c r="F25" i="204" s="1"/>
  <c r="J25" i="203"/>
  <c r="P25" i="203" s="1"/>
  <c r="U18" i="183"/>
  <c r="W18" i="183" s="1"/>
  <c r="F16" i="167"/>
  <c r="T19" i="183"/>
  <c r="R33" i="176"/>
  <c r="Q20" i="183"/>
  <c r="P13" i="176"/>
  <c r="N22" i="183" s="1"/>
  <c r="J19" i="176"/>
  <c r="R19" i="176"/>
  <c r="F13" i="177"/>
  <c r="K31" i="146"/>
  <c r="R23" i="157"/>
  <c r="R25" i="157" s="1"/>
  <c r="F20" i="158"/>
  <c r="L11" i="146"/>
  <c r="L14" i="146" s="1"/>
  <c r="L18" i="146" s="1"/>
  <c r="L22" i="146" s="1"/>
  <c r="P20" i="157"/>
  <c r="P23" i="157" s="1"/>
  <c r="P25" i="157" s="1"/>
  <c r="L25" i="146" s="1"/>
  <c r="J23" i="157"/>
  <c r="J25" i="157" s="1"/>
  <c r="R16" i="252" l="1"/>
  <c r="F16" i="253" s="1"/>
  <c r="J16" i="252"/>
  <c r="P16" i="252" s="1"/>
  <c r="R26" i="222"/>
  <c r="F26" i="223" s="1"/>
  <c r="J26" i="222"/>
  <c r="P26" i="222" s="1"/>
  <c r="F36" i="231"/>
  <c r="P18" i="228"/>
  <c r="F18" i="229"/>
  <c r="J13" i="167"/>
  <c r="F16" i="203"/>
  <c r="J25" i="204"/>
  <c r="P25" i="204" s="1"/>
  <c r="R25" i="204"/>
  <c r="F25" i="221" s="1"/>
  <c r="U19" i="183"/>
  <c r="W19" i="183" s="1"/>
  <c r="G16" i="167"/>
  <c r="R39" i="176"/>
  <c r="N66" i="183"/>
  <c r="O66" i="183" s="1"/>
  <c r="P66" i="183" s="1"/>
  <c r="Q22" i="183" s="1"/>
  <c r="R22" i="183" s="1"/>
  <c r="P19" i="176"/>
  <c r="F33" i="177"/>
  <c r="F39" i="177" s="1"/>
  <c r="O21" i="183"/>
  <c r="F19" i="177"/>
  <c r="J13" i="177"/>
  <c r="R13" i="177"/>
  <c r="O65" i="183"/>
  <c r="R20" i="183"/>
  <c r="T20" i="183" s="1"/>
  <c r="H16" i="167" s="1"/>
  <c r="L29" i="146"/>
  <c r="L31" i="146" s="1"/>
  <c r="J20" i="158"/>
  <c r="F23" i="158"/>
  <c r="F25" i="158" s="1"/>
  <c r="R20" i="158"/>
  <c r="R16" i="253" l="1"/>
  <c r="F16" i="254" s="1"/>
  <c r="J16" i="253"/>
  <c r="P16" i="253" s="1"/>
  <c r="J25" i="221"/>
  <c r="P25" i="221" s="1"/>
  <c r="R25" i="221"/>
  <c r="R26" i="223"/>
  <c r="F26" i="224" s="1"/>
  <c r="J26" i="223"/>
  <c r="P26" i="223" s="1"/>
  <c r="R36" i="231"/>
  <c r="R18" i="229"/>
  <c r="J18" i="229"/>
  <c r="J16" i="203"/>
  <c r="P16" i="203" s="1"/>
  <c r="R16" i="203"/>
  <c r="O22" i="183"/>
  <c r="P22" i="183" s="1"/>
  <c r="R33" i="177"/>
  <c r="P13" i="177"/>
  <c r="N23" i="183" s="1"/>
  <c r="J19" i="177"/>
  <c r="R19" i="177"/>
  <c r="F13" i="178"/>
  <c r="U20" i="183"/>
  <c r="P65" i="183"/>
  <c r="P21" i="183"/>
  <c r="J23" i="158"/>
  <c r="J25" i="158" s="1"/>
  <c r="P20" i="158"/>
  <c r="P23" i="158" s="1"/>
  <c r="P25" i="158" s="1"/>
  <c r="M25" i="146" s="1"/>
  <c r="R23" i="158"/>
  <c r="R25" i="158" s="1"/>
  <c r="F20" i="159"/>
  <c r="M11" i="146"/>
  <c r="M14" i="146" s="1"/>
  <c r="M18" i="146" s="1"/>
  <c r="M22" i="146" s="1"/>
  <c r="R16" i="254" l="1"/>
  <c r="F16" i="255" s="1"/>
  <c r="J16" i="254"/>
  <c r="P16" i="254" s="1"/>
  <c r="F25" i="222"/>
  <c r="R26" i="224"/>
  <c r="F26" i="225" s="1"/>
  <c r="J26" i="224"/>
  <c r="P26" i="224" s="1"/>
  <c r="J25" i="222"/>
  <c r="P25" i="222" s="1"/>
  <c r="R25" i="222"/>
  <c r="F36" i="232"/>
  <c r="P18" i="229"/>
  <c r="F18" i="230"/>
  <c r="K13" i="167"/>
  <c r="F16" i="204"/>
  <c r="N67" i="183"/>
  <c r="O67" i="183" s="1"/>
  <c r="P67" i="183" s="1"/>
  <c r="Q23" i="183" s="1"/>
  <c r="R23" i="183" s="1"/>
  <c r="R39" i="177"/>
  <c r="P19" i="177"/>
  <c r="F33" i="178"/>
  <c r="F39" i="178" s="1"/>
  <c r="W20" i="183"/>
  <c r="Q21" i="183"/>
  <c r="R13" i="178"/>
  <c r="F19" i="178"/>
  <c r="J13" i="178"/>
  <c r="J20" i="159"/>
  <c r="F23" i="159"/>
  <c r="F25" i="159" s="1"/>
  <c r="R20" i="159"/>
  <c r="M29" i="146"/>
  <c r="M31" i="146" s="1"/>
  <c r="R16" i="255" l="1"/>
  <c r="F16" i="256" s="1"/>
  <c r="J16" i="255"/>
  <c r="P16" i="255" s="1"/>
  <c r="F25" i="223"/>
  <c r="J25" i="223" s="1"/>
  <c r="P25" i="223" s="1"/>
  <c r="R25" i="223"/>
  <c r="J26" i="225"/>
  <c r="P26" i="225" s="1"/>
  <c r="R26" i="225"/>
  <c r="F26" i="226" s="1"/>
  <c r="R36" i="232"/>
  <c r="F33" i="249" s="1"/>
  <c r="R18" i="230"/>
  <c r="J18" i="230"/>
  <c r="R16" i="204"/>
  <c r="F16" i="221" s="1"/>
  <c r="J16" i="204"/>
  <c r="P16" i="204" s="1"/>
  <c r="O23" i="183"/>
  <c r="P23" i="183" s="1"/>
  <c r="R33" i="178"/>
  <c r="J19" i="178"/>
  <c r="P13" i="178"/>
  <c r="F13" i="179"/>
  <c r="R19" i="178"/>
  <c r="R21" i="183"/>
  <c r="T21" i="183" s="1"/>
  <c r="I16" i="167" s="1"/>
  <c r="R23" i="159"/>
  <c r="R25" i="159" s="1"/>
  <c r="F20" i="160"/>
  <c r="N11" i="146"/>
  <c r="N14" i="146" s="1"/>
  <c r="N18" i="146" s="1"/>
  <c r="N22" i="146" s="1"/>
  <c r="J23" i="159"/>
  <c r="J25" i="159" s="1"/>
  <c r="P20" i="159"/>
  <c r="P23" i="159" s="1"/>
  <c r="P25" i="159" s="1"/>
  <c r="N25" i="146" s="1"/>
  <c r="N29" i="146" s="1"/>
  <c r="R16" i="256" l="1"/>
  <c r="F16" i="257" s="1"/>
  <c r="J16" i="256"/>
  <c r="P16" i="256" s="1"/>
  <c r="R33" i="249"/>
  <c r="F25" i="224"/>
  <c r="J25" i="224" s="1"/>
  <c r="P25" i="224" s="1"/>
  <c r="J26" i="226"/>
  <c r="P26" i="226" s="1"/>
  <c r="R26" i="226"/>
  <c r="F26" i="227" s="1"/>
  <c r="R16" i="221"/>
  <c r="J16" i="221"/>
  <c r="P18" i="230"/>
  <c r="F18" i="231"/>
  <c r="N24" i="183"/>
  <c r="N68" i="183" s="1"/>
  <c r="R39" i="178"/>
  <c r="F33" i="179"/>
  <c r="F39" i="179" s="1"/>
  <c r="J13" i="179"/>
  <c r="R13" i="179"/>
  <c r="F19" i="179"/>
  <c r="U21" i="183"/>
  <c r="T22" i="183"/>
  <c r="J16" i="167" s="1"/>
  <c r="P19" i="178"/>
  <c r="N31" i="146"/>
  <c r="F23" i="160"/>
  <c r="F25" i="160" s="1"/>
  <c r="R20" i="160"/>
  <c r="J20" i="160"/>
  <c r="R16" i="257" l="1"/>
  <c r="F16" i="258" s="1"/>
  <c r="J16" i="257"/>
  <c r="P16" i="257" s="1"/>
  <c r="R25" i="224"/>
  <c r="F33" i="250"/>
  <c r="R26" i="227"/>
  <c r="F26" i="228" s="1"/>
  <c r="J26" i="227"/>
  <c r="P26" i="227" s="1"/>
  <c r="P16" i="221"/>
  <c r="F16" i="222"/>
  <c r="J16" i="222" s="1"/>
  <c r="R18" i="231"/>
  <c r="J18" i="231"/>
  <c r="R33" i="179"/>
  <c r="W21" i="183"/>
  <c r="F13" i="180"/>
  <c r="R19" i="179"/>
  <c r="O24" i="183"/>
  <c r="P24" i="183" s="1"/>
  <c r="O68" i="183"/>
  <c r="P68" i="183" s="1"/>
  <c r="Q24" i="183" s="1"/>
  <c r="R24" i="183" s="1"/>
  <c r="J19" i="179"/>
  <c r="P13" i="179"/>
  <c r="N25" i="183" s="1"/>
  <c r="T23" i="183"/>
  <c r="U22" i="183"/>
  <c r="P20" i="160"/>
  <c r="P23" i="160" s="1"/>
  <c r="P25" i="160" s="1"/>
  <c r="O25" i="146" s="1"/>
  <c r="O29" i="146" s="1"/>
  <c r="J23" i="160"/>
  <c r="J25" i="160" s="1"/>
  <c r="F20" i="161"/>
  <c r="R23" i="160"/>
  <c r="R25" i="160" s="1"/>
  <c r="O11" i="146"/>
  <c r="O14" i="146" s="1"/>
  <c r="O18" i="146" s="1"/>
  <c r="O22" i="146" s="1"/>
  <c r="F25" i="225" l="1"/>
  <c r="J25" i="225" s="1"/>
  <c r="P25" i="225" s="1"/>
  <c r="R16" i="258"/>
  <c r="F16" i="259" s="1"/>
  <c r="J16" i="258"/>
  <c r="P16" i="258" s="1"/>
  <c r="R33" i="250"/>
  <c r="J26" i="228"/>
  <c r="P26" i="228" s="1"/>
  <c r="R26" i="228"/>
  <c r="F26" i="229" s="1"/>
  <c r="R16" i="222"/>
  <c r="P18" i="231"/>
  <c r="F18" i="232"/>
  <c r="M13" i="167"/>
  <c r="U23" i="183"/>
  <c r="K16" i="167"/>
  <c r="N69" i="183"/>
  <c r="O69" i="183" s="1"/>
  <c r="P69" i="183" s="1"/>
  <c r="Q25" i="183" s="1"/>
  <c r="R25" i="183" s="1"/>
  <c r="R39" i="179"/>
  <c r="P19" i="179"/>
  <c r="F33" i="180"/>
  <c r="F39" i="180" s="1"/>
  <c r="W22" i="183"/>
  <c r="T24" i="183"/>
  <c r="L16" i="167" s="1"/>
  <c r="J13" i="180"/>
  <c r="F19" i="180"/>
  <c r="R13" i="180"/>
  <c r="O31" i="146"/>
  <c r="F23" i="161"/>
  <c r="F25" i="161" s="1"/>
  <c r="J20" i="161"/>
  <c r="R20" i="161"/>
  <c r="F22" i="171" s="1"/>
  <c r="R25" i="225" l="1"/>
  <c r="F25" i="226" s="1"/>
  <c r="J25" i="226" s="1"/>
  <c r="P25" i="226" s="1"/>
  <c r="R16" i="259"/>
  <c r="F16" i="260" s="1"/>
  <c r="J16" i="259"/>
  <c r="P16" i="259" s="1"/>
  <c r="F33" i="251"/>
  <c r="R26" i="229"/>
  <c r="F26" i="230" s="1"/>
  <c r="J26" i="229"/>
  <c r="P26" i="229" s="1"/>
  <c r="F16" i="223"/>
  <c r="P16" i="222"/>
  <c r="J18" i="232"/>
  <c r="R18" i="232"/>
  <c r="W23" i="183"/>
  <c r="O25" i="183"/>
  <c r="P25" i="183" s="1"/>
  <c r="T25" i="183" s="1"/>
  <c r="M16" i="167" s="1"/>
  <c r="F28" i="171"/>
  <c r="F30" i="171" s="1"/>
  <c r="J22" i="171"/>
  <c r="R22" i="171"/>
  <c r="R33" i="180"/>
  <c r="F13" i="181"/>
  <c r="R19" i="180"/>
  <c r="U24" i="183"/>
  <c r="J19" i="180"/>
  <c r="P13" i="180"/>
  <c r="N26" i="183" s="1"/>
  <c r="R23" i="161"/>
  <c r="R25" i="161" s="1"/>
  <c r="P11" i="146"/>
  <c r="P20" i="161"/>
  <c r="P23" i="161" s="1"/>
  <c r="P25" i="161" s="1"/>
  <c r="P25" i="146" s="1"/>
  <c r="D25" i="167" s="1"/>
  <c r="D29" i="167" s="1"/>
  <c r="J23" i="161"/>
  <c r="J25" i="161" s="1"/>
  <c r="F17" i="249" l="1"/>
  <c r="R25" i="226"/>
  <c r="F25" i="227" s="1"/>
  <c r="R16" i="260"/>
  <c r="J16" i="260"/>
  <c r="P16" i="260" s="1"/>
  <c r="R17" i="249"/>
  <c r="F17" i="250" s="1"/>
  <c r="J17" i="249"/>
  <c r="P17" i="249" s="1"/>
  <c r="R33" i="251"/>
  <c r="J26" i="230"/>
  <c r="P26" i="230" s="1"/>
  <c r="R26" i="230"/>
  <c r="F26" i="231" s="1"/>
  <c r="R16" i="223"/>
  <c r="J16" i="223"/>
  <c r="P18" i="232"/>
  <c r="D11" i="167"/>
  <c r="D14" i="167" s="1"/>
  <c r="D18" i="167" s="1"/>
  <c r="D22" i="167" s="1"/>
  <c r="D31" i="167" s="1"/>
  <c r="N13" i="167"/>
  <c r="N70" i="183"/>
  <c r="R39" i="180"/>
  <c r="R28" i="171"/>
  <c r="R30" i="171" s="1"/>
  <c r="F22" i="172"/>
  <c r="P22" i="171"/>
  <c r="J28" i="171"/>
  <c r="J30" i="171" s="1"/>
  <c r="P19" i="180"/>
  <c r="F33" i="181"/>
  <c r="F39" i="181" s="1"/>
  <c r="W24" i="183"/>
  <c r="U25" i="183"/>
  <c r="F19" i="181"/>
  <c r="R13" i="181"/>
  <c r="J13" i="181"/>
  <c r="P29" i="146"/>
  <c r="Q25" i="146"/>
  <c r="Q29" i="146" s="1"/>
  <c r="P14" i="146"/>
  <c r="P18" i="146" s="1"/>
  <c r="P22" i="146" s="1"/>
  <c r="Q11" i="146"/>
  <c r="Q14" i="146" s="1"/>
  <c r="Q18" i="146" s="1"/>
  <c r="Q22" i="146" s="1"/>
  <c r="J25" i="227" l="1"/>
  <c r="P25" i="227" s="1"/>
  <c r="R25" i="227"/>
  <c r="F25" i="228" s="1"/>
  <c r="J25" i="228" s="1"/>
  <c r="P25" i="228" s="1"/>
  <c r="F33" i="252"/>
  <c r="J17" i="250"/>
  <c r="P17" i="250" s="1"/>
  <c r="R17" i="250"/>
  <c r="F17" i="251" s="1"/>
  <c r="E11" i="167"/>
  <c r="E41" i="167" s="1"/>
  <c r="R26" i="231"/>
  <c r="F26" i="232" s="1"/>
  <c r="J26" i="231"/>
  <c r="P26" i="231" s="1"/>
  <c r="F16" i="224"/>
  <c r="P16" i="223"/>
  <c r="F11" i="167"/>
  <c r="E25" i="167"/>
  <c r="E29" i="167" s="1"/>
  <c r="O26" i="183"/>
  <c r="P26" i="183" s="1"/>
  <c r="F28" i="172"/>
  <c r="F30" i="172" s="1"/>
  <c r="R22" i="172"/>
  <c r="J22" i="172"/>
  <c r="P28" i="171"/>
  <c r="P30" i="171" s="1"/>
  <c r="O70" i="183"/>
  <c r="P70" i="183" s="1"/>
  <c r="Q26" i="183" s="1"/>
  <c r="R26" i="183" s="1"/>
  <c r="R33" i="181"/>
  <c r="W25" i="183"/>
  <c r="P13" i="181"/>
  <c r="N27" i="183" s="1"/>
  <c r="J19" i="181"/>
  <c r="F13" i="182"/>
  <c r="R13" i="182" s="1"/>
  <c r="F13" i="193" s="1"/>
  <c r="R19" i="181"/>
  <c r="Q31" i="146"/>
  <c r="P31" i="146"/>
  <c r="R25" i="228" l="1"/>
  <c r="F25" i="229" s="1"/>
  <c r="J25" i="229" s="1"/>
  <c r="P25" i="229" s="1"/>
  <c r="R17" i="251"/>
  <c r="F17" i="252" s="1"/>
  <c r="J17" i="251"/>
  <c r="P17" i="251" s="1"/>
  <c r="R33" i="252"/>
  <c r="R26" i="232"/>
  <c r="F24" i="249" s="1"/>
  <c r="J26" i="232"/>
  <c r="P26" i="232" s="1"/>
  <c r="J16" i="224"/>
  <c r="R16" i="224"/>
  <c r="G11" i="167"/>
  <c r="F39" i="167"/>
  <c r="F41" i="167" s="1"/>
  <c r="O13" i="167"/>
  <c r="F19" i="193"/>
  <c r="J13" i="193"/>
  <c r="R13" i="193"/>
  <c r="J28" i="172"/>
  <c r="J30" i="172" s="1"/>
  <c r="P22" i="172"/>
  <c r="F25" i="167" s="1"/>
  <c r="R28" i="172"/>
  <c r="R30" i="172" s="1"/>
  <c r="F22" i="173"/>
  <c r="E14" i="167"/>
  <c r="E18" i="167" s="1"/>
  <c r="E22" i="167" s="1"/>
  <c r="E31" i="167" s="1"/>
  <c r="N71" i="183"/>
  <c r="O71" i="183" s="1"/>
  <c r="P71" i="183" s="1"/>
  <c r="Q27" i="183" s="1"/>
  <c r="R27" i="183" s="1"/>
  <c r="R39" i="181"/>
  <c r="T26" i="183"/>
  <c r="P19" i="181"/>
  <c r="F33" i="182"/>
  <c r="F39" i="182" s="1"/>
  <c r="J13" i="182"/>
  <c r="F19" i="182"/>
  <c r="R25" i="229" l="1"/>
  <c r="F25" i="230" s="1"/>
  <c r="J25" i="230" s="1"/>
  <c r="P25" i="230" s="1"/>
  <c r="R24" i="249"/>
  <c r="F24" i="250" s="1"/>
  <c r="J24" i="249"/>
  <c r="P24" i="249" s="1"/>
  <c r="F33" i="253"/>
  <c r="R17" i="252"/>
  <c r="F17" i="253" s="1"/>
  <c r="J17" i="252"/>
  <c r="P17" i="252" s="1"/>
  <c r="F16" i="225"/>
  <c r="P16" i="224"/>
  <c r="H11" i="167"/>
  <c r="G39" i="167"/>
  <c r="G41" i="167" s="1"/>
  <c r="U26" i="183"/>
  <c r="W26" i="183" s="1"/>
  <c r="N16" i="167"/>
  <c r="O27" i="183"/>
  <c r="P27" i="183" s="1"/>
  <c r="T27" i="183" s="1"/>
  <c r="F13" i="194"/>
  <c r="R19" i="193"/>
  <c r="J19" i="193"/>
  <c r="P13" i="193"/>
  <c r="F28" i="173"/>
  <c r="F30" i="173" s="1"/>
  <c r="R22" i="173"/>
  <c r="J22" i="173"/>
  <c r="P28" i="172"/>
  <c r="P30" i="172" s="1"/>
  <c r="F29" i="167"/>
  <c r="F14" i="167"/>
  <c r="F18" i="167" s="1"/>
  <c r="F22" i="167" s="1"/>
  <c r="R33" i="182"/>
  <c r="F33" i="193" s="1"/>
  <c r="R19" i="182"/>
  <c r="P13" i="182"/>
  <c r="J19" i="182"/>
  <c r="R25" i="230" l="1"/>
  <c r="F25" i="231" s="1"/>
  <c r="J25" i="231" s="1"/>
  <c r="P25" i="231" s="1"/>
  <c r="J24" i="250"/>
  <c r="P24" i="250" s="1"/>
  <c r="R24" i="250"/>
  <c r="F24" i="251" s="1"/>
  <c r="R17" i="253"/>
  <c r="F17" i="254" s="1"/>
  <c r="J17" i="253"/>
  <c r="P17" i="253" s="1"/>
  <c r="R33" i="253"/>
  <c r="R16" i="225"/>
  <c r="J16" i="225"/>
  <c r="I11" i="167"/>
  <c r="H39" i="167"/>
  <c r="H41" i="167" s="1"/>
  <c r="N28" i="183"/>
  <c r="N72" i="183" s="1"/>
  <c r="P13" i="167"/>
  <c r="O21" i="205"/>
  <c r="R33" i="193"/>
  <c r="F39" i="193"/>
  <c r="U27" i="183"/>
  <c r="W27" i="183" s="1"/>
  <c r="O16" i="167"/>
  <c r="F31" i="167"/>
  <c r="P19" i="193"/>
  <c r="R13" i="194"/>
  <c r="J13" i="194"/>
  <c r="F19" i="194"/>
  <c r="J28" i="173"/>
  <c r="J30" i="173" s="1"/>
  <c r="P22" i="173"/>
  <c r="G25" i="167" s="1"/>
  <c r="R28" i="173"/>
  <c r="R30" i="173" s="1"/>
  <c r="F22" i="174"/>
  <c r="R39" i="182"/>
  <c r="P19" i="182"/>
  <c r="V6" i="184"/>
  <c r="V7" i="184" s="1"/>
  <c r="R25" i="231" l="1"/>
  <c r="F25" i="232" s="1"/>
  <c r="R25" i="232" s="1"/>
  <c r="F23" i="249"/>
  <c r="J24" i="251"/>
  <c r="P24" i="251" s="1"/>
  <c r="R24" i="251"/>
  <c r="F24" i="252" s="1"/>
  <c r="F33" i="254"/>
  <c r="R17" i="254"/>
  <c r="F17" i="255" s="1"/>
  <c r="J17" i="254"/>
  <c r="P17" i="254" s="1"/>
  <c r="D13" i="190"/>
  <c r="P21" i="205"/>
  <c r="AA13" i="190"/>
  <c r="F16" i="226"/>
  <c r="P16" i="225"/>
  <c r="J11" i="167"/>
  <c r="I39" i="167"/>
  <c r="I41" i="167" s="1"/>
  <c r="F33" i="194"/>
  <c r="R39" i="193"/>
  <c r="O71" i="205"/>
  <c r="Q12" i="167"/>
  <c r="N12" i="190"/>
  <c r="P13" i="194"/>
  <c r="J19" i="194"/>
  <c r="F13" i="195"/>
  <c r="R19" i="194"/>
  <c r="G14" i="167"/>
  <c r="G18" i="167" s="1"/>
  <c r="G22" i="167" s="1"/>
  <c r="P28" i="173"/>
  <c r="P30" i="173" s="1"/>
  <c r="G29" i="167"/>
  <c r="F28" i="174"/>
  <c r="F30" i="174" s="1"/>
  <c r="J22" i="174"/>
  <c r="R22" i="174"/>
  <c r="O72" i="183"/>
  <c r="N88" i="183"/>
  <c r="O28" i="183"/>
  <c r="N44" i="183"/>
  <c r="J25" i="232" l="1"/>
  <c r="P25" i="232" s="1"/>
  <c r="J23" i="249"/>
  <c r="R23" i="249"/>
  <c r="J24" i="252"/>
  <c r="P24" i="252" s="1"/>
  <c r="R24" i="252"/>
  <c r="F24" i="253" s="1"/>
  <c r="R17" i="255"/>
  <c r="F17" i="256" s="1"/>
  <c r="J17" i="255"/>
  <c r="P17" i="255" s="1"/>
  <c r="R33" i="254"/>
  <c r="O22" i="205"/>
  <c r="P71" i="205"/>
  <c r="Q71" i="205" s="1"/>
  <c r="D14" i="190"/>
  <c r="J16" i="226"/>
  <c r="R16" i="226"/>
  <c r="O12" i="190"/>
  <c r="P12" i="190" s="1"/>
  <c r="Q12" i="190" s="1"/>
  <c r="R12" i="190" s="1"/>
  <c r="K11" i="167"/>
  <c r="J39" i="167"/>
  <c r="J41" i="167" s="1"/>
  <c r="R33" i="194"/>
  <c r="F39" i="194"/>
  <c r="F19" i="195"/>
  <c r="J13" i="195"/>
  <c r="R13" i="195"/>
  <c r="Q21" i="205"/>
  <c r="P19" i="194"/>
  <c r="R28" i="174"/>
  <c r="R30" i="174" s="1"/>
  <c r="F22" i="175"/>
  <c r="J28" i="174"/>
  <c r="J30" i="174" s="1"/>
  <c r="P22" i="174"/>
  <c r="H25" i="167" s="1"/>
  <c r="G31" i="167"/>
  <c r="P28" i="183"/>
  <c r="O44" i="183"/>
  <c r="P72" i="183"/>
  <c r="O88" i="183"/>
  <c r="F23" i="250" l="1"/>
  <c r="R24" i="253"/>
  <c r="F24" i="254" s="1"/>
  <c r="J24" i="253"/>
  <c r="P24" i="253" s="1"/>
  <c r="P23" i="249"/>
  <c r="F33" i="255"/>
  <c r="J17" i="256"/>
  <c r="P17" i="256" s="1"/>
  <c r="R17" i="256"/>
  <c r="F17" i="257" s="1"/>
  <c r="D12" i="217"/>
  <c r="E12" i="217" s="1"/>
  <c r="F12" i="217" s="1"/>
  <c r="G12" i="217" s="1"/>
  <c r="H12" i="217" s="1"/>
  <c r="I12" i="217" s="1"/>
  <c r="J12" i="217" s="1"/>
  <c r="K12" i="217" s="1"/>
  <c r="L12" i="217" s="1"/>
  <c r="M12" i="217" s="1"/>
  <c r="N12" i="217" s="1"/>
  <c r="O12" i="217" s="1"/>
  <c r="P12" i="217" s="1"/>
  <c r="D12" i="245" s="1"/>
  <c r="S12" i="190"/>
  <c r="F16" i="227"/>
  <c r="P16" i="226"/>
  <c r="L11" i="167"/>
  <c r="K39" i="167"/>
  <c r="K41" i="167" s="1"/>
  <c r="F33" i="195"/>
  <c r="R39" i="194"/>
  <c r="O72" i="205"/>
  <c r="P22" i="205"/>
  <c r="F13" i="196"/>
  <c r="R19" i="195"/>
  <c r="J19" i="195"/>
  <c r="P13" i="195"/>
  <c r="F28" i="175"/>
  <c r="F30" i="175" s="1"/>
  <c r="R22" i="175"/>
  <c r="J22" i="175"/>
  <c r="P28" i="174"/>
  <c r="P30" i="174" s="1"/>
  <c r="Q28" i="183"/>
  <c r="P88" i="183"/>
  <c r="P44" i="183"/>
  <c r="E12" i="245" l="1"/>
  <c r="F12" i="245" s="1"/>
  <c r="G12" i="245" s="1"/>
  <c r="H12" i="245" s="1"/>
  <c r="I12" i="245" s="1"/>
  <c r="J12" i="245" s="1"/>
  <c r="K12" i="245" s="1"/>
  <c r="L12" i="245" s="1"/>
  <c r="M12" i="245" s="1"/>
  <c r="N12" i="245" s="1"/>
  <c r="O12" i="245" s="1"/>
  <c r="P12" i="245" s="1"/>
  <c r="J24" i="254"/>
  <c r="P24" i="254" s="1"/>
  <c r="R24" i="254"/>
  <c r="F24" i="255" s="1"/>
  <c r="R23" i="250"/>
  <c r="J23" i="250"/>
  <c r="R17" i="257"/>
  <c r="F17" i="258" s="1"/>
  <c r="J17" i="257"/>
  <c r="P17" i="257" s="1"/>
  <c r="R33" i="255"/>
  <c r="O23" i="205"/>
  <c r="Q12" i="217"/>
  <c r="R16" i="227"/>
  <c r="J16" i="227"/>
  <c r="M11" i="167"/>
  <c r="L39" i="167"/>
  <c r="L41" i="167" s="1"/>
  <c r="R33" i="195"/>
  <c r="F39" i="195"/>
  <c r="Q22" i="205"/>
  <c r="P72" i="205"/>
  <c r="F19" i="196"/>
  <c r="R13" i="196"/>
  <c r="J13" i="196"/>
  <c r="P19" i="195"/>
  <c r="R21" i="205"/>
  <c r="R28" i="175"/>
  <c r="R30" i="175" s="1"/>
  <c r="F22" i="176"/>
  <c r="H29" i="167"/>
  <c r="J28" i="175"/>
  <c r="J30" i="175" s="1"/>
  <c r="P22" i="175"/>
  <c r="I25" i="167" s="1"/>
  <c r="H14" i="167"/>
  <c r="H18" i="167" s="1"/>
  <c r="H22" i="167" s="1"/>
  <c r="R28" i="183"/>
  <c r="Q44" i="183"/>
  <c r="D11" i="278" l="1"/>
  <c r="P23" i="250"/>
  <c r="F23" i="251"/>
  <c r="R24" i="255"/>
  <c r="F24" i="256" s="1"/>
  <c r="J24" i="255"/>
  <c r="P24" i="255" s="1"/>
  <c r="F33" i="256"/>
  <c r="Q12" i="245"/>
  <c r="J17" i="258"/>
  <c r="P17" i="258" s="1"/>
  <c r="R17" i="258"/>
  <c r="F17" i="259" s="1"/>
  <c r="P16" i="227"/>
  <c r="F16" i="228"/>
  <c r="N11" i="167"/>
  <c r="M39" i="167"/>
  <c r="M41" i="167" s="1"/>
  <c r="F33" i="196"/>
  <c r="R39" i="195"/>
  <c r="H31" i="167"/>
  <c r="S21" i="205"/>
  <c r="P13" i="196"/>
  <c r="J19" i="196"/>
  <c r="Q72" i="205"/>
  <c r="O73" i="205"/>
  <c r="P23" i="205"/>
  <c r="F13" i="197"/>
  <c r="R19" i="196"/>
  <c r="P28" i="175"/>
  <c r="P30" i="175" s="1"/>
  <c r="F28" i="176"/>
  <c r="F30" i="176" s="1"/>
  <c r="J22" i="176"/>
  <c r="R22" i="176"/>
  <c r="R44" i="183"/>
  <c r="T28" i="183"/>
  <c r="E11" i="278" l="1"/>
  <c r="F11" i="278" s="1"/>
  <c r="G11" i="278" s="1"/>
  <c r="H11" i="278" s="1"/>
  <c r="I11" i="278" s="1"/>
  <c r="J11" i="278" s="1"/>
  <c r="K11" i="278" s="1"/>
  <c r="L11" i="278" s="1"/>
  <c r="M11" i="278" s="1"/>
  <c r="N11" i="278" s="1"/>
  <c r="O11" i="278" s="1"/>
  <c r="P11" i="278" s="1"/>
  <c r="R24" i="256"/>
  <c r="F24" i="257" s="1"/>
  <c r="J24" i="256"/>
  <c r="P24" i="256" s="1"/>
  <c r="R23" i="251"/>
  <c r="J23" i="251"/>
  <c r="J17" i="259"/>
  <c r="P17" i="259" s="1"/>
  <c r="R17" i="259"/>
  <c r="F17" i="260" s="1"/>
  <c r="R33" i="256"/>
  <c r="O24" i="205"/>
  <c r="J16" i="228"/>
  <c r="R16" i="228"/>
  <c r="O11" i="167"/>
  <c r="N39" i="167"/>
  <c r="N41" i="167" s="1"/>
  <c r="R33" i="196"/>
  <c r="F39" i="196"/>
  <c r="P16" i="167"/>
  <c r="V20" i="205"/>
  <c r="P73" i="205"/>
  <c r="P19" i="196"/>
  <c r="F19" i="197"/>
  <c r="J13" i="197"/>
  <c r="R13" i="197"/>
  <c r="Q23" i="205"/>
  <c r="R22" i="205"/>
  <c r="J28" i="176"/>
  <c r="J30" i="176" s="1"/>
  <c r="P22" i="176"/>
  <c r="J25" i="167" s="1"/>
  <c r="I14" i="167"/>
  <c r="I18" i="167" s="1"/>
  <c r="I22" i="167" s="1"/>
  <c r="I29" i="167"/>
  <c r="R28" i="176"/>
  <c r="R30" i="176" s="1"/>
  <c r="F22" i="177"/>
  <c r="U28" i="183"/>
  <c r="T44" i="183"/>
  <c r="Q11" i="278" l="1"/>
  <c r="F23" i="252"/>
  <c r="P23" i="251"/>
  <c r="R24" i="257"/>
  <c r="F24" i="258" s="1"/>
  <c r="J24" i="257"/>
  <c r="P24" i="257" s="1"/>
  <c r="F33" i="257"/>
  <c r="R17" i="260"/>
  <c r="E8" i="280" s="1"/>
  <c r="F8" i="280" s="1"/>
  <c r="G8" i="280" s="1"/>
  <c r="H8" i="280" s="1"/>
  <c r="I8" i="280" s="1"/>
  <c r="J8" i="280" s="1"/>
  <c r="K8" i="280" s="1"/>
  <c r="L8" i="280" s="1"/>
  <c r="M8" i="280" s="1"/>
  <c r="N8" i="280" s="1"/>
  <c r="O8" i="280" s="1"/>
  <c r="P8" i="280" s="1"/>
  <c r="Q8" i="280" s="1"/>
  <c r="J17" i="260"/>
  <c r="P17" i="260" s="1"/>
  <c r="D16" i="190"/>
  <c r="D18" i="190" s="1"/>
  <c r="D22" i="190" s="1"/>
  <c r="F16" i="229"/>
  <c r="P16" i="228"/>
  <c r="P11" i="167"/>
  <c r="O39" i="167"/>
  <c r="O41" i="167" s="1"/>
  <c r="Q16" i="167"/>
  <c r="F33" i="197"/>
  <c r="R39" i="196"/>
  <c r="I31" i="167"/>
  <c r="S22" i="205"/>
  <c r="F13" i="198"/>
  <c r="R19" i="197"/>
  <c r="Q73" i="205"/>
  <c r="O74" i="205"/>
  <c r="P24" i="205"/>
  <c r="J19" i="197"/>
  <c r="P13" i="197"/>
  <c r="P28" i="176"/>
  <c r="P30" i="176" s="1"/>
  <c r="F28" i="177"/>
  <c r="F30" i="177" s="1"/>
  <c r="R22" i="177"/>
  <c r="J22" i="177"/>
  <c r="W28" i="183"/>
  <c r="J24" i="258" l="1"/>
  <c r="P24" i="258" s="1"/>
  <c r="R24" i="258"/>
  <c r="F24" i="259" s="1"/>
  <c r="R23" i="252"/>
  <c r="J23" i="252"/>
  <c r="R33" i="257"/>
  <c r="O25" i="205"/>
  <c r="AA16" i="190"/>
  <c r="R16" i="229"/>
  <c r="J16" i="229"/>
  <c r="P39" i="167"/>
  <c r="P41" i="167" s="1"/>
  <c r="Q11" i="167"/>
  <c r="R33" i="197"/>
  <c r="F39" i="197"/>
  <c r="R13" i="198"/>
  <c r="J13" i="198"/>
  <c r="F19" i="198"/>
  <c r="R23" i="205"/>
  <c r="P19" i="197"/>
  <c r="P74" i="205"/>
  <c r="Q24" i="205"/>
  <c r="J14" i="167"/>
  <c r="J18" i="167" s="1"/>
  <c r="J22" i="167" s="1"/>
  <c r="J29" i="167"/>
  <c r="R28" i="177"/>
  <c r="R30" i="177" s="1"/>
  <c r="F22" i="178"/>
  <c r="J28" i="177"/>
  <c r="J30" i="177" s="1"/>
  <c r="P22" i="177"/>
  <c r="K25" i="167" s="1"/>
  <c r="F23" i="253" l="1"/>
  <c r="P23" i="252"/>
  <c r="R24" i="259"/>
  <c r="F24" i="260" s="1"/>
  <c r="J24" i="259"/>
  <c r="P24" i="259" s="1"/>
  <c r="F33" i="258"/>
  <c r="F16" i="230"/>
  <c r="P16" i="229"/>
  <c r="M11" i="190"/>
  <c r="F33" i="198"/>
  <c r="R39" i="197"/>
  <c r="V21" i="205"/>
  <c r="Y20" i="205"/>
  <c r="O75" i="205"/>
  <c r="P25" i="205"/>
  <c r="S23" i="205"/>
  <c r="P13" i="198"/>
  <c r="J19" i="198"/>
  <c r="Q74" i="205"/>
  <c r="R19" i="198"/>
  <c r="F28" i="178"/>
  <c r="F30" i="178" s="1"/>
  <c r="R22" i="178"/>
  <c r="J22" i="178"/>
  <c r="J31" i="167"/>
  <c r="P28" i="177"/>
  <c r="P30" i="177" s="1"/>
  <c r="R24" i="260" l="1"/>
  <c r="J24" i="260"/>
  <c r="P24" i="260" s="1"/>
  <c r="R23" i="253"/>
  <c r="J23" i="253"/>
  <c r="R33" i="258"/>
  <c r="O26" i="205"/>
  <c r="O27" i="205" s="1"/>
  <c r="P27" i="205" s="1"/>
  <c r="Q27" i="205" s="1"/>
  <c r="E16" i="190"/>
  <c r="I40" i="192"/>
  <c r="M27" i="190" s="1"/>
  <c r="R16" i="230"/>
  <c r="J16" i="230"/>
  <c r="J40" i="192"/>
  <c r="N27" i="190" s="1"/>
  <c r="R33" i="198"/>
  <c r="F39" i="198"/>
  <c r="W21" i="205"/>
  <c r="Y21" i="205" s="1"/>
  <c r="V22" i="205"/>
  <c r="P19" i="198"/>
  <c r="R24" i="205"/>
  <c r="Q25" i="205"/>
  <c r="K29" i="167"/>
  <c r="F19" i="199"/>
  <c r="J13" i="199"/>
  <c r="R13" i="199"/>
  <c r="P75" i="205"/>
  <c r="R28" i="178"/>
  <c r="R30" i="178" s="1"/>
  <c r="F22" i="179"/>
  <c r="J28" i="178"/>
  <c r="J30" i="178" s="1"/>
  <c r="P22" i="178"/>
  <c r="L25" i="167" s="1"/>
  <c r="K14" i="167"/>
  <c r="K18" i="167" s="1"/>
  <c r="K22" i="167" s="1"/>
  <c r="F23" i="254" l="1"/>
  <c r="P23" i="253"/>
  <c r="F33" i="259"/>
  <c r="V23" i="205"/>
  <c r="W22" i="205"/>
  <c r="Y22" i="205" s="1"/>
  <c r="F16" i="190"/>
  <c r="P16" i="230"/>
  <c r="F16" i="231"/>
  <c r="L14" i="167"/>
  <c r="L18" i="167" s="1"/>
  <c r="L22" i="167" s="1"/>
  <c r="R39" i="198"/>
  <c r="K31" i="167"/>
  <c r="F13" i="200"/>
  <c r="R19" i="199"/>
  <c r="P13" i="199"/>
  <c r="J19" i="199"/>
  <c r="S24" i="205"/>
  <c r="Q75" i="205"/>
  <c r="O76" i="205"/>
  <c r="O77" i="205" s="1"/>
  <c r="P77" i="205" s="1"/>
  <c r="Q77" i="205" s="1"/>
  <c r="R27" i="205" s="1"/>
  <c r="P26" i="205"/>
  <c r="Q26" i="205" s="1"/>
  <c r="P28" i="178"/>
  <c r="P30" i="178" s="1"/>
  <c r="F28" i="179"/>
  <c r="F30" i="179" s="1"/>
  <c r="J22" i="179"/>
  <c r="R22" i="179"/>
  <c r="R23" i="254" l="1"/>
  <c r="J23" i="254"/>
  <c r="R33" i="259"/>
  <c r="O28" i="205"/>
  <c r="W23" i="205"/>
  <c r="Y23" i="205" s="1"/>
  <c r="G16" i="190"/>
  <c r="K40" i="192"/>
  <c r="O27" i="190" s="1"/>
  <c r="R16" i="231"/>
  <c r="J16" i="231"/>
  <c r="L40" i="192"/>
  <c r="R33" i="199"/>
  <c r="F39" i="199"/>
  <c r="V24" i="205"/>
  <c r="P76" i="205"/>
  <c r="Q76" i="205" s="1"/>
  <c r="R26" i="205" s="1"/>
  <c r="S26" i="205" s="1"/>
  <c r="P19" i="199"/>
  <c r="R25" i="205"/>
  <c r="F19" i="200"/>
  <c r="R13" i="200"/>
  <c r="J13" i="200"/>
  <c r="L29" i="167"/>
  <c r="L31" i="167" s="1"/>
  <c r="R28" i="179"/>
  <c r="R30" i="179" s="1"/>
  <c r="F22" i="180"/>
  <c r="J28" i="179"/>
  <c r="J30" i="179" s="1"/>
  <c r="P22" i="179"/>
  <c r="M25" i="167" s="1"/>
  <c r="F23" i="255" l="1"/>
  <c r="P23" i="254"/>
  <c r="F33" i="260"/>
  <c r="W24" i="205"/>
  <c r="H16" i="190"/>
  <c r="P16" i="231"/>
  <c r="F16" i="232"/>
  <c r="P27" i="190"/>
  <c r="M40" i="192"/>
  <c r="Q27" i="190" s="1"/>
  <c r="F33" i="200"/>
  <c r="R39" i="199"/>
  <c r="Y24" i="205"/>
  <c r="O78" i="205"/>
  <c r="P78" i="205" s="1"/>
  <c r="Q78" i="205" s="1"/>
  <c r="R28" i="205" s="1"/>
  <c r="P28" i="205"/>
  <c r="Q28" i="205" s="1"/>
  <c r="J19" i="200"/>
  <c r="P13" i="200"/>
  <c r="S25" i="205"/>
  <c r="V25" i="205" s="1"/>
  <c r="F13" i="201"/>
  <c r="R19" i="200"/>
  <c r="F28" i="180"/>
  <c r="F30" i="180" s="1"/>
  <c r="J22" i="180"/>
  <c r="R22" i="180"/>
  <c r="P28" i="179"/>
  <c r="P30" i="179" s="1"/>
  <c r="R23" i="255" l="1"/>
  <c r="J23" i="255"/>
  <c r="R33" i="260"/>
  <c r="O29" i="205"/>
  <c r="I16" i="190"/>
  <c r="S28" i="205"/>
  <c r="S27" i="205"/>
  <c r="N40" i="192"/>
  <c r="R27" i="190" s="1"/>
  <c r="D27" i="217" s="1"/>
  <c r="P12" i="210"/>
  <c r="J16" i="232"/>
  <c r="R16" i="232"/>
  <c r="R33" i="200"/>
  <c r="F39" i="200"/>
  <c r="F19" i="201"/>
  <c r="J13" i="201"/>
  <c r="R13" i="201"/>
  <c r="P19" i="200"/>
  <c r="V26" i="205"/>
  <c r="V28" i="205" s="1"/>
  <c r="W25" i="205"/>
  <c r="Y25" i="205" s="1"/>
  <c r="R28" i="180"/>
  <c r="R30" i="180" s="1"/>
  <c r="F22" i="181"/>
  <c r="J28" i="180"/>
  <c r="J30" i="180" s="1"/>
  <c r="P22" i="180"/>
  <c r="N25" i="167" s="1"/>
  <c r="M14" i="167"/>
  <c r="M18" i="167" s="1"/>
  <c r="M22" i="167" s="1"/>
  <c r="M29" i="167"/>
  <c r="P23" i="255" l="1"/>
  <c r="F23" i="256"/>
  <c r="F15" i="249"/>
  <c r="W28" i="205"/>
  <c r="Y28" i="205" s="1"/>
  <c r="L16" i="190"/>
  <c r="J16" i="190"/>
  <c r="O40" i="192"/>
  <c r="R40" i="192" s="1"/>
  <c r="T27" i="190"/>
  <c r="P16" i="232"/>
  <c r="F33" i="201"/>
  <c r="R39" i="200"/>
  <c r="W26" i="205"/>
  <c r="Y26" i="205" s="1"/>
  <c r="M16" i="190"/>
  <c r="F13" i="202"/>
  <c r="R19" i="201"/>
  <c r="P13" i="201"/>
  <c r="J19" i="201"/>
  <c r="O79" i="205"/>
  <c r="P79" i="205" s="1"/>
  <c r="Q79" i="205" s="1"/>
  <c r="R29" i="205" s="1"/>
  <c r="S29" i="205" s="1"/>
  <c r="P29" i="205"/>
  <c r="Q29" i="205" s="1"/>
  <c r="M31" i="167"/>
  <c r="F28" i="181"/>
  <c r="F30" i="181" s="1"/>
  <c r="J22" i="181"/>
  <c r="R22" i="181"/>
  <c r="P28" i="180"/>
  <c r="P30" i="180" s="1"/>
  <c r="R23" i="256" l="1"/>
  <c r="J23" i="256"/>
  <c r="R15" i="249"/>
  <c r="J15" i="249"/>
  <c r="K16" i="190"/>
  <c r="O30" i="205"/>
  <c r="R33" i="201"/>
  <c r="F39" i="201"/>
  <c r="F19" i="202"/>
  <c r="R13" i="202"/>
  <c r="J13" i="202"/>
  <c r="P19" i="201"/>
  <c r="V29" i="205"/>
  <c r="J28" i="181"/>
  <c r="J30" i="181" s="1"/>
  <c r="P22" i="181"/>
  <c r="O25" i="167" s="1"/>
  <c r="R28" i="181"/>
  <c r="R30" i="181" s="1"/>
  <c r="F22" i="182"/>
  <c r="N29" i="167"/>
  <c r="N14" i="167"/>
  <c r="N18" i="167" s="1"/>
  <c r="N22" i="167" s="1"/>
  <c r="P23" i="256" l="1"/>
  <c r="F23" i="257"/>
  <c r="F15" i="250"/>
  <c r="P15" i="249"/>
  <c r="N16" i="190"/>
  <c r="F33" i="202"/>
  <c r="R39" i="201"/>
  <c r="W29" i="205"/>
  <c r="Y29" i="205" s="1"/>
  <c r="J19" i="202"/>
  <c r="P13" i="202"/>
  <c r="O80" i="205"/>
  <c r="P80" i="205" s="1"/>
  <c r="Q80" i="205" s="1"/>
  <c r="R30" i="205" s="1"/>
  <c r="S30" i="205" s="1"/>
  <c r="P30" i="205"/>
  <c r="Q30" i="205" s="1"/>
  <c r="F13" i="203"/>
  <c r="R19" i="202"/>
  <c r="N31" i="167"/>
  <c r="O14" i="167"/>
  <c r="O18" i="167" s="1"/>
  <c r="O22" i="167" s="1"/>
  <c r="P28" i="181"/>
  <c r="P30" i="181" s="1"/>
  <c r="O29" i="167"/>
  <c r="F28" i="182"/>
  <c r="F30" i="182" s="1"/>
  <c r="J22" i="182"/>
  <c r="R22" i="182"/>
  <c r="F22" i="193" s="1"/>
  <c r="R23" i="257" l="1"/>
  <c r="J23" i="257"/>
  <c r="R15" i="250"/>
  <c r="J15" i="250"/>
  <c r="O31" i="205"/>
  <c r="R33" i="202"/>
  <c r="F39" i="202"/>
  <c r="J22" i="193"/>
  <c r="R22" i="193"/>
  <c r="F28" i="193"/>
  <c r="F30" i="193" s="1"/>
  <c r="V30" i="205"/>
  <c r="J13" i="203"/>
  <c r="R13" i="203"/>
  <c r="F19" i="203"/>
  <c r="P19" i="202"/>
  <c r="R28" i="182"/>
  <c r="R30" i="182" s="1"/>
  <c r="N11" i="190"/>
  <c r="J28" i="182"/>
  <c r="J30" i="182" s="1"/>
  <c r="P22" i="182"/>
  <c r="P25" i="167" s="1"/>
  <c r="O31" i="167"/>
  <c r="P23" i="257" l="1"/>
  <c r="F23" i="258"/>
  <c r="F15" i="251"/>
  <c r="P15" i="250"/>
  <c r="D25" i="190"/>
  <c r="D29" i="190" s="1"/>
  <c r="D31" i="190" s="1"/>
  <c r="W30" i="205"/>
  <c r="Y30" i="205" s="1"/>
  <c r="O16" i="190"/>
  <c r="O11" i="190"/>
  <c r="F33" i="203"/>
  <c r="R39" i="202"/>
  <c r="F22" i="194"/>
  <c r="R28" i="193"/>
  <c r="R30" i="193" s="1"/>
  <c r="P22" i="193"/>
  <c r="J28" i="193"/>
  <c r="J30" i="193" s="1"/>
  <c r="O81" i="205"/>
  <c r="P81" i="205" s="1"/>
  <c r="Q81" i="205" s="1"/>
  <c r="R31" i="205" s="1"/>
  <c r="S31" i="205" s="1"/>
  <c r="P31" i="205"/>
  <c r="Q31" i="205" s="1"/>
  <c r="J19" i="203"/>
  <c r="P13" i="203"/>
  <c r="F13" i="204"/>
  <c r="R13" i="204" s="1"/>
  <c r="R19" i="203"/>
  <c r="P28" i="182"/>
  <c r="P30" i="182" s="1"/>
  <c r="R23" i="258" l="1"/>
  <c r="J23" i="258"/>
  <c r="R15" i="251"/>
  <c r="J15" i="251"/>
  <c r="P11" i="190"/>
  <c r="F13" i="221"/>
  <c r="J13" i="221" s="1"/>
  <c r="O32" i="205"/>
  <c r="P42" i="193"/>
  <c r="E25" i="190"/>
  <c r="AA25" i="190"/>
  <c r="R33" i="203"/>
  <c r="F39" i="203"/>
  <c r="P28" i="193"/>
  <c r="R22" i="194"/>
  <c r="J22" i="194"/>
  <c r="F28" i="194"/>
  <c r="F30" i="194" s="1"/>
  <c r="V31" i="205"/>
  <c r="Q13" i="167"/>
  <c r="P19" i="203"/>
  <c r="F19" i="204"/>
  <c r="J13" i="204"/>
  <c r="P14" i="167"/>
  <c r="P29" i="167"/>
  <c r="AA29" i="190" s="1"/>
  <c r="Q25" i="167"/>
  <c r="F19" i="221" l="1"/>
  <c r="T19" i="221" s="1"/>
  <c r="R13" i="221"/>
  <c r="P23" i="258"/>
  <c r="F23" i="259"/>
  <c r="F15" i="252"/>
  <c r="P15" i="251"/>
  <c r="Q11" i="190"/>
  <c r="E29" i="190"/>
  <c r="E38" i="190"/>
  <c r="E37" i="190"/>
  <c r="E14" i="190"/>
  <c r="E18" i="190" s="1"/>
  <c r="E22" i="190" s="1"/>
  <c r="E31" i="190" s="1"/>
  <c r="P30" i="193"/>
  <c r="W31" i="205"/>
  <c r="Y31" i="205" s="1"/>
  <c r="P16" i="190"/>
  <c r="P18" i="167"/>
  <c r="AA14" i="190"/>
  <c r="P22" i="167"/>
  <c r="AA22" i="190" s="1"/>
  <c r="AA18" i="190"/>
  <c r="F13" i="222"/>
  <c r="R19" i="221"/>
  <c r="U16" i="221" s="1"/>
  <c r="P13" i="221"/>
  <c r="J19" i="221"/>
  <c r="F33" i="204"/>
  <c r="R39" i="203"/>
  <c r="P22" i="194"/>
  <c r="J28" i="194"/>
  <c r="J30" i="194" s="1"/>
  <c r="F22" i="195"/>
  <c r="R28" i="194"/>
  <c r="R30" i="194" s="1"/>
  <c r="Q29" i="167"/>
  <c r="Q14" i="167"/>
  <c r="Q18" i="167" s="1"/>
  <c r="Q22" i="167" s="1"/>
  <c r="O82" i="205"/>
  <c r="P82" i="205" s="1"/>
  <c r="Q82" i="205" s="1"/>
  <c r="R32" i="205" s="1"/>
  <c r="S32" i="205" s="1"/>
  <c r="P32" i="205"/>
  <c r="Q32" i="205" s="1"/>
  <c r="J19" i="204"/>
  <c r="P13" i="204"/>
  <c r="R19" i="204"/>
  <c r="R23" i="259" l="1"/>
  <c r="J23" i="259"/>
  <c r="R15" i="252"/>
  <c r="J15" i="252"/>
  <c r="R11" i="190"/>
  <c r="S11" i="190" s="1"/>
  <c r="E39" i="190"/>
  <c r="F37" i="190"/>
  <c r="F14" i="190"/>
  <c r="F18" i="190" s="1"/>
  <c r="F22" i="190" s="1"/>
  <c r="O33" i="205"/>
  <c r="P42" i="194"/>
  <c r="F25" i="190"/>
  <c r="P31" i="167"/>
  <c r="AA31" i="190" s="1"/>
  <c r="P19" i="221"/>
  <c r="R13" i="222"/>
  <c r="J13" i="222"/>
  <c r="F19" i="222"/>
  <c r="T19" i="222" s="1"/>
  <c r="R33" i="204"/>
  <c r="F33" i="221" s="1"/>
  <c r="F39" i="204"/>
  <c r="P28" i="194"/>
  <c r="J22" i="195"/>
  <c r="R22" i="195"/>
  <c r="F28" i="195"/>
  <c r="F30" i="195" s="1"/>
  <c r="Q31" i="167"/>
  <c r="P19" i="204"/>
  <c r="V32" i="205"/>
  <c r="P17" i="233" l="1"/>
  <c r="P23" i="259"/>
  <c r="F23" i="260"/>
  <c r="P15" i="252"/>
  <c r="F15" i="253"/>
  <c r="D11" i="217"/>
  <c r="E11" i="217" s="1"/>
  <c r="F29" i="190"/>
  <c r="F38" i="190"/>
  <c r="F39" i="190" s="1"/>
  <c r="F31" i="190"/>
  <c r="Q16" i="190"/>
  <c r="P30" i="194"/>
  <c r="R33" i="221"/>
  <c r="F39" i="221"/>
  <c r="P13" i="222"/>
  <c r="J19" i="222"/>
  <c r="F13" i="223"/>
  <c r="R19" i="222"/>
  <c r="U16" i="222" s="1"/>
  <c r="Q17" i="233"/>
  <c r="P63" i="233"/>
  <c r="R39" i="204"/>
  <c r="F22" i="196"/>
  <c r="R28" i="195"/>
  <c r="R30" i="195" s="1"/>
  <c r="P22" i="195"/>
  <c r="J28" i="195"/>
  <c r="J30" i="195" s="1"/>
  <c r="W32" i="205"/>
  <c r="Y32" i="205" s="1"/>
  <c r="O83" i="205"/>
  <c r="P33" i="205"/>
  <c r="O49" i="205"/>
  <c r="J23" i="260" l="1"/>
  <c r="R23" i="260"/>
  <c r="E19" i="280" s="1"/>
  <c r="E21" i="280" s="1"/>
  <c r="R15" i="253"/>
  <c r="J15" i="253"/>
  <c r="U18" i="221"/>
  <c r="F11" i="217"/>
  <c r="P42" i="195"/>
  <c r="G25" i="190"/>
  <c r="F33" i="222"/>
  <c r="R39" i="221"/>
  <c r="R13" i="223"/>
  <c r="J13" i="223"/>
  <c r="F19" i="223"/>
  <c r="T19" i="223" s="1"/>
  <c r="Q63" i="233"/>
  <c r="P19" i="222"/>
  <c r="R17" i="233"/>
  <c r="P28" i="195"/>
  <c r="R22" i="196"/>
  <c r="J22" i="196"/>
  <c r="F28" i="196"/>
  <c r="F30" i="196" s="1"/>
  <c r="Q33" i="205"/>
  <c r="P49" i="205"/>
  <c r="P83" i="205"/>
  <c r="O99" i="205"/>
  <c r="F21" i="280" l="1"/>
  <c r="P18" i="233"/>
  <c r="Q18" i="233" s="1"/>
  <c r="P23" i="260"/>
  <c r="U18" i="222"/>
  <c r="P15" i="253"/>
  <c r="F15" i="254"/>
  <c r="G11" i="217"/>
  <c r="G37" i="190"/>
  <c r="G14" i="190"/>
  <c r="G18" i="190" s="1"/>
  <c r="G22" i="190" s="1"/>
  <c r="G29" i="190"/>
  <c r="G38" i="190"/>
  <c r="P30" i="195"/>
  <c r="R33" i="222"/>
  <c r="F39" i="222"/>
  <c r="R63" i="233"/>
  <c r="P13" i="223"/>
  <c r="J19" i="223"/>
  <c r="F13" i="224"/>
  <c r="R19" i="223"/>
  <c r="U16" i="223" s="1"/>
  <c r="P22" i="196"/>
  <c r="J28" i="196"/>
  <c r="J30" i="196" s="1"/>
  <c r="F22" i="197"/>
  <c r="R28" i="196"/>
  <c r="R30" i="196" s="1"/>
  <c r="Q49" i="205"/>
  <c r="Q83" i="205"/>
  <c r="P99" i="205"/>
  <c r="G21" i="280" l="1"/>
  <c r="P64" i="233"/>
  <c r="R15" i="254"/>
  <c r="J15" i="254"/>
  <c r="U18" i="223"/>
  <c r="H11" i="217"/>
  <c r="H37" i="190"/>
  <c r="H14" i="190"/>
  <c r="H18" i="190" s="1"/>
  <c r="H22" i="190" s="1"/>
  <c r="G31" i="190"/>
  <c r="P42" i="196"/>
  <c r="H25" i="190"/>
  <c r="G39" i="190"/>
  <c r="F33" i="223"/>
  <c r="R39" i="222"/>
  <c r="P19" i="223"/>
  <c r="R13" i="224"/>
  <c r="J13" i="224"/>
  <c r="F19" i="224"/>
  <c r="T19" i="224" s="1"/>
  <c r="Q64" i="233"/>
  <c r="R18" i="233"/>
  <c r="S17" i="233"/>
  <c r="R22" i="197"/>
  <c r="J22" i="197"/>
  <c r="F28" i="197"/>
  <c r="F30" i="197" s="1"/>
  <c r="P28" i="196"/>
  <c r="R33" i="205"/>
  <c r="Q99" i="205"/>
  <c r="H21" i="280" l="1"/>
  <c r="P19" i="233"/>
  <c r="P65" i="233" s="1"/>
  <c r="U18" i="224"/>
  <c r="P15" i="254"/>
  <c r="F15" i="255"/>
  <c r="I11" i="217"/>
  <c r="H29" i="190"/>
  <c r="H31" i="190" s="1"/>
  <c r="H38" i="190"/>
  <c r="H39" i="190" s="1"/>
  <c r="P30" i="196"/>
  <c r="R33" i="223"/>
  <c r="F39" i="223"/>
  <c r="T17" i="233"/>
  <c r="X17" i="233" s="1"/>
  <c r="F13" i="225"/>
  <c r="R19" i="224"/>
  <c r="U16" i="224" s="1"/>
  <c r="R64" i="233"/>
  <c r="P13" i="224"/>
  <c r="J19" i="224"/>
  <c r="F22" i="198"/>
  <c r="R28" i="197"/>
  <c r="R30" i="197" s="1"/>
  <c r="P22" i="197"/>
  <c r="J28" i="197"/>
  <c r="J30" i="197" s="1"/>
  <c r="S33" i="205"/>
  <c r="S49" i="205" s="1"/>
  <c r="R49" i="205"/>
  <c r="I21" i="280" l="1"/>
  <c r="J21" i="280"/>
  <c r="Q19" i="233"/>
  <c r="U18" i="225"/>
  <c r="J15" i="255"/>
  <c r="R15" i="255"/>
  <c r="J11" i="217"/>
  <c r="P42" i="197"/>
  <c r="I25" i="190"/>
  <c r="F33" i="224"/>
  <c r="R39" i="223"/>
  <c r="P19" i="224"/>
  <c r="R13" i="225"/>
  <c r="J13" i="225"/>
  <c r="F19" i="225"/>
  <c r="T19" i="225" s="1"/>
  <c r="R19" i="233"/>
  <c r="Q65" i="233"/>
  <c r="S18" i="233"/>
  <c r="P28" i="197"/>
  <c r="J22" i="198"/>
  <c r="R22" i="198"/>
  <c r="F28" i="198"/>
  <c r="F30" i="198" s="1"/>
  <c r="V33" i="205"/>
  <c r="K21" i="280" l="1"/>
  <c r="P20" i="233"/>
  <c r="Q20" i="233" s="1"/>
  <c r="P15" i="255"/>
  <c r="U18" i="226"/>
  <c r="F15" i="256"/>
  <c r="K11" i="217"/>
  <c r="I37" i="190"/>
  <c r="I14" i="190"/>
  <c r="I18" i="190" s="1"/>
  <c r="I22" i="190" s="1"/>
  <c r="I29" i="190"/>
  <c r="I38" i="190"/>
  <c r="R16" i="190"/>
  <c r="P30" i="197"/>
  <c r="R33" i="224"/>
  <c r="F39" i="224"/>
  <c r="T18" i="233"/>
  <c r="X18" i="233" s="1"/>
  <c r="F13" i="226"/>
  <c r="R19" i="225"/>
  <c r="U16" i="225" s="1"/>
  <c r="R65" i="233"/>
  <c r="P66" i="233"/>
  <c r="P13" i="225"/>
  <c r="J19" i="225"/>
  <c r="W33" i="205"/>
  <c r="Y33" i="205" s="1"/>
  <c r="Y49" i="205" s="1"/>
  <c r="X16" i="233"/>
  <c r="P22" i="198"/>
  <c r="J28" i="198"/>
  <c r="J30" i="198" s="1"/>
  <c r="R28" i="198"/>
  <c r="R30" i="198" s="1"/>
  <c r="V49" i="205"/>
  <c r="L21" i="280" l="1"/>
  <c r="U18" i="227"/>
  <c r="J15" i="256"/>
  <c r="R15" i="256"/>
  <c r="Y16" i="190"/>
  <c r="L11" i="217"/>
  <c r="P42" i="198"/>
  <c r="J25" i="190"/>
  <c r="I31" i="190"/>
  <c r="I39" i="190"/>
  <c r="S16" i="190"/>
  <c r="D16" i="217"/>
  <c r="F33" i="225"/>
  <c r="R39" i="224"/>
  <c r="P19" i="225"/>
  <c r="Q66" i="233"/>
  <c r="S19" i="233"/>
  <c r="R13" i="226"/>
  <c r="J13" i="226"/>
  <c r="F19" i="226"/>
  <c r="T19" i="226" s="1"/>
  <c r="R20" i="233"/>
  <c r="AA16" i="233"/>
  <c r="E16" i="217"/>
  <c r="L14" i="190"/>
  <c r="L18" i="190" s="1"/>
  <c r="J22" i="199"/>
  <c r="R22" i="199"/>
  <c r="F28" i="199"/>
  <c r="F30" i="199" s="1"/>
  <c r="P28" i="198"/>
  <c r="M21" i="280" l="1"/>
  <c r="N21" i="280"/>
  <c r="P21" i="233"/>
  <c r="Q21" i="233" s="1"/>
  <c r="F15" i="257"/>
  <c r="P15" i="256"/>
  <c r="U18" i="228"/>
  <c r="M11" i="217"/>
  <c r="J37" i="190"/>
  <c r="J14" i="190"/>
  <c r="J18" i="190" s="1"/>
  <c r="J22" i="190" s="1"/>
  <c r="K14" i="190"/>
  <c r="K18" i="190" s="1"/>
  <c r="K22" i="190" s="1"/>
  <c r="J29" i="190"/>
  <c r="J38" i="190"/>
  <c r="P30" i="198"/>
  <c r="R33" i="225"/>
  <c r="F39" i="225"/>
  <c r="R66" i="233"/>
  <c r="P13" i="226"/>
  <c r="J19" i="226"/>
  <c r="F13" i="227"/>
  <c r="R19" i="226"/>
  <c r="U16" i="226" s="1"/>
  <c r="T19" i="233"/>
  <c r="X19" i="233" s="1"/>
  <c r="P67" i="233"/>
  <c r="Y17" i="233"/>
  <c r="AA17" i="233" s="1"/>
  <c r="F16" i="217"/>
  <c r="F22" i="200"/>
  <c r="R28" i="199"/>
  <c r="R30" i="199" s="1"/>
  <c r="P22" i="199"/>
  <c r="J28" i="199"/>
  <c r="J30" i="199" s="1"/>
  <c r="O21" i="280" l="1"/>
  <c r="U18" i="229"/>
  <c r="J15" i="257"/>
  <c r="R15" i="257"/>
  <c r="N11" i="217"/>
  <c r="M37" i="190"/>
  <c r="P42" i="199"/>
  <c r="J31" i="190"/>
  <c r="J39" i="190"/>
  <c r="F33" i="226"/>
  <c r="R39" i="225"/>
  <c r="P19" i="226"/>
  <c r="S20" i="233"/>
  <c r="Q67" i="233"/>
  <c r="R21" i="233"/>
  <c r="R13" i="227"/>
  <c r="J13" i="227"/>
  <c r="F19" i="227"/>
  <c r="T19" i="227" s="1"/>
  <c r="G16" i="217"/>
  <c r="Y18" i="233"/>
  <c r="AA18" i="233" s="1"/>
  <c r="M25" i="190"/>
  <c r="M38" i="190" s="1"/>
  <c r="R22" i="200"/>
  <c r="J22" i="200"/>
  <c r="F28" i="200"/>
  <c r="F30" i="200" s="1"/>
  <c r="P28" i="199"/>
  <c r="P21" i="280" l="1"/>
  <c r="P22" i="233"/>
  <c r="P68" i="233" s="1"/>
  <c r="Q68" i="233" s="1"/>
  <c r="R68" i="233" s="1"/>
  <c r="S22" i="233" s="1"/>
  <c r="T22" i="233" s="1"/>
  <c r="P15" i="257"/>
  <c r="F15" i="258"/>
  <c r="U18" i="230"/>
  <c r="O11" i="217"/>
  <c r="M39" i="190"/>
  <c r="P30" i="199"/>
  <c r="R33" i="226"/>
  <c r="F39" i="226"/>
  <c r="P13" i="227"/>
  <c r="J19" i="227"/>
  <c r="F13" i="228"/>
  <c r="R19" i="227"/>
  <c r="U16" i="227" s="1"/>
  <c r="T20" i="233"/>
  <c r="R67" i="233"/>
  <c r="Y19" i="233"/>
  <c r="AA19" i="233" s="1"/>
  <c r="M29" i="190"/>
  <c r="P22" i="200"/>
  <c r="P42" i="200" s="1"/>
  <c r="J28" i="200"/>
  <c r="J30" i="200" s="1"/>
  <c r="F22" i="201"/>
  <c r="R28" i="200"/>
  <c r="R30" i="200" s="1"/>
  <c r="M14" i="190"/>
  <c r="M18" i="190" s="1"/>
  <c r="M22" i="190" s="1"/>
  <c r="Q21" i="280" l="1"/>
  <c r="Q22" i="233"/>
  <c r="R22" i="233" s="1"/>
  <c r="X20" i="233"/>
  <c r="R15" i="258"/>
  <c r="J15" i="258"/>
  <c r="U18" i="231"/>
  <c r="P11" i="217"/>
  <c r="F33" i="227"/>
  <c r="R39" i="226"/>
  <c r="R13" i="228"/>
  <c r="J13" i="228"/>
  <c r="F19" i="228"/>
  <c r="T19" i="228" s="1"/>
  <c r="P19" i="227"/>
  <c r="S21" i="233"/>
  <c r="N25" i="190"/>
  <c r="N38" i="190" s="1"/>
  <c r="N37" i="190"/>
  <c r="M31" i="190"/>
  <c r="R22" i="201"/>
  <c r="J22" i="201"/>
  <c r="F28" i="201"/>
  <c r="F30" i="201" s="1"/>
  <c r="P28" i="200"/>
  <c r="O30" i="184"/>
  <c r="O47" i="184" s="1"/>
  <c r="P30" i="184"/>
  <c r="P47" i="184" s="1"/>
  <c r="L30" i="184"/>
  <c r="L47" i="184" s="1"/>
  <c r="G30" i="184"/>
  <c r="G47" i="184" s="1"/>
  <c r="R53" i="184"/>
  <c r="H30" i="184"/>
  <c r="H47" i="184" s="1"/>
  <c r="K30" i="184"/>
  <c r="K47" i="184" s="1"/>
  <c r="N30" i="184"/>
  <c r="N47" i="184" s="1"/>
  <c r="I30" i="184"/>
  <c r="I47" i="184" s="1"/>
  <c r="J30" i="184"/>
  <c r="J47" i="184" s="1"/>
  <c r="M30" i="184"/>
  <c r="M47" i="184" s="1"/>
  <c r="R70" i="184"/>
  <c r="F30" i="184"/>
  <c r="F47" i="184" s="1"/>
  <c r="Q30" i="184"/>
  <c r="Q47" i="184" s="1"/>
  <c r="Y20" i="233" l="1"/>
  <c r="AA20" i="233" s="1"/>
  <c r="P23" i="233"/>
  <c r="P69" i="233" s="1"/>
  <c r="Q69" i="233" s="1"/>
  <c r="R69" i="233" s="1"/>
  <c r="S23" i="233" s="1"/>
  <c r="T23" i="233" s="1"/>
  <c r="H16" i="217"/>
  <c r="U18" i="232"/>
  <c r="P15" i="258"/>
  <c r="F15" i="259"/>
  <c r="Q11" i="217"/>
  <c r="N39" i="190"/>
  <c r="P30" i="200"/>
  <c r="R33" i="227"/>
  <c r="F39" i="227"/>
  <c r="T21" i="233"/>
  <c r="X21" i="233" s="1"/>
  <c r="P13" i="228"/>
  <c r="J19" i="228"/>
  <c r="F13" i="229"/>
  <c r="R19" i="228"/>
  <c r="U16" i="228" s="1"/>
  <c r="N14" i="190"/>
  <c r="N18" i="190" s="1"/>
  <c r="N22" i="190" s="1"/>
  <c r="N29" i="190"/>
  <c r="F22" i="202"/>
  <c r="R28" i="201"/>
  <c r="R30" i="201" s="1"/>
  <c r="P22" i="201"/>
  <c r="P42" i="201" s="1"/>
  <c r="J28" i="201"/>
  <c r="J30" i="201" s="1"/>
  <c r="X22" i="233" l="1"/>
  <c r="J16" i="217" s="1"/>
  <c r="Q23" i="233"/>
  <c r="R23" i="233" s="1"/>
  <c r="R15" i="259"/>
  <c r="J15" i="259"/>
  <c r="I16" i="217"/>
  <c r="F33" i="228"/>
  <c r="R39" i="227"/>
  <c r="Y21" i="233"/>
  <c r="AA21" i="233" s="1"/>
  <c r="P19" i="228"/>
  <c r="R13" i="229"/>
  <c r="J13" i="229"/>
  <c r="F19" i="229"/>
  <c r="T19" i="229" s="1"/>
  <c r="N31" i="190"/>
  <c r="O25" i="190"/>
  <c r="O38" i="190" s="1"/>
  <c r="O37" i="190"/>
  <c r="P28" i="201"/>
  <c r="J22" i="202"/>
  <c r="R22" i="202"/>
  <c r="F28" i="202"/>
  <c r="F30" i="202" s="1"/>
  <c r="P24" i="233" l="1"/>
  <c r="X23" i="233"/>
  <c r="Y22" i="233"/>
  <c r="AA22" i="233" s="1"/>
  <c r="F15" i="260"/>
  <c r="P15" i="259"/>
  <c r="O39" i="190"/>
  <c r="P30" i="201"/>
  <c r="R33" i="228"/>
  <c r="F39" i="228"/>
  <c r="F13" i="230"/>
  <c r="R19" i="229"/>
  <c r="U16" i="229" s="1"/>
  <c r="Q24" i="233"/>
  <c r="R24" i="233" s="1"/>
  <c r="P70" i="233"/>
  <c r="Q70" i="233" s="1"/>
  <c r="R70" i="233" s="1"/>
  <c r="S24" i="233" s="1"/>
  <c r="T24" i="233" s="1"/>
  <c r="P13" i="229"/>
  <c r="J19" i="229"/>
  <c r="O14" i="190"/>
  <c r="O18" i="190" s="1"/>
  <c r="O22" i="190" s="1"/>
  <c r="O29" i="190"/>
  <c r="P22" i="202"/>
  <c r="P42" i="202" s="1"/>
  <c r="J28" i="202"/>
  <c r="J30" i="202" s="1"/>
  <c r="F22" i="203"/>
  <c r="R28" i="202"/>
  <c r="R30" i="202" s="1"/>
  <c r="X24" i="233" l="1"/>
  <c r="K16" i="217"/>
  <c r="Y23" i="233"/>
  <c r="AA23" i="233" s="1"/>
  <c r="R15" i="260"/>
  <c r="E6" i="280" s="1"/>
  <c r="J15" i="260"/>
  <c r="F33" i="229"/>
  <c r="R39" i="228"/>
  <c r="P19" i="229"/>
  <c r="R13" i="230"/>
  <c r="J13" i="230"/>
  <c r="F19" i="230"/>
  <c r="T19" i="230" s="1"/>
  <c r="O31" i="190"/>
  <c r="P25" i="190"/>
  <c r="P38" i="190" s="1"/>
  <c r="P37" i="190"/>
  <c r="R22" i="203"/>
  <c r="J22" i="203"/>
  <c r="F28" i="203"/>
  <c r="F30" i="203" s="1"/>
  <c r="P28" i="202"/>
  <c r="E10" i="280" l="1"/>
  <c r="F6" i="280"/>
  <c r="G6" i="280" s="1"/>
  <c r="H6" i="280" s="1"/>
  <c r="I6" i="280" s="1"/>
  <c r="J6" i="280" s="1"/>
  <c r="K6" i="280" s="1"/>
  <c r="L6" i="280" s="1"/>
  <c r="M6" i="280" s="1"/>
  <c r="N6" i="280" s="1"/>
  <c r="O6" i="280" s="1"/>
  <c r="P6" i="280" s="1"/>
  <c r="Q6" i="280" s="1"/>
  <c r="P25" i="233"/>
  <c r="P15" i="260"/>
  <c r="Y24" i="233"/>
  <c r="AA24" i="233" s="1"/>
  <c r="L16" i="217"/>
  <c r="P39" i="190"/>
  <c r="P30" i="202"/>
  <c r="R33" i="229"/>
  <c r="F39" i="229"/>
  <c r="P13" i="230"/>
  <c r="J19" i="230"/>
  <c r="F13" i="231"/>
  <c r="R19" i="230"/>
  <c r="U16" i="230" s="1"/>
  <c r="P71" i="233"/>
  <c r="Q71" i="233" s="1"/>
  <c r="R71" i="233" s="1"/>
  <c r="S25" i="233" s="1"/>
  <c r="T25" i="233" s="1"/>
  <c r="Q25" i="233"/>
  <c r="R25" i="233" s="1"/>
  <c r="P14" i="190"/>
  <c r="P18" i="190" s="1"/>
  <c r="P22" i="190" s="1"/>
  <c r="P29" i="190"/>
  <c r="F22" i="204"/>
  <c r="R28" i="203"/>
  <c r="R30" i="203" s="1"/>
  <c r="P22" i="203"/>
  <c r="P42" i="203" s="1"/>
  <c r="J28" i="203"/>
  <c r="J30" i="203" s="1"/>
  <c r="F14" i="280" l="1"/>
  <c r="F16" i="280" s="1"/>
  <c r="E24" i="280"/>
  <c r="F10" i="280"/>
  <c r="X25" i="233"/>
  <c r="F33" i="230"/>
  <c r="R39" i="229"/>
  <c r="R13" i="231"/>
  <c r="J13" i="231"/>
  <c r="F19" i="231"/>
  <c r="P19" i="230"/>
  <c r="P31" i="190"/>
  <c r="Q25" i="190"/>
  <c r="Q37" i="190"/>
  <c r="P28" i="203"/>
  <c r="J22" i="204"/>
  <c r="R22" i="204"/>
  <c r="F22" i="221" s="1"/>
  <c r="F28" i="204"/>
  <c r="F30" i="204" s="1"/>
  <c r="G14" i="280" l="1"/>
  <c r="G16" i="280" s="1"/>
  <c r="F24" i="280"/>
  <c r="G10" i="280"/>
  <c r="R17" i="284"/>
  <c r="F25" i="280"/>
  <c r="E24" i="278"/>
  <c r="M16" i="217"/>
  <c r="P26" i="233"/>
  <c r="P72" i="233" s="1"/>
  <c r="Q72" i="233" s="1"/>
  <c r="R72" i="233" s="1"/>
  <c r="S26" i="233" s="1"/>
  <c r="T26" i="233" s="1"/>
  <c r="Q29" i="190"/>
  <c r="Q38" i="190"/>
  <c r="Q39" i="190" s="1"/>
  <c r="P30" i="203"/>
  <c r="R33" i="230"/>
  <c r="F39" i="230"/>
  <c r="R22" i="221"/>
  <c r="J22" i="221"/>
  <c r="F28" i="221"/>
  <c r="F30" i="221" s="1"/>
  <c r="P13" i="231"/>
  <c r="J19" i="231"/>
  <c r="F13" i="232"/>
  <c r="R19" i="231"/>
  <c r="U16" i="231" s="1"/>
  <c r="Y25" i="233"/>
  <c r="AA25" i="233" s="1"/>
  <c r="R28" i="204"/>
  <c r="R30" i="204" s="1"/>
  <c r="U30" i="204" s="1"/>
  <c r="U32" i="204" s="1"/>
  <c r="P22" i="204"/>
  <c r="P42" i="204" s="1"/>
  <c r="J28" i="204"/>
  <c r="J30" i="204" s="1"/>
  <c r="Q14" i="190"/>
  <c r="Q18" i="190" s="1"/>
  <c r="Q22" i="190" s="1"/>
  <c r="F28" i="280" l="1"/>
  <c r="S17" i="284"/>
  <c r="R59" i="284"/>
  <c r="H14" i="280"/>
  <c r="H16" i="280" s="1"/>
  <c r="G24" i="280"/>
  <c r="H10" i="280"/>
  <c r="E28" i="278"/>
  <c r="R18" i="284"/>
  <c r="G25" i="280"/>
  <c r="F24" i="278"/>
  <c r="Q26" i="233"/>
  <c r="R26" i="233" s="1"/>
  <c r="X26" i="233" s="1"/>
  <c r="Q31" i="190"/>
  <c r="F33" i="231"/>
  <c r="R39" i="230"/>
  <c r="J28" i="221"/>
  <c r="J30" i="221" s="1"/>
  <c r="P22" i="221"/>
  <c r="F22" i="222"/>
  <c r="R28" i="221"/>
  <c r="R13" i="232"/>
  <c r="F13" i="249" s="1"/>
  <c r="J13" i="232"/>
  <c r="F19" i="232"/>
  <c r="T19" i="232" s="1"/>
  <c r="P19" i="231"/>
  <c r="R25" i="190"/>
  <c r="R38" i="190" s="1"/>
  <c r="P28" i="204"/>
  <c r="R19" i="284" l="1"/>
  <c r="H25" i="280"/>
  <c r="G24" i="278"/>
  <c r="H24" i="280"/>
  <c r="I10" i="280"/>
  <c r="I14" i="280"/>
  <c r="I16" i="280" s="1"/>
  <c r="R60" i="284"/>
  <c r="S60" i="284" s="1"/>
  <c r="T60" i="284" s="1"/>
  <c r="U18" i="284" s="1"/>
  <c r="V18" i="284" s="1"/>
  <c r="S18" i="284"/>
  <c r="T18" i="284" s="1"/>
  <c r="S59" i="284"/>
  <c r="G28" i="280"/>
  <c r="F28" i="278"/>
  <c r="T17" i="284"/>
  <c r="R30" i="221"/>
  <c r="U15" i="221"/>
  <c r="U17" i="221" s="1"/>
  <c r="U19" i="221" s="1"/>
  <c r="P27" i="233"/>
  <c r="Q27" i="233" s="1"/>
  <c r="R27" i="233" s="1"/>
  <c r="R13" i="249"/>
  <c r="J13" i="249"/>
  <c r="F18" i="249"/>
  <c r="Y26" i="233"/>
  <c r="AA26" i="233" s="1"/>
  <c r="N16" i="217"/>
  <c r="R19" i="232"/>
  <c r="R37" i="190"/>
  <c r="R39" i="190" s="1"/>
  <c r="P30" i="204"/>
  <c r="R33" i="231"/>
  <c r="F39" i="231"/>
  <c r="J22" i="222"/>
  <c r="F28" i="222"/>
  <c r="F30" i="222" s="1"/>
  <c r="R22" i="222"/>
  <c r="P28" i="221"/>
  <c r="P13" i="232"/>
  <c r="J19" i="232"/>
  <c r="S13" i="190"/>
  <c r="D13" i="217"/>
  <c r="E13" i="217" s="1"/>
  <c r="F13" i="217" s="1"/>
  <c r="G13" i="217" s="1"/>
  <c r="H13" i="217" s="1"/>
  <c r="I13" i="217" s="1"/>
  <c r="J13" i="217" s="1"/>
  <c r="K13" i="217" s="1"/>
  <c r="L13" i="217" s="1"/>
  <c r="M13" i="217" s="1"/>
  <c r="N13" i="217" s="1"/>
  <c r="O13" i="217" s="1"/>
  <c r="D25" i="217"/>
  <c r="D29" i="217" s="1"/>
  <c r="T25" i="190"/>
  <c r="R14" i="190"/>
  <c r="R18" i="190" s="1"/>
  <c r="R22" i="190" s="1"/>
  <c r="R29" i="190"/>
  <c r="P73" i="233" l="1"/>
  <c r="Q73" i="233" s="1"/>
  <c r="R73" i="233" s="1"/>
  <c r="S27" i="233" s="1"/>
  <c r="T27" i="233" s="1"/>
  <c r="R20" i="284"/>
  <c r="I25" i="280"/>
  <c r="H24" i="278"/>
  <c r="I24" i="280"/>
  <c r="J10" i="280"/>
  <c r="J14" i="280"/>
  <c r="J16" i="280" s="1"/>
  <c r="H28" i="280"/>
  <c r="G28" i="278"/>
  <c r="U16" i="232"/>
  <c r="B12" i="139"/>
  <c r="T59" i="284"/>
  <c r="R61" i="284"/>
  <c r="S61" i="284" s="1"/>
  <c r="T61" i="284" s="1"/>
  <c r="U19" i="284" s="1"/>
  <c r="V19" i="284" s="1"/>
  <c r="S19" i="284"/>
  <c r="T19" i="284" s="1"/>
  <c r="X27" i="233"/>
  <c r="P30" i="221"/>
  <c r="E25" i="217" s="1"/>
  <c r="E29" i="217" s="1"/>
  <c r="P13" i="249"/>
  <c r="P18" i="249" s="1"/>
  <c r="J18" i="249"/>
  <c r="F13" i="250"/>
  <c r="R18" i="249"/>
  <c r="S14" i="190"/>
  <c r="S18" i="190" s="1"/>
  <c r="S22" i="190" s="1"/>
  <c r="T22" i="190" s="1"/>
  <c r="T29" i="190"/>
  <c r="F33" i="232"/>
  <c r="R39" i="231"/>
  <c r="F22" i="223"/>
  <c r="R28" i="222"/>
  <c r="P22" i="222"/>
  <c r="J28" i="222"/>
  <c r="J30" i="222" s="1"/>
  <c r="P19" i="232"/>
  <c r="C12" i="139" s="1"/>
  <c r="D14" i="217"/>
  <c r="D18" i="217" s="1"/>
  <c r="D22" i="217" s="1"/>
  <c r="D31" i="217" s="1"/>
  <c r="T31" i="190"/>
  <c r="R31" i="190"/>
  <c r="J24" i="280" l="1"/>
  <c r="K10" i="280"/>
  <c r="K14" i="280"/>
  <c r="K16" i="280" s="1"/>
  <c r="Y15" i="249"/>
  <c r="C55" i="276"/>
  <c r="B14" i="139"/>
  <c r="U17" i="284"/>
  <c r="Q17" i="268"/>
  <c r="R17" i="268" s="1"/>
  <c r="S17" i="268" s="1"/>
  <c r="C11" i="140"/>
  <c r="R21" i="284"/>
  <c r="J25" i="280"/>
  <c r="I24" i="278"/>
  <c r="I28" i="280"/>
  <c r="H28" i="278"/>
  <c r="R62" i="284"/>
  <c r="S62" i="284" s="1"/>
  <c r="T62" i="284" s="1"/>
  <c r="U20" i="284" s="1"/>
  <c r="V20" i="284" s="1"/>
  <c r="S20" i="284"/>
  <c r="T20" i="284" s="1"/>
  <c r="C14" i="139"/>
  <c r="O16" i="217"/>
  <c r="R30" i="222"/>
  <c r="U15" i="222"/>
  <c r="U17" i="222" s="1"/>
  <c r="U19" i="222" s="1"/>
  <c r="P28" i="233"/>
  <c r="P74" i="233" s="1"/>
  <c r="Q58" i="268"/>
  <c r="R58" i="268" s="1"/>
  <c r="S58" i="268" s="1"/>
  <c r="T17" i="268" s="1"/>
  <c r="U17" i="268" s="1"/>
  <c r="P13" i="217"/>
  <c r="D13" i="245" s="1"/>
  <c r="J13" i="250"/>
  <c r="R13" i="250"/>
  <c r="F18" i="250"/>
  <c r="R33" i="232"/>
  <c r="F39" i="232"/>
  <c r="P28" i="222"/>
  <c r="R22" i="223"/>
  <c r="J22" i="223"/>
  <c r="F28" i="223"/>
  <c r="F30" i="223" s="1"/>
  <c r="Y27" i="233"/>
  <c r="AA27" i="233" s="1"/>
  <c r="E14" i="217"/>
  <c r="E18" i="217" s="1"/>
  <c r="E22" i="217" s="1"/>
  <c r="E31" i="217" s="1"/>
  <c r="Q28" i="233" l="1"/>
  <c r="R22" i="284"/>
  <c r="K25" i="280"/>
  <c r="J24" i="278"/>
  <c r="K24" i="280"/>
  <c r="L14" i="280"/>
  <c r="L16" i="280" s="1"/>
  <c r="L10" i="280"/>
  <c r="J28" i="280"/>
  <c r="I28" i="278"/>
  <c r="R63" i="284"/>
  <c r="S21" i="284"/>
  <c r="V17" i="284"/>
  <c r="P44" i="233"/>
  <c r="E13" i="245"/>
  <c r="P30" i="222"/>
  <c r="F25" i="217" s="1"/>
  <c r="F29" i="217" s="1"/>
  <c r="R39" i="232"/>
  <c r="D12" i="139" s="1"/>
  <c r="F31" i="249"/>
  <c r="F13" i="251"/>
  <c r="R18" i="250"/>
  <c r="P13" i="250"/>
  <c r="J18" i="250"/>
  <c r="P22" i="223"/>
  <c r="J28" i="223"/>
  <c r="J30" i="223" s="1"/>
  <c r="F22" i="224"/>
  <c r="R28" i="223"/>
  <c r="R28" i="233"/>
  <c r="Q44" i="233"/>
  <c r="Q74" i="233"/>
  <c r="P90" i="233"/>
  <c r="F14" i="217"/>
  <c r="F18" i="217" s="1"/>
  <c r="F22" i="217" s="1"/>
  <c r="K28" i="280" l="1"/>
  <c r="J28" i="278"/>
  <c r="R64" i="284"/>
  <c r="S64" i="284" s="1"/>
  <c r="T64" i="284" s="1"/>
  <c r="U22" i="284" s="1"/>
  <c r="V22" i="284" s="1"/>
  <c r="S22" i="284"/>
  <c r="T22" i="284" s="1"/>
  <c r="Y15" i="250"/>
  <c r="D55" i="276"/>
  <c r="B15" i="139"/>
  <c r="D14" i="139"/>
  <c r="T21" i="284"/>
  <c r="L24" i="280"/>
  <c r="M14" i="280"/>
  <c r="M16" i="280" s="1"/>
  <c r="M10" i="280"/>
  <c r="S63" i="284"/>
  <c r="R23" i="284"/>
  <c r="L25" i="280"/>
  <c r="K24" i="278"/>
  <c r="R30" i="223"/>
  <c r="U15" i="223"/>
  <c r="U17" i="223" s="1"/>
  <c r="U19" i="223" s="1"/>
  <c r="P18" i="250"/>
  <c r="R13" i="251"/>
  <c r="J13" i="251"/>
  <c r="F18" i="251"/>
  <c r="R31" i="249"/>
  <c r="F36" i="249"/>
  <c r="F31" i="217"/>
  <c r="F28" i="224"/>
  <c r="F30" i="224" s="1"/>
  <c r="R22" i="224"/>
  <c r="J22" i="224"/>
  <c r="P28" i="223"/>
  <c r="R74" i="233"/>
  <c r="Q90" i="233"/>
  <c r="R44" i="233"/>
  <c r="R24" i="284" l="1"/>
  <c r="M25" i="280"/>
  <c r="L24" i="278"/>
  <c r="L28" i="280"/>
  <c r="K28" i="278"/>
  <c r="R65" i="284"/>
  <c r="S23" i="284"/>
  <c r="T63" i="284"/>
  <c r="C12" i="140"/>
  <c r="C15" i="139"/>
  <c r="M24" i="280"/>
  <c r="N10" i="280"/>
  <c r="N14" i="280"/>
  <c r="N16" i="280" s="1"/>
  <c r="D15" i="139"/>
  <c r="F13" i="245"/>
  <c r="Q18" i="268"/>
  <c r="P30" i="223"/>
  <c r="G25" i="217" s="1"/>
  <c r="F31" i="250"/>
  <c r="R36" i="249"/>
  <c r="C75" i="276" s="1"/>
  <c r="P13" i="251"/>
  <c r="J18" i="251"/>
  <c r="F13" i="252"/>
  <c r="R18" i="251"/>
  <c r="G14" i="217"/>
  <c r="G18" i="217" s="1"/>
  <c r="G22" i="217" s="1"/>
  <c r="J28" i="224"/>
  <c r="J30" i="224" s="1"/>
  <c r="P22" i="224"/>
  <c r="F22" i="225"/>
  <c r="R28" i="224"/>
  <c r="S28" i="233"/>
  <c r="R90" i="233"/>
  <c r="Y15" i="251" l="1"/>
  <c r="E55" i="276"/>
  <c r="B16" i="139"/>
  <c r="U21" i="284"/>
  <c r="D16" i="139"/>
  <c r="D17" i="139" s="1"/>
  <c r="D18" i="139" s="1"/>
  <c r="D19" i="139" s="1"/>
  <c r="D20" i="139" s="1"/>
  <c r="R25" i="284"/>
  <c r="N25" i="280"/>
  <c r="M24" i="278"/>
  <c r="T23" i="284"/>
  <c r="S65" i="284"/>
  <c r="M28" i="280"/>
  <c r="L28" i="278"/>
  <c r="N24" i="280"/>
  <c r="O10" i="280"/>
  <c r="O14" i="280"/>
  <c r="O16" i="280" s="1"/>
  <c r="C16" i="139"/>
  <c r="R66" i="284"/>
  <c r="S66" i="284" s="1"/>
  <c r="T66" i="284" s="1"/>
  <c r="U24" i="284" s="1"/>
  <c r="V24" i="284" s="1"/>
  <c r="S24" i="284"/>
  <c r="T24" i="284" s="1"/>
  <c r="R30" i="224"/>
  <c r="U15" i="224"/>
  <c r="U17" i="224" s="1"/>
  <c r="U19" i="224" s="1"/>
  <c r="G29" i="217"/>
  <c r="G31" i="217" s="1"/>
  <c r="Q59" i="268"/>
  <c r="R59" i="268" s="1"/>
  <c r="S59" i="268" s="1"/>
  <c r="T18" i="268" s="1"/>
  <c r="U18" i="268" s="1"/>
  <c r="R18" i="268"/>
  <c r="S18" i="268" s="1"/>
  <c r="R13" i="252"/>
  <c r="J13" i="252"/>
  <c r="F18" i="252"/>
  <c r="P18" i="251"/>
  <c r="C13" i="140" s="1"/>
  <c r="R31" i="250"/>
  <c r="F36" i="250"/>
  <c r="R22" i="225"/>
  <c r="F28" i="225"/>
  <c r="F30" i="225" s="1"/>
  <c r="J22" i="225"/>
  <c r="P28" i="224"/>
  <c r="T28" i="233"/>
  <c r="T44" i="233" s="1"/>
  <c r="S44" i="233"/>
  <c r="D21" i="139" l="1"/>
  <c r="D22" i="139" s="1"/>
  <c r="D23" i="139" s="1"/>
  <c r="D24" i="139" s="1"/>
  <c r="D25" i="139" s="1"/>
  <c r="T65" i="284"/>
  <c r="V21" i="284"/>
  <c r="R26" i="284"/>
  <c r="O25" i="280"/>
  <c r="N24" i="278"/>
  <c r="O24" i="280"/>
  <c r="P14" i="280"/>
  <c r="P16" i="280" s="1"/>
  <c r="P10" i="280"/>
  <c r="N28" i="280"/>
  <c r="M28" i="278"/>
  <c r="R67" i="284"/>
  <c r="S67" i="284" s="1"/>
  <c r="T67" i="284" s="1"/>
  <c r="U25" i="284" s="1"/>
  <c r="V25" i="284" s="1"/>
  <c r="S25" i="284"/>
  <c r="T25" i="284" s="1"/>
  <c r="V12" i="190"/>
  <c r="X28" i="233"/>
  <c r="E12" i="139" s="1"/>
  <c r="G13" i="245"/>
  <c r="Q19" i="268"/>
  <c r="P30" i="224"/>
  <c r="H25" i="217" s="1"/>
  <c r="P13" i="252"/>
  <c r="J18" i="252"/>
  <c r="F31" i="251"/>
  <c r="R36" i="250"/>
  <c r="D75" i="276" s="1"/>
  <c r="F13" i="253"/>
  <c r="R18" i="252"/>
  <c r="J28" i="225"/>
  <c r="J30" i="225" s="1"/>
  <c r="P22" i="225"/>
  <c r="H14" i="217"/>
  <c r="H18" i="217" s="1"/>
  <c r="H22" i="217" s="1"/>
  <c r="F22" i="226"/>
  <c r="R28" i="225"/>
  <c r="W12" i="190" l="1"/>
  <c r="O28" i="280"/>
  <c r="N28" i="278"/>
  <c r="R68" i="284"/>
  <c r="S68" i="284" s="1"/>
  <c r="T68" i="284" s="1"/>
  <c r="U26" i="284" s="1"/>
  <c r="V26" i="284" s="1"/>
  <c r="S26" i="284"/>
  <c r="T26" i="284" s="1"/>
  <c r="U23" i="284"/>
  <c r="R27" i="284"/>
  <c r="P25" i="280"/>
  <c r="O24" i="278"/>
  <c r="Y15" i="252"/>
  <c r="F55" i="276"/>
  <c r="B17" i="139"/>
  <c r="P24" i="280"/>
  <c r="Q10" i="280"/>
  <c r="Q24" i="280" s="1"/>
  <c r="Q14" i="280"/>
  <c r="Q16" i="280" s="1"/>
  <c r="R30" i="225"/>
  <c r="U15" i="225"/>
  <c r="U17" i="225" s="1"/>
  <c r="U19" i="225" s="1"/>
  <c r="H29" i="217"/>
  <c r="Y16" i="268"/>
  <c r="Q60" i="268"/>
  <c r="R60" i="268" s="1"/>
  <c r="S60" i="268" s="1"/>
  <c r="T19" i="268" s="1"/>
  <c r="U19" i="268" s="1"/>
  <c r="R19" i="268"/>
  <c r="S19" i="268" s="1"/>
  <c r="R31" i="251"/>
  <c r="F36" i="251"/>
  <c r="P18" i="252"/>
  <c r="R13" i="253"/>
  <c r="J13" i="253"/>
  <c r="F18" i="253"/>
  <c r="X44" i="233"/>
  <c r="P16" i="217"/>
  <c r="H31" i="217"/>
  <c r="Y28" i="233"/>
  <c r="AA28" i="233" s="1"/>
  <c r="P28" i="225"/>
  <c r="F28" i="226"/>
  <c r="F30" i="226" s="1"/>
  <c r="R22" i="226"/>
  <c r="J22" i="226"/>
  <c r="V23" i="284" l="1"/>
  <c r="C14" i="140"/>
  <c r="C17" i="139"/>
  <c r="P28" i="280"/>
  <c r="O28" i="278"/>
  <c r="R28" i="284"/>
  <c r="Q25" i="280"/>
  <c r="P24" i="278"/>
  <c r="R69" i="284"/>
  <c r="S69" i="284" s="1"/>
  <c r="T69" i="284" s="1"/>
  <c r="S27" i="284"/>
  <c r="T27" i="284" s="1"/>
  <c r="D16" i="245"/>
  <c r="Q16" i="217"/>
  <c r="AB16" i="268"/>
  <c r="Y17" i="268"/>
  <c r="E14" i="139" s="1"/>
  <c r="H13" i="245"/>
  <c r="Q20" i="268"/>
  <c r="P30" i="225"/>
  <c r="I25" i="217" s="1"/>
  <c r="P13" i="253"/>
  <c r="J18" i="253"/>
  <c r="F13" i="254"/>
  <c r="R18" i="253"/>
  <c r="F31" i="252"/>
  <c r="R36" i="251"/>
  <c r="E75" i="276" s="1"/>
  <c r="AA44" i="233"/>
  <c r="I14" i="217"/>
  <c r="I18" i="217" s="1"/>
  <c r="I22" i="217" s="1"/>
  <c r="J28" i="226"/>
  <c r="J30" i="226" s="1"/>
  <c r="P22" i="226"/>
  <c r="F22" i="227"/>
  <c r="R28" i="226"/>
  <c r="Q28" i="280" l="1"/>
  <c r="P28" i="278"/>
  <c r="Q24" i="278"/>
  <c r="Y15" i="253"/>
  <c r="G55" i="276"/>
  <c r="B18" i="139"/>
  <c r="U27" i="284"/>
  <c r="R70" i="284"/>
  <c r="S28" i="284"/>
  <c r="R38" i="284"/>
  <c r="R30" i="226"/>
  <c r="U15" i="226"/>
  <c r="U17" i="226" s="1"/>
  <c r="U19" i="226" s="1"/>
  <c r="E16" i="245"/>
  <c r="Z17" i="268"/>
  <c r="AB17" i="268" s="1"/>
  <c r="Y18" i="268"/>
  <c r="E15" i="139" s="1"/>
  <c r="I29" i="217"/>
  <c r="I31" i="217" s="1"/>
  <c r="Q61" i="268"/>
  <c r="R61" i="268" s="1"/>
  <c r="S61" i="268" s="1"/>
  <c r="T20" i="268" s="1"/>
  <c r="U20" i="268" s="1"/>
  <c r="R20" i="268"/>
  <c r="S20" i="268" s="1"/>
  <c r="R31" i="252"/>
  <c r="F36" i="252"/>
  <c r="J13" i="254"/>
  <c r="R13" i="254"/>
  <c r="F18" i="254"/>
  <c r="P18" i="253"/>
  <c r="C15" i="140" s="1"/>
  <c r="F28" i="227"/>
  <c r="F30" i="227" s="1"/>
  <c r="R22" i="227"/>
  <c r="J22" i="227"/>
  <c r="P28" i="226"/>
  <c r="V27" i="284" l="1"/>
  <c r="T28" i="284"/>
  <c r="T38" i="284" s="1"/>
  <c r="S38" i="284"/>
  <c r="S70" i="284"/>
  <c r="R80" i="284"/>
  <c r="C18" i="139"/>
  <c r="F16" i="245"/>
  <c r="Z18" i="268"/>
  <c r="AB18" i="268" s="1"/>
  <c r="Y19" i="268"/>
  <c r="E16" i="139" s="1"/>
  <c r="I13" i="245"/>
  <c r="Q21" i="268"/>
  <c r="P30" i="226"/>
  <c r="J25" i="217" s="1"/>
  <c r="J29" i="217" s="1"/>
  <c r="F13" i="255"/>
  <c r="R18" i="254"/>
  <c r="P13" i="254"/>
  <c r="J18" i="254"/>
  <c r="F31" i="253"/>
  <c r="R36" i="252"/>
  <c r="F75" i="276" s="1"/>
  <c r="P22" i="227"/>
  <c r="J28" i="227"/>
  <c r="J30" i="227" s="1"/>
  <c r="F22" i="228"/>
  <c r="R28" i="227"/>
  <c r="J14" i="217"/>
  <c r="J18" i="217" s="1"/>
  <c r="J22" i="217" s="1"/>
  <c r="T70" i="284" l="1"/>
  <c r="S80" i="284"/>
  <c r="Y15" i="254"/>
  <c r="H55" i="276"/>
  <c r="B19" i="139"/>
  <c r="Y20" i="268"/>
  <c r="E17" i="139" s="1"/>
  <c r="R30" i="227"/>
  <c r="U15" i="227"/>
  <c r="U17" i="227" s="1"/>
  <c r="U19" i="227" s="1"/>
  <c r="G16" i="245"/>
  <c r="Z19" i="268"/>
  <c r="AB19" i="268" s="1"/>
  <c r="Q62" i="268"/>
  <c r="R62" i="268" s="1"/>
  <c r="S62" i="268" s="1"/>
  <c r="T21" i="268" s="1"/>
  <c r="U21" i="268" s="1"/>
  <c r="R21" i="268"/>
  <c r="S21" i="268" s="1"/>
  <c r="P18" i="254"/>
  <c r="C16" i="140" s="1"/>
  <c r="R13" i="255"/>
  <c r="J13" i="255"/>
  <c r="F18" i="255"/>
  <c r="R31" i="253"/>
  <c r="F36" i="253"/>
  <c r="J31" i="217"/>
  <c r="R22" i="228"/>
  <c r="F28" i="228"/>
  <c r="F30" i="228" s="1"/>
  <c r="J22" i="228"/>
  <c r="P28" i="227"/>
  <c r="C19" i="139" l="1"/>
  <c r="U28" i="284"/>
  <c r="T80" i="284"/>
  <c r="H16" i="245"/>
  <c r="Z20" i="268"/>
  <c r="AB20" i="268" s="1"/>
  <c r="Y21" i="268"/>
  <c r="E18" i="139" s="1"/>
  <c r="J13" i="245"/>
  <c r="Q22" i="268"/>
  <c r="P30" i="227"/>
  <c r="K25" i="217" s="1"/>
  <c r="K29" i="217" s="1"/>
  <c r="F31" i="254"/>
  <c r="R36" i="253"/>
  <c r="G75" i="276" s="1"/>
  <c r="P13" i="255"/>
  <c r="J18" i="255"/>
  <c r="F13" i="256"/>
  <c r="R18" i="255"/>
  <c r="J28" i="228"/>
  <c r="J30" i="228" s="1"/>
  <c r="P22" i="228"/>
  <c r="K14" i="217"/>
  <c r="K18" i="217" s="1"/>
  <c r="K22" i="217" s="1"/>
  <c r="F22" i="229"/>
  <c r="R28" i="228"/>
  <c r="V28" i="284" l="1"/>
  <c r="V38" i="284" s="1"/>
  <c r="U38" i="284"/>
  <c r="Y15" i="255"/>
  <c r="I55" i="276"/>
  <c r="B20" i="139"/>
  <c r="V13" i="190"/>
  <c r="R30" i="228"/>
  <c r="U15" i="228"/>
  <c r="U17" i="228" s="1"/>
  <c r="U19" i="228" s="1"/>
  <c r="I16" i="245"/>
  <c r="Z21" i="268"/>
  <c r="AB21" i="268" s="1"/>
  <c r="Q63" i="268"/>
  <c r="R63" i="268" s="1"/>
  <c r="S63" i="268" s="1"/>
  <c r="T22" i="268" s="1"/>
  <c r="U22" i="268" s="1"/>
  <c r="R22" i="268"/>
  <c r="S22" i="268" s="1"/>
  <c r="R13" i="256"/>
  <c r="J13" i="256"/>
  <c r="F18" i="256"/>
  <c r="P18" i="255"/>
  <c r="C17" i="140" s="1"/>
  <c r="R31" i="254"/>
  <c r="F36" i="254"/>
  <c r="K31" i="217"/>
  <c r="P28" i="228"/>
  <c r="F28" i="229"/>
  <c r="F30" i="229" s="1"/>
  <c r="R22" i="229"/>
  <c r="J22" i="229"/>
  <c r="C20" i="139" l="1"/>
  <c r="Y22" i="268"/>
  <c r="E19" i="139" s="1"/>
  <c r="K13" i="245"/>
  <c r="Q23" i="268"/>
  <c r="P30" i="228"/>
  <c r="L25" i="217" s="1"/>
  <c r="L29" i="217" s="1"/>
  <c r="F31" i="255"/>
  <c r="R36" i="254"/>
  <c r="H75" i="276" s="1"/>
  <c r="P13" i="256"/>
  <c r="J18" i="256"/>
  <c r="F13" i="257"/>
  <c r="R18" i="256"/>
  <c r="L14" i="217"/>
  <c r="L18" i="217" s="1"/>
  <c r="L22" i="217" s="1"/>
  <c r="J28" i="229"/>
  <c r="J30" i="229" s="1"/>
  <c r="P22" i="229"/>
  <c r="F22" i="230"/>
  <c r="R28" i="229"/>
  <c r="V16" i="190" l="1"/>
  <c r="Y15" i="256"/>
  <c r="J55" i="276"/>
  <c r="B21" i="139"/>
  <c r="J16" i="245"/>
  <c r="R30" i="229"/>
  <c r="U15" i="229"/>
  <c r="U17" i="229" s="1"/>
  <c r="U19" i="229" s="1"/>
  <c r="Z22" i="268"/>
  <c r="AB22" i="268" s="1"/>
  <c r="Q64" i="268"/>
  <c r="R23" i="268"/>
  <c r="P18" i="256"/>
  <c r="C18" i="140" s="1"/>
  <c r="R13" i="257"/>
  <c r="J13" i="257"/>
  <c r="F18" i="257"/>
  <c r="R31" i="255"/>
  <c r="F36" i="255"/>
  <c r="L31" i="217"/>
  <c r="R22" i="230"/>
  <c r="J22" i="230"/>
  <c r="F28" i="230"/>
  <c r="F30" i="230" s="1"/>
  <c r="P28" i="229"/>
  <c r="C21" i="139" l="1"/>
  <c r="L13" i="245"/>
  <c r="Q24" i="268"/>
  <c r="S23" i="268"/>
  <c r="R64" i="268"/>
  <c r="P30" i="229"/>
  <c r="M25" i="217" s="1"/>
  <c r="P13" i="257"/>
  <c r="J18" i="257"/>
  <c r="F31" i="256"/>
  <c r="R36" i="255"/>
  <c r="I75" i="276" s="1"/>
  <c r="F13" i="258"/>
  <c r="R18" i="257"/>
  <c r="J28" i="230"/>
  <c r="J30" i="230" s="1"/>
  <c r="P22" i="230"/>
  <c r="M14" i="217"/>
  <c r="M18" i="217" s="1"/>
  <c r="M22" i="217" s="1"/>
  <c r="F22" i="231"/>
  <c r="R28" i="230"/>
  <c r="Y15" i="257" l="1"/>
  <c r="K55" i="276"/>
  <c r="B22" i="139"/>
  <c r="C22" i="139"/>
  <c r="R30" i="230"/>
  <c r="U15" i="230"/>
  <c r="U17" i="230" s="1"/>
  <c r="U19" i="230" s="1"/>
  <c r="M29" i="217"/>
  <c r="M31" i="217" s="1"/>
  <c r="S64" i="268"/>
  <c r="Q65" i="268"/>
  <c r="R24" i="268"/>
  <c r="J13" i="258"/>
  <c r="R13" i="258"/>
  <c r="F18" i="258"/>
  <c r="R31" i="256"/>
  <c r="F36" i="256"/>
  <c r="P18" i="257"/>
  <c r="C19" i="140" s="1"/>
  <c r="F28" i="231"/>
  <c r="F30" i="231" s="1"/>
  <c r="R22" i="231"/>
  <c r="J22" i="231"/>
  <c r="P28" i="230"/>
  <c r="M13" i="245" l="1"/>
  <c r="Q25" i="268"/>
  <c r="S24" i="268"/>
  <c r="R65" i="268"/>
  <c r="T23" i="268"/>
  <c r="P30" i="230"/>
  <c r="N25" i="217" s="1"/>
  <c r="N29" i="217" s="1"/>
  <c r="F31" i="257"/>
  <c r="R36" i="256"/>
  <c r="J75" i="276" s="1"/>
  <c r="F13" i="259"/>
  <c r="R18" i="258"/>
  <c r="P13" i="258"/>
  <c r="J18" i="258"/>
  <c r="N14" i="217"/>
  <c r="N18" i="217" s="1"/>
  <c r="N22" i="217" s="1"/>
  <c r="J28" i="231"/>
  <c r="J30" i="231" s="1"/>
  <c r="P22" i="231"/>
  <c r="R28" i="231"/>
  <c r="F22" i="232"/>
  <c r="Y15" i="258" l="1"/>
  <c r="L55" i="276"/>
  <c r="B23" i="139"/>
  <c r="R30" i="231"/>
  <c r="U15" i="231"/>
  <c r="U17" i="231" s="1"/>
  <c r="U19" i="231" s="1"/>
  <c r="U23" i="268"/>
  <c r="Y23" i="268" s="1"/>
  <c r="E20" i="139" s="1"/>
  <c r="S65" i="268"/>
  <c r="Q66" i="268"/>
  <c r="R25" i="268"/>
  <c r="R13" i="259"/>
  <c r="J13" i="259"/>
  <c r="F18" i="259"/>
  <c r="P18" i="258"/>
  <c r="R31" i="257"/>
  <c r="F36" i="257"/>
  <c r="N31" i="217"/>
  <c r="R22" i="232"/>
  <c r="J22" i="232"/>
  <c r="F28" i="232"/>
  <c r="F30" i="232" s="1"/>
  <c r="P28" i="231"/>
  <c r="C20" i="140" l="1"/>
  <c r="C23" i="139"/>
  <c r="K16" i="245"/>
  <c r="Z23" i="268"/>
  <c r="AB23" i="268" s="1"/>
  <c r="S25" i="268"/>
  <c r="R66" i="268"/>
  <c r="T24" i="268"/>
  <c r="N13" i="245"/>
  <c r="Q26" i="268"/>
  <c r="P30" i="231"/>
  <c r="O25" i="217" s="1"/>
  <c r="F31" i="258"/>
  <c r="R36" i="257"/>
  <c r="K75" i="276" s="1"/>
  <c r="P13" i="259"/>
  <c r="J18" i="259"/>
  <c r="F13" i="260"/>
  <c r="R18" i="259"/>
  <c r="R28" i="232"/>
  <c r="F12" i="139" s="1"/>
  <c r="F21" i="249"/>
  <c r="J28" i="232"/>
  <c r="J30" i="232" s="1"/>
  <c r="P22" i="232"/>
  <c r="O14" i="217"/>
  <c r="O18" i="217" s="1"/>
  <c r="O22" i="217" s="1"/>
  <c r="Y15" i="259" l="1"/>
  <c r="M55" i="276"/>
  <c r="B24" i="139"/>
  <c r="F14" i="139"/>
  <c r="I11" i="139"/>
  <c r="B11" i="138" s="1"/>
  <c r="I12" i="139"/>
  <c r="B12" i="138" s="1"/>
  <c r="O29" i="217"/>
  <c r="O31" i="217" s="1"/>
  <c r="R30" i="232"/>
  <c r="U15" i="232"/>
  <c r="U17" i="232" s="1"/>
  <c r="U19" i="232" s="1"/>
  <c r="S66" i="268"/>
  <c r="Q67" i="268"/>
  <c r="R26" i="268"/>
  <c r="U24" i="268"/>
  <c r="Y24" i="268" s="1"/>
  <c r="E21" i="139" s="1"/>
  <c r="J13" i="260"/>
  <c r="R13" i="260"/>
  <c r="R18" i="260" s="1"/>
  <c r="F18" i="260"/>
  <c r="P18" i="259"/>
  <c r="C21" i="140" s="1"/>
  <c r="R31" i="258"/>
  <c r="F36" i="258"/>
  <c r="J21" i="249"/>
  <c r="R21" i="249"/>
  <c r="F26" i="249"/>
  <c r="F28" i="249" s="1"/>
  <c r="P14" i="217"/>
  <c r="P18" i="217" s="1"/>
  <c r="P22" i="217" s="1"/>
  <c r="P28" i="232"/>
  <c r="F15" i="139" l="1"/>
  <c r="I14" i="139"/>
  <c r="B14" i="138" s="1"/>
  <c r="C24" i="139"/>
  <c r="Y15" i="260"/>
  <c r="N55" i="276"/>
  <c r="B25" i="139"/>
  <c r="L16" i="245"/>
  <c r="Z24" i="268"/>
  <c r="AB24" i="268" s="1"/>
  <c r="O13" i="245"/>
  <c r="Q27" i="268"/>
  <c r="T25" i="268"/>
  <c r="S26" i="268"/>
  <c r="R67" i="268"/>
  <c r="P30" i="232"/>
  <c r="P25" i="217" s="1"/>
  <c r="D25" i="245" s="1"/>
  <c r="D29" i="245" s="1"/>
  <c r="F31" i="259"/>
  <c r="R36" i="258"/>
  <c r="L75" i="276" s="1"/>
  <c r="P13" i="260"/>
  <c r="J18" i="260"/>
  <c r="F21" i="250"/>
  <c r="R26" i="249"/>
  <c r="P21" i="249"/>
  <c r="J26" i="249"/>
  <c r="J28" i="249" s="1"/>
  <c r="Q13" i="217"/>
  <c r="Q14" i="217" s="1"/>
  <c r="Q18" i="217" s="1"/>
  <c r="Q22" i="217" s="1"/>
  <c r="C14" i="138" l="1"/>
  <c r="F16" i="139"/>
  <c r="I15" i="139"/>
  <c r="Q25" i="217"/>
  <c r="Q29" i="217" s="1"/>
  <c r="Q31" i="217" s="1"/>
  <c r="P29" i="217"/>
  <c r="P31" i="217" s="1"/>
  <c r="R28" i="249"/>
  <c r="Y14" i="249"/>
  <c r="Y16" i="249" s="1"/>
  <c r="U25" i="268"/>
  <c r="Y25" i="268" s="1"/>
  <c r="E22" i="139" s="1"/>
  <c r="S67" i="268"/>
  <c r="Q68" i="268"/>
  <c r="R27" i="268"/>
  <c r="P18" i="260"/>
  <c r="C22" i="140" s="1"/>
  <c r="C23" i="140" s="1"/>
  <c r="R31" i="259"/>
  <c r="F36" i="259"/>
  <c r="R21" i="250"/>
  <c r="J21" i="250"/>
  <c r="F26" i="250"/>
  <c r="F28" i="250" s="1"/>
  <c r="P26" i="249"/>
  <c r="C25" i="139" l="1"/>
  <c r="B15" i="138"/>
  <c r="F17" i="139"/>
  <c r="I16" i="139"/>
  <c r="P28" i="249"/>
  <c r="E25" i="245" s="1"/>
  <c r="E29" i="245" s="1"/>
  <c r="D11" i="140"/>
  <c r="M16" i="245"/>
  <c r="Z25" i="268"/>
  <c r="AB25" i="268" s="1"/>
  <c r="P13" i="245"/>
  <c r="Q28" i="268"/>
  <c r="T26" i="268"/>
  <c r="S27" i="268"/>
  <c r="R68" i="268"/>
  <c r="F31" i="260"/>
  <c r="R36" i="259"/>
  <c r="M75" i="276" s="1"/>
  <c r="P21" i="250"/>
  <c r="J26" i="250"/>
  <c r="J28" i="250" s="1"/>
  <c r="F21" i="251"/>
  <c r="R26" i="250"/>
  <c r="P41" i="249" l="1"/>
  <c r="F18" i="139"/>
  <c r="I17" i="139"/>
  <c r="C15" i="138"/>
  <c r="B16" i="138"/>
  <c r="W13" i="190"/>
  <c r="Q13" i="245"/>
  <c r="D12" i="278"/>
  <c r="F11" i="140"/>
  <c r="R28" i="250"/>
  <c r="Y14" i="250"/>
  <c r="Y16" i="250" s="1"/>
  <c r="U26" i="268"/>
  <c r="Y26" i="268" s="1"/>
  <c r="E23" i="139" s="1"/>
  <c r="Q69" i="268"/>
  <c r="R28" i="268"/>
  <c r="Q38" i="268"/>
  <c r="S68" i="268"/>
  <c r="R31" i="260"/>
  <c r="R36" i="260" s="1"/>
  <c r="N75" i="276" s="1"/>
  <c r="F36" i="260"/>
  <c r="R21" i="251"/>
  <c r="J21" i="251"/>
  <c r="F26" i="251"/>
  <c r="F28" i="251" s="1"/>
  <c r="P26" i="250"/>
  <c r="B17" i="138" l="1"/>
  <c r="C17" i="138" s="1"/>
  <c r="C16" i="138"/>
  <c r="F19" i="139"/>
  <c r="I18" i="139"/>
  <c r="H14" i="138"/>
  <c r="P28" i="250"/>
  <c r="D12" i="140"/>
  <c r="E12" i="278"/>
  <c r="T27" i="268"/>
  <c r="R69" i="268"/>
  <c r="Q79" i="268"/>
  <c r="N16" i="245"/>
  <c r="Z26" i="268"/>
  <c r="AB26" i="268" s="1"/>
  <c r="S28" i="268"/>
  <c r="S38" i="268" s="1"/>
  <c r="R38" i="268"/>
  <c r="P21" i="251"/>
  <c r="J26" i="251"/>
  <c r="J28" i="251" s="1"/>
  <c r="F21" i="252"/>
  <c r="R26" i="251"/>
  <c r="F20" i="139" l="1"/>
  <c r="I19" i="139"/>
  <c r="V11" i="190"/>
  <c r="B18" i="138"/>
  <c r="F12" i="278"/>
  <c r="G12" i="278" s="1"/>
  <c r="H12" i="278" s="1"/>
  <c r="I12" i="278" s="1"/>
  <c r="J12" i="278" s="1"/>
  <c r="K12" i="278" s="1"/>
  <c r="L12" i="278" s="1"/>
  <c r="M12" i="278" s="1"/>
  <c r="N12" i="278" s="1"/>
  <c r="O12" i="278" s="1"/>
  <c r="P12" i="278" s="1"/>
  <c r="F25" i="245"/>
  <c r="F29" i="245" s="1"/>
  <c r="F12" i="140"/>
  <c r="R28" i="251"/>
  <c r="Y14" i="251"/>
  <c r="Y16" i="251" s="1"/>
  <c r="S69" i="268"/>
  <c r="R79" i="268"/>
  <c r="U27" i="268"/>
  <c r="Y27" i="268" s="1"/>
  <c r="E24" i="139" s="1"/>
  <c r="J21" i="252"/>
  <c r="R21" i="252"/>
  <c r="F26" i="252"/>
  <c r="F28" i="252" s="1"/>
  <c r="P26" i="251"/>
  <c r="C18" i="138" l="1"/>
  <c r="B19" i="138"/>
  <c r="F21" i="139"/>
  <c r="I20" i="139"/>
  <c r="Q12" i="278"/>
  <c r="H15" i="138"/>
  <c r="P28" i="251"/>
  <c r="D13" i="140"/>
  <c r="P41" i="250"/>
  <c r="O16" i="245"/>
  <c r="Z27" i="268"/>
  <c r="AB27" i="268" s="1"/>
  <c r="T28" i="268"/>
  <c r="S79" i="268"/>
  <c r="F21" i="253"/>
  <c r="R26" i="252"/>
  <c r="P21" i="252"/>
  <c r="J26" i="252"/>
  <c r="J28" i="252" s="1"/>
  <c r="B20" i="138" l="1"/>
  <c r="C20" i="138" s="1"/>
  <c r="F22" i="139"/>
  <c r="I21" i="139"/>
  <c r="C19" i="138"/>
  <c r="G25" i="245"/>
  <c r="G29" i="245" s="1"/>
  <c r="F13" i="140"/>
  <c r="R28" i="252"/>
  <c r="Y14" i="252"/>
  <c r="Y16" i="252" s="1"/>
  <c r="U28" i="268"/>
  <c r="U38" i="268" s="1"/>
  <c r="T38" i="268"/>
  <c r="P26" i="252"/>
  <c r="R21" i="253"/>
  <c r="J21" i="253"/>
  <c r="F26" i="253"/>
  <c r="F28" i="253" s="1"/>
  <c r="F23" i="139" l="1"/>
  <c r="I22" i="139"/>
  <c r="B21" i="138"/>
  <c r="C21" i="138" s="1"/>
  <c r="P41" i="251"/>
  <c r="P28" i="252"/>
  <c r="D14" i="140"/>
  <c r="H16" i="138"/>
  <c r="Y28" i="268"/>
  <c r="P21" i="253"/>
  <c r="J26" i="253"/>
  <c r="J28" i="253" s="1"/>
  <c r="F21" i="254"/>
  <c r="R26" i="253"/>
  <c r="B22" i="138" l="1"/>
  <c r="C22" i="138" s="1"/>
  <c r="Z16" i="284"/>
  <c r="Z17" i="284" s="1"/>
  <c r="E25" i="139"/>
  <c r="F24" i="139"/>
  <c r="I23" i="139"/>
  <c r="H25" i="245"/>
  <c r="H29" i="245" s="1"/>
  <c r="F14" i="140"/>
  <c r="P16" i="245"/>
  <c r="Y38" i="268"/>
  <c r="Z28" i="268"/>
  <c r="AB28" i="268" s="1"/>
  <c r="R28" i="253"/>
  <c r="Y14" i="253"/>
  <c r="Y16" i="253" s="1"/>
  <c r="R21" i="254"/>
  <c r="J21" i="254"/>
  <c r="F26" i="254"/>
  <c r="F28" i="254" s="1"/>
  <c r="P26" i="253"/>
  <c r="AC16" i="284" l="1"/>
  <c r="B23" i="138"/>
  <c r="C23" i="138" s="1"/>
  <c r="D15" i="278"/>
  <c r="Q16" i="245"/>
  <c r="F25" i="139"/>
  <c r="I24" i="139"/>
  <c r="W16" i="190"/>
  <c r="E15" i="278"/>
  <c r="AA17" i="284"/>
  <c r="AC17" i="284" s="1"/>
  <c r="Z18" i="284"/>
  <c r="P28" i="253"/>
  <c r="D15" i="140"/>
  <c r="H17" i="138"/>
  <c r="P41" i="252"/>
  <c r="AB38" i="268"/>
  <c r="F21" i="255"/>
  <c r="R26" i="254"/>
  <c r="P21" i="254"/>
  <c r="J26" i="254"/>
  <c r="J28" i="254" s="1"/>
  <c r="B24" i="138" l="1"/>
  <c r="C24" i="138" s="1"/>
  <c r="I25" i="139"/>
  <c r="W11" i="190"/>
  <c r="F15" i="278"/>
  <c r="AA18" i="284"/>
  <c r="AC18" i="284" s="1"/>
  <c r="Z19" i="284"/>
  <c r="F15" i="140"/>
  <c r="I25" i="245"/>
  <c r="I29" i="245" s="1"/>
  <c r="R28" i="254"/>
  <c r="Y14" i="254"/>
  <c r="Y16" i="254" s="1"/>
  <c r="P26" i="254"/>
  <c r="J21" i="255"/>
  <c r="R21" i="255"/>
  <c r="F26" i="255"/>
  <c r="F28" i="255" s="1"/>
  <c r="B25" i="138" l="1"/>
  <c r="G15" i="278"/>
  <c r="Z20" i="284"/>
  <c r="AA19" i="284"/>
  <c r="AC19" i="284" s="1"/>
  <c r="H18" i="138"/>
  <c r="P41" i="253"/>
  <c r="P28" i="254"/>
  <c r="D16" i="140"/>
  <c r="F21" i="256"/>
  <c r="R26" i="255"/>
  <c r="P21" i="255"/>
  <c r="J26" i="255"/>
  <c r="J28" i="255" s="1"/>
  <c r="C25" i="138" l="1"/>
  <c r="H15" i="278"/>
  <c r="AA20" i="284"/>
  <c r="AC20" i="284" s="1"/>
  <c r="Z21" i="284"/>
  <c r="F16" i="140"/>
  <c r="H19" i="138" s="1"/>
  <c r="J25" i="245"/>
  <c r="J29" i="245" s="1"/>
  <c r="R28" i="255"/>
  <c r="Y14" i="255"/>
  <c r="Y16" i="255" s="1"/>
  <c r="P26" i="255"/>
  <c r="R21" i="256"/>
  <c r="J21" i="256"/>
  <c r="F26" i="256"/>
  <c r="F28" i="256" s="1"/>
  <c r="D22" i="138" l="1"/>
  <c r="E22" i="138" s="1"/>
  <c r="G22" i="138" s="1"/>
  <c r="D16" i="138"/>
  <c r="E16" i="138" s="1"/>
  <c r="G16" i="138" s="1"/>
  <c r="I16" i="138" s="1"/>
  <c r="D19" i="138"/>
  <c r="E19" i="138" s="1"/>
  <c r="G19" i="138" s="1"/>
  <c r="I19" i="138" s="1"/>
  <c r="D25" i="138"/>
  <c r="E25" i="138" s="1"/>
  <c r="G25" i="138" s="1"/>
  <c r="D24" i="138"/>
  <c r="E24" i="138" s="1"/>
  <c r="G24" i="138" s="1"/>
  <c r="D21" i="138"/>
  <c r="E21" i="138" s="1"/>
  <c r="G21" i="138" s="1"/>
  <c r="D20" i="138"/>
  <c r="E20" i="138" s="1"/>
  <c r="G20" i="138" s="1"/>
  <c r="D17" i="138"/>
  <c r="E17" i="138" s="1"/>
  <c r="G17" i="138" s="1"/>
  <c r="I17" i="138" s="1"/>
  <c r="D18" i="138"/>
  <c r="E18" i="138" s="1"/>
  <c r="G18" i="138" s="1"/>
  <c r="I18" i="138" s="1"/>
  <c r="D23" i="138"/>
  <c r="E23" i="138" s="1"/>
  <c r="G23" i="138" s="1"/>
  <c r="D15" i="138"/>
  <c r="E15" i="138" s="1"/>
  <c r="G15" i="138" s="1"/>
  <c r="I15" i="138" s="1"/>
  <c r="D14" i="138"/>
  <c r="E14" i="138" s="1"/>
  <c r="G14" i="138" s="1"/>
  <c r="I15" i="278"/>
  <c r="Z22" i="284"/>
  <c r="AA21" i="284"/>
  <c r="AC21" i="284" s="1"/>
  <c r="P41" i="254"/>
  <c r="P28" i="255"/>
  <c r="D17" i="140"/>
  <c r="K18" i="138"/>
  <c r="B15" i="137"/>
  <c r="F21" i="257"/>
  <c r="R26" i="256"/>
  <c r="P21" i="256"/>
  <c r="J26" i="256"/>
  <c r="J28" i="256" s="1"/>
  <c r="B16" i="137" l="1"/>
  <c r="K19" i="138"/>
  <c r="G26" i="138"/>
  <c r="W22" i="190" s="1"/>
  <c r="I14" i="138"/>
  <c r="K15" i="138"/>
  <c r="B12" i="137"/>
  <c r="D12" i="137" s="1"/>
  <c r="G12" i="137" s="1"/>
  <c r="K16" i="138"/>
  <c r="B13" i="137"/>
  <c r="D13" i="137" s="1"/>
  <c r="G13" i="137" s="1"/>
  <c r="K17" i="138"/>
  <c r="B14" i="137"/>
  <c r="D14" i="137" s="1"/>
  <c r="G14" i="137" s="1"/>
  <c r="J15" i="278"/>
  <c r="AA22" i="284"/>
  <c r="AC22" i="284" s="1"/>
  <c r="Z23" i="284"/>
  <c r="F17" i="140"/>
  <c r="H20" i="138" s="1"/>
  <c r="I20" i="138" s="1"/>
  <c r="D16" i="137"/>
  <c r="G16" i="137" s="1"/>
  <c r="D15" i="137"/>
  <c r="G15" i="137" s="1"/>
  <c r="K25" i="245"/>
  <c r="K29" i="245" s="1"/>
  <c r="R28" i="256"/>
  <c r="Y14" i="256"/>
  <c r="Y16" i="256" s="1"/>
  <c r="P26" i="256"/>
  <c r="R21" i="257"/>
  <c r="J21" i="257"/>
  <c r="F26" i="257"/>
  <c r="F28" i="257" s="1"/>
  <c r="K14" i="138" l="1"/>
  <c r="B11" i="137"/>
  <c r="D11" i="137" s="1"/>
  <c r="G11" i="137" s="1"/>
  <c r="K15" i="278"/>
  <c r="Z24" i="284"/>
  <c r="AA23" i="284"/>
  <c r="AC23" i="284" s="1"/>
  <c r="P41" i="255"/>
  <c r="P28" i="256"/>
  <c r="D18" i="140"/>
  <c r="K20" i="138"/>
  <c r="B17" i="137"/>
  <c r="F21" i="258"/>
  <c r="R26" i="257"/>
  <c r="P21" i="257"/>
  <c r="J26" i="257"/>
  <c r="J28" i="257" s="1"/>
  <c r="L15" i="278" l="1"/>
  <c r="Z25" i="284"/>
  <c r="AA24" i="284"/>
  <c r="AC24" i="284" s="1"/>
  <c r="F18" i="140"/>
  <c r="H21" i="138" s="1"/>
  <c r="I21" i="138" s="1"/>
  <c r="L25" i="245"/>
  <c r="L29" i="245" s="1"/>
  <c r="D17" i="137"/>
  <c r="G17" i="137" s="1"/>
  <c r="R28" i="257"/>
  <c r="Y14" i="257"/>
  <c r="Y16" i="257" s="1"/>
  <c r="P26" i="257"/>
  <c r="R21" i="258"/>
  <c r="J21" i="258"/>
  <c r="F26" i="258"/>
  <c r="F28" i="258" s="1"/>
  <c r="M15" i="278" l="1"/>
  <c r="Z26" i="284"/>
  <c r="AA25" i="284"/>
  <c r="AC25" i="284" s="1"/>
  <c r="P41" i="256"/>
  <c r="B18" i="137"/>
  <c r="K21" i="138"/>
  <c r="P28" i="257"/>
  <c r="D19" i="140"/>
  <c r="P21" i="258"/>
  <c r="J26" i="258"/>
  <c r="J28" i="258" s="1"/>
  <c r="F21" i="259"/>
  <c r="R26" i="258"/>
  <c r="N15" i="278" l="1"/>
  <c r="AA26" i="284"/>
  <c r="AC26" i="284" s="1"/>
  <c r="Z27" i="284"/>
  <c r="M25" i="245"/>
  <c r="M29" i="245" s="1"/>
  <c r="F19" i="140"/>
  <c r="H22" i="138" s="1"/>
  <c r="I22" i="138" s="1"/>
  <c r="D18" i="137"/>
  <c r="G18" i="137" s="1"/>
  <c r="R28" i="258"/>
  <c r="Y14" i="258"/>
  <c r="Y16" i="258" s="1"/>
  <c r="J21" i="259"/>
  <c r="R21" i="259"/>
  <c r="F26" i="259"/>
  <c r="F28" i="259" s="1"/>
  <c r="P26" i="258"/>
  <c r="O15" i="278" l="1"/>
  <c r="AA27" i="284"/>
  <c r="AC27" i="284" s="1"/>
  <c r="Z28" i="284"/>
  <c r="K22" i="138"/>
  <c r="B19" i="137"/>
  <c r="P28" i="258"/>
  <c r="D20" i="140"/>
  <c r="P41" i="257"/>
  <c r="F21" i="260"/>
  <c r="R26" i="259"/>
  <c r="P21" i="259"/>
  <c r="J26" i="259"/>
  <c r="J28" i="259" s="1"/>
  <c r="P15" i="278" l="1"/>
  <c r="AA28" i="284"/>
  <c r="AC28" i="284" s="1"/>
  <c r="Q15" i="278" s="1"/>
  <c r="Z38" i="284"/>
  <c r="F20" i="140"/>
  <c r="H23" i="138" s="1"/>
  <c r="I23" i="138" s="1"/>
  <c r="N25" i="245"/>
  <c r="N29" i="245" s="1"/>
  <c r="D19" i="137"/>
  <c r="G19" i="137" s="1"/>
  <c r="R28" i="259"/>
  <c r="Y14" i="259"/>
  <c r="Y16" i="259" s="1"/>
  <c r="P26" i="259"/>
  <c r="R21" i="260"/>
  <c r="R26" i="260" s="1"/>
  <c r="J21" i="260"/>
  <c r="F26" i="260"/>
  <c r="F28" i="260" s="1"/>
  <c r="AC38" i="284" l="1"/>
  <c r="P41" i="258"/>
  <c r="P28" i="259"/>
  <c r="D21" i="140"/>
  <c r="K23" i="138"/>
  <c r="B20" i="137"/>
  <c r="R28" i="260"/>
  <c r="Y14" i="260"/>
  <c r="Y16" i="260" s="1"/>
  <c r="P21" i="260"/>
  <c r="J26" i="260"/>
  <c r="J28" i="260" s="1"/>
  <c r="F21" i="140" l="1"/>
  <c r="H24" i="138" s="1"/>
  <c r="I24" i="138" s="1"/>
  <c r="D20" i="137"/>
  <c r="G20" i="137" s="1"/>
  <c r="O25" i="245"/>
  <c r="O29" i="245" s="1"/>
  <c r="P26" i="260"/>
  <c r="P28" i="260" l="1"/>
  <c r="D22" i="140"/>
  <c r="P41" i="259"/>
  <c r="K24" i="138"/>
  <c r="B21" i="137"/>
  <c r="D14" i="245"/>
  <c r="D18" i="245" s="1"/>
  <c r="E11" i="245"/>
  <c r="F11" i="245" s="1"/>
  <c r="F22" i="140" l="1"/>
  <c r="D23" i="140"/>
  <c r="W25" i="190" s="1"/>
  <c r="D21" i="137"/>
  <c r="G21" i="137" s="1"/>
  <c r="P25" i="245"/>
  <c r="P29" i="245" s="1"/>
  <c r="Y17" i="250"/>
  <c r="Y18" i="250" s="1"/>
  <c r="G11" i="245"/>
  <c r="F14" i="245"/>
  <c r="F18" i="245" s="1"/>
  <c r="F22" i="245" s="1"/>
  <c r="F31" i="245" s="1"/>
  <c r="D22" i="245"/>
  <c r="D31" i="245" s="1"/>
  <c r="E14" i="245"/>
  <c r="E18" i="245" s="1"/>
  <c r="E22" i="245" s="1"/>
  <c r="E31" i="245" s="1"/>
  <c r="Y17" i="249"/>
  <c r="Y18" i="249" s="1"/>
  <c r="D24" i="278" l="1"/>
  <c r="D28" i="278" s="1"/>
  <c r="P41" i="260"/>
  <c r="Q25" i="245"/>
  <c r="Q29" i="245" s="1"/>
  <c r="H25" i="138"/>
  <c r="F23" i="140"/>
  <c r="Q28" i="278"/>
  <c r="G14" i="245"/>
  <c r="G18" i="245" s="1"/>
  <c r="G22" i="245" s="1"/>
  <c r="G31" i="245" s="1"/>
  <c r="H11" i="245"/>
  <c r="Y17" i="251"/>
  <c r="Y18" i="251" s="1"/>
  <c r="I25" i="138" l="1"/>
  <c r="H26" i="138"/>
  <c r="W29" i="190" s="1"/>
  <c r="H14" i="245"/>
  <c r="H18" i="245" s="1"/>
  <c r="H22" i="245" s="1"/>
  <c r="H31" i="245" s="1"/>
  <c r="I11" i="245"/>
  <c r="Y17" i="252"/>
  <c r="Y18" i="252" s="1"/>
  <c r="K25" i="138" l="1"/>
  <c r="B22" i="137"/>
  <c r="I26" i="138"/>
  <c r="W31" i="190" s="1"/>
  <c r="Y17" i="253"/>
  <c r="Y18" i="253" s="1"/>
  <c r="J11" i="245"/>
  <c r="I14" i="245"/>
  <c r="I18" i="245" s="1"/>
  <c r="I22" i="245" s="1"/>
  <c r="I31" i="245" s="1"/>
  <c r="D22" i="137" l="1"/>
  <c r="G22" i="137" s="1"/>
  <c r="K26" i="138"/>
  <c r="J14" i="245"/>
  <c r="J18" i="245" s="1"/>
  <c r="J22" i="245" s="1"/>
  <c r="J31" i="245" s="1"/>
  <c r="Y17" i="254"/>
  <c r="Y18" i="254" s="1"/>
  <c r="K11" i="245"/>
  <c r="G23" i="137" l="1"/>
  <c r="K14" i="245"/>
  <c r="K18" i="245" s="1"/>
  <c r="K22" i="245" s="1"/>
  <c r="K31" i="245" s="1"/>
  <c r="Y17" i="255"/>
  <c r="Y18" i="255" s="1"/>
  <c r="L11" i="245"/>
  <c r="E22" i="135" l="1"/>
  <c r="L14" i="245"/>
  <c r="L18" i="245" s="1"/>
  <c r="L22" i="245" s="1"/>
  <c r="L31" i="245" s="1"/>
  <c r="M11" i="245"/>
  <c r="Y17" i="256"/>
  <c r="Y18" i="256" s="1"/>
  <c r="E21" i="135" l="1"/>
  <c r="G21" i="135" s="1"/>
  <c r="H11" i="135" s="1"/>
  <c r="E19" i="135"/>
  <c r="G19" i="135" s="1"/>
  <c r="H9" i="135" s="1"/>
  <c r="E20" i="135"/>
  <c r="G20" i="135" s="1"/>
  <c r="H10" i="135" s="1"/>
  <c r="N11" i="245"/>
  <c r="M14" i="245"/>
  <c r="M18" i="245" s="1"/>
  <c r="M22" i="245" s="1"/>
  <c r="M31" i="245" s="1"/>
  <c r="Y17" i="257"/>
  <c r="Y18" i="257" s="1"/>
  <c r="N14" i="245" l="1"/>
  <c r="N18" i="245" s="1"/>
  <c r="N22" i="245" s="1"/>
  <c r="N31" i="245" s="1"/>
  <c r="Y17" i="258"/>
  <c r="Y18" i="258" s="1"/>
  <c r="O11" i="245"/>
  <c r="P11" i="245" l="1"/>
  <c r="O14" i="245"/>
  <c r="O18" i="245" s="1"/>
  <c r="O22" i="245" s="1"/>
  <c r="O31" i="245" s="1"/>
  <c r="Y17" i="259"/>
  <c r="Y18" i="259" s="1"/>
  <c r="D10" i="278" l="1"/>
  <c r="P14" i="245"/>
  <c r="P18" i="245" s="1"/>
  <c r="P22" i="245" s="1"/>
  <c r="P31" i="245" s="1"/>
  <c r="Y17" i="260"/>
  <c r="Y18" i="260" s="1"/>
  <c r="Q11" i="245"/>
  <c r="Q14" i="245" s="1"/>
  <c r="Q18" i="245" s="1"/>
  <c r="Q22" i="245" s="1"/>
  <c r="Q31" i="245" s="1"/>
  <c r="E27" i="280" l="1"/>
  <c r="E10" i="278"/>
  <c r="D13" i="278"/>
  <c r="D17" i="278" s="1"/>
  <c r="D21" i="278" s="1"/>
  <c r="D30" i="278" s="1"/>
  <c r="F27" i="280" l="1"/>
  <c r="F10" i="278"/>
  <c r="F13" i="278" s="1"/>
  <c r="F17" i="278" s="1"/>
  <c r="F21" i="278" s="1"/>
  <c r="F30" i="278" s="1"/>
  <c r="E13" i="278"/>
  <c r="E17" i="278" s="1"/>
  <c r="E21" i="278" s="1"/>
  <c r="E30" i="278" s="1"/>
  <c r="G27" i="280" l="1"/>
  <c r="G10" i="278"/>
  <c r="G13" i="278" l="1"/>
  <c r="G17" i="278" s="1"/>
  <c r="G21" i="278" s="1"/>
  <c r="G30" i="278" s="1"/>
  <c r="H10" i="278"/>
  <c r="H13" i="278" s="1"/>
  <c r="H17" i="278" s="1"/>
  <c r="H21" i="278" s="1"/>
  <c r="H30" i="278" s="1"/>
  <c r="H27" i="280"/>
  <c r="I10" i="278" l="1"/>
  <c r="I13" i="278" s="1"/>
  <c r="I17" i="278" s="1"/>
  <c r="I21" i="278" s="1"/>
  <c r="I30" i="278" s="1"/>
  <c r="I27" i="280"/>
  <c r="J10" i="278" l="1"/>
  <c r="J13" i="278" s="1"/>
  <c r="J17" i="278" s="1"/>
  <c r="J21" i="278" s="1"/>
  <c r="J30" i="278" s="1"/>
  <c r="J27" i="280"/>
  <c r="K10" i="278" l="1"/>
  <c r="K13" i="278" s="1"/>
  <c r="K17" i="278" s="1"/>
  <c r="K21" i="278" s="1"/>
  <c r="K30" i="278" s="1"/>
  <c r="K27" i="280"/>
  <c r="L10" i="278" l="1"/>
  <c r="L13" i="278" s="1"/>
  <c r="L17" i="278" s="1"/>
  <c r="L21" i="278" s="1"/>
  <c r="L30" i="278" s="1"/>
  <c r="L27" i="280"/>
  <c r="M10" i="278" l="1"/>
  <c r="M27" i="280"/>
  <c r="M13" i="278"/>
  <c r="M17" i="278" s="1"/>
  <c r="M21" i="278" s="1"/>
  <c r="M30" i="278" s="1"/>
  <c r="N10" i="278" l="1"/>
  <c r="N13" i="278" s="1"/>
  <c r="N17" i="278" s="1"/>
  <c r="N21" i="278" s="1"/>
  <c r="N30" i="278" s="1"/>
  <c r="N27" i="280"/>
  <c r="O10" i="278" l="1"/>
  <c r="O13" i="278" s="1"/>
  <c r="O17" i="278" s="1"/>
  <c r="O21" i="278" s="1"/>
  <c r="O30" i="278" s="1"/>
  <c r="O27" i="280"/>
  <c r="P10" i="278" l="1"/>
  <c r="P13" i="278" s="1"/>
  <c r="P17" i="278" s="1"/>
  <c r="P21" i="278" s="1"/>
  <c r="P30" i="278" s="1"/>
  <c r="P27" i="280"/>
  <c r="Q27" i="280" l="1"/>
  <c r="Q10" i="278"/>
  <c r="Q13" i="278" s="1"/>
  <c r="Q17" i="278" s="1"/>
  <c r="Q21" i="278" s="1"/>
  <c r="Q30" i="278" s="1"/>
  <c r="E12" i="135" s="1"/>
  <c r="E11" i="135" l="1"/>
  <c r="G11" i="135" s="1"/>
  <c r="I11" i="135" s="1"/>
  <c r="E9" i="135"/>
  <c r="G9" i="135" s="1"/>
  <c r="E10" i="135"/>
  <c r="G10" i="135" s="1"/>
  <c r="I10" i="135" s="1"/>
  <c r="I9" i="135" l="1"/>
</calcChain>
</file>

<file path=xl/sharedStrings.xml><?xml version="1.0" encoding="utf-8"?>
<sst xmlns="http://schemas.openxmlformats.org/spreadsheetml/2006/main" count="11915" uniqueCount="1082">
  <si>
    <t>Depreciation</t>
  </si>
  <si>
    <t>Plant</t>
  </si>
  <si>
    <t>Rates</t>
  </si>
  <si>
    <t>Total</t>
  </si>
  <si>
    <t>Line</t>
  </si>
  <si>
    <t>No.</t>
  </si>
  <si>
    <t>Description</t>
  </si>
  <si>
    <t>Account</t>
  </si>
  <si>
    <t>Beginning</t>
  </si>
  <si>
    <t>Balance</t>
  </si>
  <si>
    <t>Depr</t>
  </si>
  <si>
    <t>Depr on</t>
  </si>
  <si>
    <t>Retirements</t>
  </si>
  <si>
    <t>Adds/Ret</t>
  </si>
  <si>
    <t>Ending</t>
  </si>
  <si>
    <t>(5)=(3)*(4)</t>
  </si>
  <si>
    <t>(7)=(4)*(6)*50%</t>
  </si>
  <si>
    <t>(9)=(6)+(3)</t>
  </si>
  <si>
    <t>Total Plant</t>
  </si>
  <si>
    <t>Cost of Removal</t>
  </si>
  <si>
    <t>Additions</t>
  </si>
  <si>
    <t>Total Additions</t>
  </si>
  <si>
    <t>Total Retirements</t>
  </si>
  <si>
    <t>Total Cost of Removal</t>
  </si>
  <si>
    <t>MACRS</t>
  </si>
  <si>
    <t>Tax Rate</t>
  </si>
  <si>
    <t>Life</t>
  </si>
  <si>
    <t>Year</t>
  </si>
  <si>
    <t>Year 1</t>
  </si>
  <si>
    <t>Year 2</t>
  </si>
  <si>
    <t>Year 3</t>
  </si>
  <si>
    <t>Year 4</t>
  </si>
  <si>
    <t>Year 5</t>
  </si>
  <si>
    <t>Year 6</t>
  </si>
  <si>
    <t>Tax</t>
  </si>
  <si>
    <t>Cost</t>
  </si>
  <si>
    <t>of</t>
  </si>
  <si>
    <t>Removal</t>
  </si>
  <si>
    <t>Book</t>
  </si>
  <si>
    <t>Difference</t>
  </si>
  <si>
    <t>Deferred</t>
  </si>
  <si>
    <t>Accumulated</t>
  </si>
  <si>
    <t>Taxes</t>
  </si>
  <si>
    <t>Tax Depreciation</t>
  </si>
  <si>
    <t>Capital Structure</t>
  </si>
  <si>
    <t>Ratio</t>
  </si>
  <si>
    <t>Weighted</t>
  </si>
  <si>
    <t>Tax Gross-up</t>
  </si>
  <si>
    <t>Short term debt</t>
  </si>
  <si>
    <t>Common equity</t>
  </si>
  <si>
    <t>Long term debt</t>
  </si>
  <si>
    <t>Rate Base</t>
  </si>
  <si>
    <t>Accumulated Depreciation Reserve</t>
  </si>
  <si>
    <t xml:space="preserve">  Net Gas Plant</t>
  </si>
  <si>
    <t>Accumulated Deferred Taxes</t>
  </si>
  <si>
    <t>Net Rate Base</t>
  </si>
  <si>
    <t>Rate of Return</t>
  </si>
  <si>
    <t>Return on Net Rate Base</t>
  </si>
  <si>
    <t>Operating Expenses</t>
  </si>
  <si>
    <t>Incremental Operation &amp; Maintenance</t>
  </si>
  <si>
    <t xml:space="preserve">  Total Operating Expenses</t>
  </si>
  <si>
    <t>and</t>
  </si>
  <si>
    <t>Services-Lines</t>
  </si>
  <si>
    <t>Services-Risers</t>
  </si>
  <si>
    <t>Allocation Percent</t>
  </si>
  <si>
    <t>LOUISVILLE GAS AND ELECTRIC COMPANY</t>
  </si>
  <si>
    <t>RATE OF RETURN</t>
  </si>
  <si>
    <t>TOTAL</t>
  </si>
  <si>
    <t>20-year</t>
  </si>
  <si>
    <t>15-year</t>
  </si>
  <si>
    <t>Service Line Retirements</t>
  </si>
  <si>
    <t>Riser Retirements</t>
  </si>
  <si>
    <t>Repairs</t>
  </si>
  <si>
    <t>TAX DEPRECIATION</t>
  </si>
  <si>
    <t>Adjusted for</t>
  </si>
  <si>
    <t>Income Taxes</t>
  </si>
  <si>
    <t>REVENUE REQUIREMENT</t>
  </si>
  <si>
    <t>Service Line Capex</t>
  </si>
  <si>
    <t>Riser Capex</t>
  </si>
  <si>
    <t xml:space="preserve">     Gas Plant Investment</t>
  </si>
  <si>
    <t>Service Line Cost of Removal</t>
  </si>
  <si>
    <t>Riser Cost of Removal</t>
  </si>
  <si>
    <t xml:space="preserve">     Cost of Removal</t>
  </si>
  <si>
    <t>Jan</t>
  </si>
  <si>
    <t>Feb</t>
  </si>
  <si>
    <t>May</t>
  </si>
  <si>
    <t>Jul</t>
  </si>
  <si>
    <t>Aug</t>
  </si>
  <si>
    <t>Sep</t>
  </si>
  <si>
    <t>Oct</t>
  </si>
  <si>
    <t>Nov</t>
  </si>
  <si>
    <t>Dec</t>
  </si>
  <si>
    <t>January</t>
  </si>
  <si>
    <t>Current Month</t>
  </si>
  <si>
    <t>(8)=(5)+(7)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</si>
  <si>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</si>
  <si>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</si>
  <si>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</si>
  <si>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</si>
  <si>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</si>
  <si>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</si>
  <si>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</si>
  <si>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</si>
  <si>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</si>
  <si>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</si>
  <si>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Month</t>
  </si>
  <si>
    <t>Project</t>
  </si>
  <si>
    <t>Project Desc</t>
  </si>
  <si>
    <t>Sept</t>
  </si>
  <si>
    <t>Investment</t>
  </si>
  <si>
    <t>107001</t>
  </si>
  <si>
    <t>CCSO419</t>
  </si>
  <si>
    <t>REPL EXIST CUST SRV W RISER</t>
  </si>
  <si>
    <t>CCSO421</t>
  </si>
  <si>
    <t>REPL EXIST CS WITH RISER-MUL</t>
  </si>
  <si>
    <t>CCSO4485</t>
  </si>
  <si>
    <t>REPL EXIST CS &amp; RISER-4485</t>
  </si>
  <si>
    <t>CNBCS419</t>
  </si>
  <si>
    <t>NB CUST SRV LINE &amp; GAS RISER</t>
  </si>
  <si>
    <t>CNBCS421</t>
  </si>
  <si>
    <t>DLSMR414</t>
  </si>
  <si>
    <t>DWNTWN LRG SCALE MAIN</t>
  </si>
  <si>
    <t>GASRSR414</t>
  </si>
  <si>
    <t>LSMR414</t>
  </si>
  <si>
    <t>Large Scale Main Replacements</t>
  </si>
  <si>
    <t>PMR414</t>
  </si>
  <si>
    <t>Priority Main Replacement</t>
  </si>
  <si>
    <t>RRCS419G</t>
  </si>
  <si>
    <t>REP CO GAS SERV 419</t>
  </si>
  <si>
    <t>RRCS421</t>
  </si>
  <si>
    <t>Serv Line Repl-Muldraugh</t>
  </si>
  <si>
    <t>Total Investment</t>
  </si>
  <si>
    <t>108799</t>
  </si>
  <si>
    <t>Total Removal</t>
  </si>
  <si>
    <t>organization</t>
  </si>
  <si>
    <t>expenditure_org</t>
  </si>
  <si>
    <t>account</t>
  </si>
  <si>
    <t>expenditure_type</t>
  </si>
  <si>
    <t>project</t>
  </si>
  <si>
    <t>task</t>
  </si>
  <si>
    <t>year</t>
  </si>
  <si>
    <t>total</t>
  </si>
  <si>
    <t>003385</t>
  </si>
  <si>
    <t>880110</t>
  </si>
  <si>
    <t>0301</t>
  </si>
  <si>
    <t>CUSTUNLO</t>
  </si>
  <si>
    <t>GAS SER UNLOC</t>
  </si>
  <si>
    <t>004190</t>
  </si>
  <si>
    <t>892110</t>
  </si>
  <si>
    <t>OCSOM419</t>
  </si>
  <si>
    <t>BUDGET</t>
  </si>
  <si>
    <t>004210</t>
  </si>
  <si>
    <t>OCSOM421</t>
  </si>
  <si>
    <t>004485</t>
  </si>
  <si>
    <t>ORCSO419</t>
  </si>
  <si>
    <t>0111</t>
  </si>
  <si>
    <t>0752</t>
  </si>
  <si>
    <t>Revenue Requirement</t>
  </si>
  <si>
    <t>CAPITAL AND OPERATING COSTS</t>
  </si>
  <si>
    <t>Customer Service Capex</t>
  </si>
  <si>
    <t>Services-Customer Lines</t>
  </si>
  <si>
    <t>Monthly</t>
  </si>
  <si>
    <t>Total Revenue Requirement</t>
  </si>
  <si>
    <t>(a)</t>
  </si>
  <si>
    <t>(b)</t>
  </si>
  <si>
    <t>(c)</t>
  </si>
  <si>
    <t>GAS SERVICE RISER REPL &amp; CSO</t>
  </si>
  <si>
    <t>887110</t>
  </si>
  <si>
    <t>139084</t>
  </si>
  <si>
    <t>887COS</t>
  </si>
  <si>
    <t>004470</t>
  </si>
  <si>
    <t>0101</t>
  </si>
  <si>
    <t>0751</t>
  </si>
  <si>
    <t>874110</t>
  </si>
  <si>
    <t>(d)</t>
  </si>
  <si>
    <t>Property Taxes</t>
  </si>
  <si>
    <t>Reserve Retirements</t>
  </si>
  <si>
    <t xml:space="preserve">     Total Retirements</t>
  </si>
  <si>
    <t>Federal Deferred</t>
  </si>
  <si>
    <t>State Deferred</t>
  </si>
  <si>
    <t>@ 35%</t>
  </si>
  <si>
    <t>@ 6%</t>
  </si>
  <si>
    <t>Bonus</t>
  </si>
  <si>
    <t>Page 2</t>
  </si>
  <si>
    <t xml:space="preserve">Federal Benefit </t>
  </si>
  <si>
    <t>of State</t>
  </si>
  <si>
    <t>Deferred Tax</t>
  </si>
  <si>
    <t>on</t>
  </si>
  <si>
    <t>MACRS   Tax Rate</t>
  </si>
  <si>
    <t>AMR414</t>
  </si>
  <si>
    <t>ALDYL-A MAIN REPLACEMENT</t>
  </si>
  <si>
    <t>Total 2017</t>
  </si>
  <si>
    <t>0304</t>
  </si>
  <si>
    <t>880COS</t>
  </si>
  <si>
    <t>892COS</t>
  </si>
  <si>
    <t>874COS</t>
  </si>
  <si>
    <t>878110</t>
  </si>
  <si>
    <t>878COS</t>
  </si>
  <si>
    <t>879110</t>
  </si>
  <si>
    <t>879COS</t>
  </si>
  <si>
    <t>004480</t>
  </si>
  <si>
    <t>(1)</t>
  </si>
  <si>
    <t>(2)</t>
  </si>
  <si>
    <t>(9)</t>
  </si>
  <si>
    <t>(10)</t>
  </si>
  <si>
    <t>(11)</t>
  </si>
  <si>
    <t>(12)</t>
  </si>
  <si>
    <t>(13)</t>
  </si>
  <si>
    <t>(14)</t>
  </si>
  <si>
    <t>(15)</t>
  </si>
  <si>
    <t>(e)</t>
  </si>
  <si>
    <t>JULY 2017 BOOK DEPRECIATION</t>
  </si>
  <si>
    <t>AUGUST 2017 BOOK DEPRECIATION</t>
  </si>
  <si>
    <t>SEPTEMBER 2017 BOOK DEPRECIATION</t>
  </si>
  <si>
    <t>OCTOBER 2017 BOOK DEPRECIATION</t>
  </si>
  <si>
    <t>DECEMBER 2017 BOOK DEPRECIATION</t>
  </si>
  <si>
    <t>NB INST CUST SERV LINE &amp; RSR</t>
  </si>
  <si>
    <t>TLR414</t>
  </si>
  <si>
    <t>TRANSMISSION LINE REPLACE</t>
  </si>
  <si>
    <t>*NEW PROGRAM</t>
  </si>
  <si>
    <t>CRSS414</t>
  </si>
  <si>
    <t>REPLACE STEEL SERVICE LINES</t>
  </si>
  <si>
    <t>Total 2018</t>
  </si>
  <si>
    <t>Total 2019</t>
  </si>
  <si>
    <t>NOVEMBER 2017 BOOK DEPRECIATION</t>
  </si>
  <si>
    <t>(f)</t>
  </si>
  <si>
    <t>2012 20-year additions at MACRS Year 6 tax rate (0.052850)</t>
  </si>
  <si>
    <t>2013 20-year additions at MACRS Year 5 tax rate (0.057130)</t>
  </si>
  <si>
    <t>2014 20-year additions at MACRS Year 4 tax rate (0.061770)</t>
  </si>
  <si>
    <t>2015 20-year additions at MACRS Year 3 tax rate (0.066770)</t>
  </si>
  <si>
    <t>2016 20-year additions at MACRS Year 2 tax rate (0.072190)</t>
  </si>
  <si>
    <t>2017 20-year additions at MACRS Year 1 tax rate (0.037500) plus repairs</t>
  </si>
  <si>
    <t>2017 20-year additions at MACRS Year 1 tax rate (0.037500) plus Repairs</t>
  </si>
  <si>
    <t>Prorated Accumulated</t>
  </si>
  <si>
    <t>Change</t>
  </si>
  <si>
    <t>ADIT</t>
  </si>
  <si>
    <t>Proration</t>
  </si>
  <si>
    <t>Rate Schedule - Distribution</t>
  </si>
  <si>
    <t>Jul - Dec 2017</t>
  </si>
  <si>
    <t>Jul-Dec</t>
  </si>
  <si>
    <t>1/184</t>
  </si>
  <si>
    <t>32/184</t>
  </si>
  <si>
    <t>62/184</t>
  </si>
  <si>
    <t>93/184</t>
  </si>
  <si>
    <t>123/184</t>
  </si>
  <si>
    <t>154/184</t>
  </si>
  <si>
    <t>Main-Distribution Capex</t>
  </si>
  <si>
    <t>Main-Transmission Capex</t>
  </si>
  <si>
    <t>Main-Distribution Retirements</t>
  </si>
  <si>
    <t>Main-Distribution Cost of Removal</t>
  </si>
  <si>
    <t>2017 Forecast Case No. 2016-00383</t>
  </si>
  <si>
    <t>ANNUAL ADJUSTMENT TO THE GAS LINE TRACKER</t>
  </si>
  <si>
    <t>JANUARY 2018 BOOK DEPRECIATION</t>
  </si>
  <si>
    <t>Mar</t>
  </si>
  <si>
    <t>Apr</t>
  </si>
  <si>
    <t>Jun</t>
  </si>
  <si>
    <t>FEBRUARY 2018 BOOK DEPRECIATION</t>
  </si>
  <si>
    <t>MARCH 2018 BOOK DEPRECIATION</t>
  </si>
  <si>
    <t>APRIL 2018 BOOK DEPRECIATION</t>
  </si>
  <si>
    <t>MAY 2018 BOOK DEPRECIATION</t>
  </si>
  <si>
    <t>JUNE 2018 BOOK DEPRECIATION</t>
  </si>
  <si>
    <t>JULY 2018 BOOK DEPRECIATION</t>
  </si>
  <si>
    <t>AUGUST 2018 BOOK DEPRECIATION</t>
  </si>
  <si>
    <t>SEPTEMBER 2018 BOOK DEPRECIATION</t>
  </si>
  <si>
    <t>OCTOBER 2018 BOOK DEPRECIATION</t>
  </si>
  <si>
    <t>NOVEMBER 2018 BOOK DEPRECIATION</t>
  </si>
  <si>
    <t>DECEMBER 2018 BOOK DEPRECIATION</t>
  </si>
  <si>
    <t>Gas Line Tracker</t>
  </si>
  <si>
    <t>Capital by Month</t>
  </si>
  <si>
    <t>2018 from Working Forecast (0+12) with TMP IP Estimate</t>
  </si>
  <si>
    <t>compute_0002</t>
  </si>
  <si>
    <t>bud_description</t>
  </si>
  <si>
    <t>01_Jan</t>
  </si>
  <si>
    <t>02_Feb</t>
  </si>
  <si>
    <t>03_Mar</t>
  </si>
  <si>
    <t>04_Apr</t>
  </si>
  <si>
    <t>05_May</t>
  </si>
  <si>
    <t>06_Jun</t>
  </si>
  <si>
    <t>07_Jul</t>
  </si>
  <si>
    <t>08_Aug</t>
  </si>
  <si>
    <t>09_Sep</t>
  </si>
  <si>
    <t>10_Oct</t>
  </si>
  <si>
    <t>11_Nov</t>
  </si>
  <si>
    <t>12_Dec</t>
  </si>
  <si>
    <t>Sum of total</t>
  </si>
  <si>
    <t>PPLBCW: TOTAL CONSTRUCTION WORK IN PROGRESS</t>
  </si>
  <si>
    <t>BLMR414</t>
  </si>
  <si>
    <t>Beltline Main Replacement</t>
  </si>
  <si>
    <t>CNBCS4485</t>
  </si>
  <si>
    <t>INST CUST SRV - MAGNOLIA</t>
  </si>
  <si>
    <t>CRCST419</t>
  </si>
  <si>
    <t>RELOCATING CO OWNED SERV</t>
  </si>
  <si>
    <t>CRCST421</t>
  </si>
  <si>
    <t>Relo Co Owned Services-4210</t>
  </si>
  <si>
    <t>CRCST4485</t>
  </si>
  <si>
    <t>RELOC CO OWNED SRV-4485</t>
  </si>
  <si>
    <t>CTPDC419</t>
  </si>
  <si>
    <t>REPL CUST OWNED SRV LINES</t>
  </si>
  <si>
    <t>CTPDC421</t>
  </si>
  <si>
    <t>REPL CUST OWNED SRV-MULD</t>
  </si>
  <si>
    <t>CTPDC4485</t>
  </si>
  <si>
    <t>REPL CUST OWNED SRV-MAGNOL</t>
  </si>
  <si>
    <t>GASRSR419</t>
  </si>
  <si>
    <t>Gas Service Riser Repl &amp; CSO</t>
  </si>
  <si>
    <t>NBGRSR419</t>
  </si>
  <si>
    <t>NEW BUS GAS RISER 419</t>
  </si>
  <si>
    <t>RRCS4485</t>
  </si>
  <si>
    <t>Serv Line Repl-Magnolia</t>
  </si>
  <si>
    <t>RSRSR419</t>
  </si>
  <si>
    <t>REP GAS SERV RISERS 419</t>
  </si>
  <si>
    <t>TMPPENBLN</t>
  </si>
  <si>
    <t>TMP PENILE-BLANTON LN</t>
  </si>
  <si>
    <t>TMPPENPRS</t>
  </si>
  <si>
    <t>TMP PENILE-PRESTON</t>
  </si>
  <si>
    <t>TMPPRSPIC</t>
  </si>
  <si>
    <t>TMP PRESTON-PICCADILLY</t>
  </si>
  <si>
    <t>TMPPROP1</t>
  </si>
  <si>
    <t>TMP PROPERTY PENILE-BLANTON</t>
  </si>
  <si>
    <t>PPLBCW: TOTAL CONSTRUCTION WORK IN PROGRESS Total</t>
  </si>
  <si>
    <t>PPLBRS: TOTAL REMOVAL SPEND</t>
  </si>
  <si>
    <t>PPLBRS: TOTAL REMOVAL SPEND Total</t>
  </si>
  <si>
    <t>Grand Total</t>
  </si>
  <si>
    <t>Main-Transmission Cost of Removal</t>
  </si>
  <si>
    <t>Main-Transmission Retirements</t>
  </si>
  <si>
    <t>month_01_jan</t>
  </si>
  <si>
    <t>month_02_feb</t>
  </si>
  <si>
    <t>month_03_mar</t>
  </si>
  <si>
    <t>month_04_apr</t>
  </si>
  <si>
    <t>month_05_may</t>
  </si>
  <si>
    <t>month_06_jun</t>
  </si>
  <si>
    <t>month_07_jul</t>
  </si>
  <si>
    <t>month_08_aug</t>
  </si>
  <si>
    <t>month_09_sep</t>
  </si>
  <si>
    <t>month_10_oct</t>
  </si>
  <si>
    <t>month_11_nov</t>
  </si>
  <si>
    <t>month_12_dec</t>
  </si>
  <si>
    <t>0670</t>
  </si>
  <si>
    <t>MTRCLEAR</t>
  </si>
  <si>
    <t>0456</t>
  </si>
  <si>
    <t>0786</t>
  </si>
  <si>
    <t>@ 21%</t>
  </si>
  <si>
    <t>Year*</t>
  </si>
  <si>
    <t>RRCS421G</t>
  </si>
  <si>
    <t>Replacement</t>
  </si>
  <si>
    <t>NB</t>
  </si>
  <si>
    <t>UPDATED FOR 2017 ACTUALS</t>
  </si>
  <si>
    <t>2018 20-year additions at MACRS Year 1 tax rate (0.037500) plus repairs</t>
  </si>
  <si>
    <t>2017 20-year additions at MACRS Year 2 tax rate (0.072190) plus repairs</t>
  </si>
  <si>
    <t>2018 20-year additions at MACRS Year 1 tax rate (0.037500) plus Repairs</t>
  </si>
  <si>
    <t>2017 20-year additions at MACRS Year 2 tax rate (0.072190) plus Repairs</t>
  </si>
  <si>
    <t>1/365</t>
  </si>
  <si>
    <t>32/365</t>
  </si>
  <si>
    <t>154/365</t>
  </si>
  <si>
    <t>123/365</t>
  </si>
  <si>
    <t>93/365</t>
  </si>
  <si>
    <t>62/365</t>
  </si>
  <si>
    <t>185/365</t>
  </si>
  <si>
    <t>335/365</t>
  </si>
  <si>
    <t>307/365</t>
  </si>
  <si>
    <t>276/365</t>
  </si>
  <si>
    <t>246/365</t>
  </si>
  <si>
    <t>215/365</t>
  </si>
  <si>
    <t>Supporting Calculations for the</t>
  </si>
  <si>
    <t>GLT Adjustment Clause</t>
  </si>
  <si>
    <t>True-up of the Actual Costs</t>
  </si>
  <si>
    <t>GLT (Over)/Under Recovery Calculation</t>
  </si>
  <si>
    <t>Distribution</t>
  </si>
  <si>
    <t>(A)</t>
  </si>
  <si>
    <t>(B)</t>
  </si>
  <si>
    <t>(C)</t>
  </si>
  <si>
    <t>(D)</t>
  </si>
  <si>
    <t>(E)</t>
  </si>
  <si>
    <t>(F)</t>
  </si>
  <si>
    <t>Expense Month</t>
  </si>
  <si>
    <t>Adjusted Revenue Requirement</t>
  </si>
  <si>
    <t>Billed GLT Revenues</t>
  </si>
  <si>
    <t>Unbilled GLT Revenues</t>
  </si>
  <si>
    <t>A + B</t>
  </si>
  <si>
    <t>C - D - E</t>
  </si>
  <si>
    <t>Transmission</t>
  </si>
  <si>
    <t>(G)</t>
  </si>
  <si>
    <t>(H)</t>
  </si>
  <si>
    <t>(I)</t>
  </si>
  <si>
    <t>(J)</t>
  </si>
  <si>
    <t>GLT Calculation of Revenue Requirement</t>
  </si>
  <si>
    <t>End of Month Net Assets on which to Recover</t>
  </si>
  <si>
    <t>YTD Average Net Assets Applied to Year</t>
  </si>
  <si>
    <t>YTD Average Net Assets Applied to Year / 12</t>
  </si>
  <si>
    <t>Operating Expenses (OE)</t>
  </si>
  <si>
    <t>Collections / (Refunds) for Prior Years</t>
  </si>
  <si>
    <t>C / 12</t>
  </si>
  <si>
    <t>D x E</t>
  </si>
  <si>
    <t>F + G</t>
  </si>
  <si>
    <t>H + I</t>
  </si>
  <si>
    <t>N/A</t>
  </si>
  <si>
    <t>GLT Calculation of Net Assets</t>
  </si>
  <si>
    <t>Expense</t>
  </si>
  <si>
    <t>(RB)</t>
  </si>
  <si>
    <t>(CoR)</t>
  </si>
  <si>
    <t>Base Rates</t>
  </si>
  <si>
    <t>on Retirements</t>
  </si>
  <si>
    <t>to Recover</t>
  </si>
  <si>
    <t>A + B + C + D - E - F - G</t>
  </si>
  <si>
    <t>GLT Calculation of Operating Expenses</t>
  </si>
  <si>
    <t>Operating</t>
  </si>
  <si>
    <t>O&amp;M</t>
  </si>
  <si>
    <t>Savings from</t>
  </si>
  <si>
    <t>Property Tax</t>
  </si>
  <si>
    <t>Expenses</t>
  </si>
  <si>
    <t>(OE)</t>
  </si>
  <si>
    <t>A + B + C + D</t>
  </si>
  <si>
    <t>Residential Gas Service - Rates RGS, VFD</t>
  </si>
  <si>
    <t>Gas Plant Investment - Distribution</t>
  </si>
  <si>
    <t>Mains - Distribution</t>
  </si>
  <si>
    <t>bonus</t>
  </si>
  <si>
    <t>repairs</t>
  </si>
  <si>
    <t>transmission property tax</t>
  </si>
  <si>
    <t>Property Taxes - Distribution</t>
  </si>
  <si>
    <t>Property Taxes - Transmission</t>
  </si>
  <si>
    <t>Gas Plant Investment - Transmission CWIP</t>
  </si>
  <si>
    <t>Class Allocation and Bill Impact Summary</t>
  </si>
  <si>
    <t>Exhibit 2</t>
  </si>
  <si>
    <t>Exhibit 1</t>
  </si>
  <si>
    <t>Tariff Sheet</t>
  </si>
  <si>
    <t>Exhibit 3</t>
  </si>
  <si>
    <t>Exhibit 4</t>
  </si>
  <si>
    <t>Note * - 2019 Year amounts based upon thirteen-month average (December 2018 - December 2019).</t>
  </si>
  <si>
    <t>JANUARY 2019 BOOK DEPRECIATION</t>
  </si>
  <si>
    <t>FEBRUARY 2019 BOOK DEPRECIATION</t>
  </si>
  <si>
    <t>MARCH 2019 BOOK DEPRECIATION</t>
  </si>
  <si>
    <t>APRIL 2019 BOOK DEPRECIATION</t>
  </si>
  <si>
    <t>MAY 2019 BOOK DEPRECIATION</t>
  </si>
  <si>
    <t>JUNE 2019 BOOK DEPRECIATION</t>
  </si>
  <si>
    <t>JULY 2019 BOOK DEPRECIATION</t>
  </si>
  <si>
    <t>AUGUST 2019 BOOK DEPRECIATION</t>
  </si>
  <si>
    <t>SEPTEMBER 2019 BOOK DEPRECIATION</t>
  </si>
  <si>
    <t>OCTOBER 2019 BOOK DEPRECIATION</t>
  </si>
  <si>
    <t>NOVEMBER 2019 BOOK DEPRECIATION</t>
  </si>
  <si>
    <t>DECEMBER 2019 BOOK DEPRECIATION</t>
  </si>
  <si>
    <t>forecast version</t>
  </si>
  <si>
    <t>414000001</t>
  </si>
  <si>
    <t>REPLACE STEEL SERVICES 2019</t>
  </si>
  <si>
    <t>TMPPROP2</t>
  </si>
  <si>
    <t>TMP PROPERTY PENILE-PRESTON</t>
  </si>
  <si>
    <t>108901</t>
  </si>
  <si>
    <t>2019 20-year additions at MACRS Year 1 tax rate (0.037500) plus repairs</t>
  </si>
  <si>
    <t>2018 20-year additions at MACRS Year 2 tax rate (0.072190) plus repairs</t>
  </si>
  <si>
    <t>2017 20-year additions at MACRS Year 3 tax rate (0.066770) plus repairs</t>
  </si>
  <si>
    <t>ORCSO421</t>
  </si>
  <si>
    <t>RML</t>
  </si>
  <si>
    <t>ORCSO4485</t>
  </si>
  <si>
    <t>UPDATED FOR ACTUALS</t>
  </si>
  <si>
    <t>Commercial Gas Service - Rates CGS, SGSS</t>
  </si>
  <si>
    <t>@ 5%</t>
  </si>
  <si>
    <t>Revenue Requirement (Over)/Under Collection</t>
  </si>
  <si>
    <t>2019 from the Approved 2019 BP</t>
  </si>
  <si>
    <t>2019 BP- NO AMS</t>
  </si>
  <si>
    <t>@ 24.95%</t>
  </si>
  <si>
    <t>Note * - 2018 Rate Base Year amounts based upon thirteen-month average (December 2017 - December 2018).</t>
  </si>
  <si>
    <t>asset_id</t>
  </si>
  <si>
    <t>company</t>
  </si>
  <si>
    <t>depr_group</t>
  </si>
  <si>
    <t>utility_account</t>
  </si>
  <si>
    <t>gl_account</t>
  </si>
  <si>
    <t>month_number</t>
  </si>
  <si>
    <t>act_work_order_number</t>
  </si>
  <si>
    <t>activity_quantity</t>
  </si>
  <si>
    <t>activity_cost</t>
  </si>
  <si>
    <t>average_cost</t>
  </si>
  <si>
    <t>second_financial_cost</t>
  </si>
  <si>
    <t>2LOUISVILLE GAS &amp; ELECTRIC COMPANY</t>
  </si>
  <si>
    <t>LGE-237620-Gas Line Tracker - Mains</t>
  </si>
  <si>
    <t>G376.20-GLT Mains</t>
  </si>
  <si>
    <t>106 - CCNC - PowerPlant</t>
  </si>
  <si>
    <t>101 - Plant In Service - PowerPlant</t>
  </si>
  <si>
    <t>DLSMR414-GLT</t>
  </si>
  <si>
    <t>LSMR414-GLT</t>
  </si>
  <si>
    <t>PMR414-GLT</t>
  </si>
  <si>
    <t>LGE-238020-Gas Line Tracker Service</t>
  </si>
  <si>
    <t>G380.20-GLT Services</t>
  </si>
  <si>
    <t>CCSO419-GLT</t>
  </si>
  <si>
    <t>CCSO421-GLT</t>
  </si>
  <si>
    <t>CCSO4485-GLT</t>
  </si>
  <si>
    <t>CNBCS419-GLT</t>
  </si>
  <si>
    <t>CNBCS421-GLT</t>
  </si>
  <si>
    <t>CNBCS4485-GLT</t>
  </si>
  <si>
    <t>CONVERSION</t>
  </si>
  <si>
    <t>CRSS414-GLT</t>
  </si>
  <si>
    <t>RRCS419G-GLT</t>
  </si>
  <si>
    <t>RRCS421-GLT</t>
  </si>
  <si>
    <t>Note:  Capital structure and cost rates pursuant to Case No. 2018-00295.</t>
  </si>
  <si>
    <t>Proposed GLT Transmission Rate Effective May 1, 2020</t>
  </si>
  <si>
    <t>Note * - 2020 Year amounts based upon thirteen-month average (December 2019 - December 2020).</t>
  </si>
  <si>
    <t>Proposed GLT Distribution Rate Effective May 1, 2020</t>
  </si>
  <si>
    <t>JANUARY 2020 BOOK DEPRECIATION</t>
  </si>
  <si>
    <t>FEBRUARY 2020 BOOK DEPRECIATION</t>
  </si>
  <si>
    <t>MARCH 2020 BOOK DEPRECIATION</t>
  </si>
  <si>
    <t>APRIL 2020 BOOK DEPRECIATION</t>
  </si>
  <si>
    <t>MAY 2020 BOOK DEPRECIATION</t>
  </si>
  <si>
    <t>JUNE 2020 BOOK DEPRECIATION</t>
  </si>
  <si>
    <t>JULY 2020 BOOK DEPRECIATION</t>
  </si>
  <si>
    <t>AUGUST 2020 BOOK DEPRECIATION</t>
  </si>
  <si>
    <t>SEPTEMBER 2020 BOOK DEPRECIATION</t>
  </si>
  <si>
    <t>OCTOBER 2020 BOOK DEPRECIATION</t>
  </si>
  <si>
    <t>NOVEMBER 2020 BOOK DEPRECIATION</t>
  </si>
  <si>
    <t>DECEMBER 2020 BOOK DEPRECIATION</t>
  </si>
  <si>
    <t>2020 20-year additions at MACRS Year 1 tax rate (0.037500) plus repairs</t>
  </si>
  <si>
    <t>1/366</t>
  </si>
  <si>
    <t>307/366</t>
  </si>
  <si>
    <t>276/366</t>
  </si>
  <si>
    <t>246/366</t>
  </si>
  <si>
    <t>215/366</t>
  </si>
  <si>
    <t>185/366</t>
  </si>
  <si>
    <t>154/366</t>
  </si>
  <si>
    <t>123/366</t>
  </si>
  <si>
    <t>93/366</t>
  </si>
  <si>
    <t>62/366</t>
  </si>
  <si>
    <t>32/366</t>
  </si>
  <si>
    <t>336/366</t>
  </si>
  <si>
    <t>REPLACE STEEL SERVICES 2020</t>
  </si>
  <si>
    <t>TMPMAG-2</t>
  </si>
  <si>
    <t>TMPMCR-2</t>
  </si>
  <si>
    <t>TMP: Mill Creek Repl GLT</t>
  </si>
  <si>
    <t>TMPWKA-2</t>
  </si>
  <si>
    <t>TMPWKB-2</t>
  </si>
  <si>
    <t>0512</t>
  </si>
  <si>
    <t>2020</t>
  </si>
  <si>
    <t>004385</t>
  </si>
  <si>
    <t>863110</t>
  </si>
  <si>
    <t>GLTILI</t>
  </si>
  <si>
    <t>NEWTOOL</t>
  </si>
  <si>
    <t>End of Month Net Assets from 2019.12 OU File</t>
  </si>
  <si>
    <t>End of Month Net Assets from 2018.12 OU File</t>
  </si>
  <si>
    <t>distribution property tax</t>
  </si>
  <si>
    <t>In-service</t>
  </si>
  <si>
    <t>Mains - Transmission</t>
  </si>
  <si>
    <t>2020 In-service</t>
  </si>
  <si>
    <t>12/19 Dist In-service</t>
  </si>
  <si>
    <t>12/19 Trans CWIP</t>
  </si>
  <si>
    <t>12/20 Total In-service</t>
  </si>
  <si>
    <t>check</t>
  </si>
  <si>
    <t>202012 Bk Depr</t>
  </si>
  <si>
    <t>distribution O&amp;M</t>
  </si>
  <si>
    <t>transmission O&amp;M</t>
  </si>
  <si>
    <t>Incremental O&amp;M - Distribution</t>
  </si>
  <si>
    <t>Incremental O&amp;M - Transmission</t>
  </si>
  <si>
    <t>XM</t>
  </si>
  <si>
    <t>Gas Plant Investment - Transmission</t>
  </si>
  <si>
    <t>REVENUE REQUIREMENT - TRANSMISSION</t>
  </si>
  <si>
    <t>REVENUE REQUIREMENT - DISTRIBUTION</t>
  </si>
  <si>
    <t>TAX DEPRECIATION - TRANSMISSION</t>
  </si>
  <si>
    <t>TAX DEPRECIATION - DISTRIBUTION</t>
  </si>
  <si>
    <t>new XM (remove if CN 2019-00301 not approved prior to filing)</t>
  </si>
  <si>
    <t>Customer Service Cost of Removal</t>
  </si>
  <si>
    <t>Customer Service Retirements</t>
  </si>
  <si>
    <t>Applied to</t>
  </si>
  <si>
    <t>In Service</t>
  </si>
  <si>
    <t>Year #</t>
  </si>
  <si>
    <t>2017 20-year additions at MACRS Year 4 tax rate (0.061770)</t>
  </si>
  <si>
    <t>2018 20-year additions at MACRS Year 3 tax rate (0.066770)</t>
  </si>
  <si>
    <t>2019 20-year additions at MACRS Year 2 tax rate (0.072190)</t>
  </si>
  <si>
    <t>MACRS Tax</t>
  </si>
  <si>
    <t>Depr Rates</t>
  </si>
  <si>
    <t>GLT</t>
  </si>
  <si>
    <t>$'s</t>
  </si>
  <si>
    <t>Transmission Mains</t>
  </si>
  <si>
    <t>Proposed GLT Distribution Rate Effective May 1, 2021</t>
  </si>
  <si>
    <t>Proposed GLT Transmission Rate Effective May 1, 2021</t>
  </si>
  <si>
    <t>JANUARY 2021 BOOK DEPRECIATION</t>
  </si>
  <si>
    <t>FEBRUARY 2021 BOOK DEPRECIATION</t>
  </si>
  <si>
    <t>MARCH 2021 BOOK DEPRECIATION</t>
  </si>
  <si>
    <t>APRIL 2021 BOOK DEPRECIATION</t>
  </si>
  <si>
    <t>MAY 2021 BOOK DEPRECIATION</t>
  </si>
  <si>
    <t>JUNE 2021 BOOK DEPRECIATION</t>
  </si>
  <si>
    <t>JULY 2021 BOOK DEPRECIATION</t>
  </si>
  <si>
    <t>AUGUST 2021 BOOK DEPRECIATION</t>
  </si>
  <si>
    <t>SEPTEMBER 2021 BOOK DEPRECIATION</t>
  </si>
  <si>
    <t>OCTOBER 2021 BOOK DEPRECIATION</t>
  </si>
  <si>
    <t>NOVEMBER 2021 BOOK DEPRECIATION</t>
  </si>
  <si>
    <t>DECEMBER 2021 BOOK DEPRECIATION</t>
  </si>
  <si>
    <t xml:space="preserve">GLT </t>
  </si>
  <si>
    <t>GLT Program</t>
  </si>
  <si>
    <t>Row Labels</t>
  </si>
  <si>
    <t>Bud Description</t>
  </si>
  <si>
    <t xml:space="preserve"> Jan</t>
  </si>
  <si>
    <t xml:space="preserve"> Feb</t>
  </si>
  <si>
    <t xml:space="preserve"> Mar</t>
  </si>
  <si>
    <t xml:space="preserve"> Apr</t>
  </si>
  <si>
    <t xml:space="preserve"> May</t>
  </si>
  <si>
    <t xml:space="preserve"> Jun</t>
  </si>
  <si>
    <t xml:space="preserve"> Jul</t>
  </si>
  <si>
    <t xml:space="preserve"> Aug</t>
  </si>
  <si>
    <t xml:space="preserve"> Sep</t>
  </si>
  <si>
    <t xml:space="preserve"> Oct</t>
  </si>
  <si>
    <t xml:space="preserve"> Nov</t>
  </si>
  <si>
    <t xml:space="preserve"> Dec</t>
  </si>
  <si>
    <t>Customer Service Lines</t>
  </si>
  <si>
    <t>GAS CUSTOMER SERVICE UNLOC</t>
  </si>
  <si>
    <t>CSO Meter Conditions</t>
  </si>
  <si>
    <t>REPAIR LEAKS - 004190</t>
  </si>
  <si>
    <t>REPAIR LEAKS - 004210</t>
  </si>
  <si>
    <t>REPAIR LEAKS - 004485</t>
  </si>
  <si>
    <t>Distribution O&amp;M</t>
  </si>
  <si>
    <t>Transmission O&amp;M</t>
  </si>
  <si>
    <t>Steel Customer Service Lines and Targeted Removal of County Loops and Steel Curbed Services</t>
  </si>
  <si>
    <t>INVESTMENT</t>
  </si>
  <si>
    <t>Monthly as spent</t>
  </si>
  <si>
    <t>Customer Service lines</t>
  </si>
  <si>
    <t>Leak Mitigation</t>
  </si>
  <si>
    <t>Transmission Modernization</t>
  </si>
  <si>
    <t>ARO</t>
  </si>
  <si>
    <t>REMOVAL</t>
  </si>
  <si>
    <t xml:space="preserve">Investment Total </t>
  </si>
  <si>
    <t xml:space="preserve">Removal Total </t>
  </si>
  <si>
    <t xml:space="preserve">GLT Total </t>
  </si>
  <si>
    <t>2021 20-year additions at MACRS Year 1 tax rate (0.037500) plus repairs</t>
  </si>
  <si>
    <t>2021 20-year additions at MACRS Year 1 tax rate (0.037500)</t>
  </si>
  <si>
    <t>2020 20-year additions at MACRS Year 2 tax rate (0.072190)</t>
  </si>
  <si>
    <t>Prorata Accumulated</t>
  </si>
  <si>
    <t>Distribution Property Tax</t>
  </si>
  <si>
    <t>Transmission Property Tax</t>
  </si>
  <si>
    <t>Check to Tax Depr tab</t>
  </si>
  <si>
    <t>UPDATED WITH ACTUALS IN 2021 FILING</t>
  </si>
  <si>
    <t>UPDATED WITH ACTUALS FROM TRUE-UP OPEX TAB IN 2021 FILING</t>
  </si>
  <si>
    <t>2020 Total</t>
  </si>
  <si>
    <t>Check Results</t>
  </si>
  <si>
    <t>Plant Account</t>
  </si>
  <si>
    <t>376</t>
  </si>
  <si>
    <t>380</t>
  </si>
  <si>
    <t/>
  </si>
  <si>
    <t>374</t>
  </si>
  <si>
    <t>367</t>
  </si>
  <si>
    <t>REPLACE STEEL SERVICES 2021</t>
  </si>
  <si>
    <t>CY Depr on</t>
  </si>
  <si>
    <t>CY Bonus on</t>
  </si>
  <si>
    <t>CY Repairs on</t>
  </si>
  <si>
    <t xml:space="preserve">CY Total </t>
  </si>
  <si>
    <t>Tax Depr</t>
  </si>
  <si>
    <t>Check</t>
  </si>
  <si>
    <t>Base Rate Asset Retirements - 2020</t>
  </si>
  <si>
    <t>Asset Cost</t>
  </si>
  <si>
    <t>Depreciation Reserve</t>
  </si>
  <si>
    <t>Main-Distribution Retirements Depr Reserve</t>
  </si>
  <si>
    <t>Service Line Retirements Depr Reserve</t>
  </si>
  <si>
    <t>Riser Retirements Depr Reserve</t>
  </si>
  <si>
    <t>Customer Service Retirements Depr Reserve</t>
  </si>
  <si>
    <t>Plant in Service and CWIP Actuals</t>
  </si>
  <si>
    <t>2020 15-year additions at MACRS Year 1 tax rate (0.037500) plus repairs</t>
  </si>
  <si>
    <t>2017 20-year additions at MACRS Year 5 tax rate (0.057130)</t>
  </si>
  <si>
    <t>2018 20-year additions at MACRS Year 4 tax rate (0.061770)</t>
  </si>
  <si>
    <t>2019 20-year additions at MACRS Year 3 tax rate (0.066770)</t>
  </si>
  <si>
    <t>Total Capital Spend in 2021 per Cap&amp;OpEx tab</t>
  </si>
  <si>
    <t>Capital spend in CWIP in 2021 per Capital Budget tab</t>
  </si>
  <si>
    <t>Change in Total Plant for 2021 per Book Depr tabs</t>
  </si>
  <si>
    <t>Total capital spend per Capital Budget tab</t>
  </si>
  <si>
    <t>Less base rate asset retirements</t>
  </si>
  <si>
    <t>Net change in capital for 2021</t>
  </si>
  <si>
    <t>Net change in capital for 2021 per Cap&amp;OpEx tab</t>
  </si>
  <si>
    <t>Total COR per Capital Budget tab</t>
  </si>
  <si>
    <t>Total COR per Cap&amp;OpEx tab</t>
  </si>
  <si>
    <t>Change in Investment</t>
  </si>
  <si>
    <t>CWIP ONLY Actuals - Used on Bk Depr and Tax Depr tabs to adjust Asset Additions</t>
  </si>
  <si>
    <t>RRCS419G - Services-Lines</t>
  </si>
  <si>
    <t>Total of Services-Customer Lines</t>
  </si>
  <si>
    <t>End of Month Plant in Service from Book Depr column (9)</t>
  </si>
  <si>
    <t>Dec 2020 Land in Service from GLT Day 4 Report</t>
  </si>
  <si>
    <t>Total from Rev Req 2021 tab</t>
  </si>
  <si>
    <t>Dec 2020 CWIP on Transmission Projects from GLT Day 4 Report</t>
  </si>
  <si>
    <t>YTD 2021 Forecasted CWIP from 2021 Capital Budget tab</t>
  </si>
  <si>
    <t>Louisville Gas and Electric Company</t>
  </si>
  <si>
    <t>Gas Line Tracker Report</t>
  </si>
  <si>
    <t>Plant, CWIP &amp; Depreciation Expense</t>
  </si>
  <si>
    <t>Eligible</t>
  </si>
  <si>
    <t>Eligible Net</t>
  </si>
  <si>
    <t>Plant In</t>
  </si>
  <si>
    <t xml:space="preserve">Accumulated </t>
  </si>
  <si>
    <t>Depr.</t>
  </si>
  <si>
    <t>PIS &amp;</t>
  </si>
  <si>
    <t>Service</t>
  </si>
  <si>
    <t>CWIP</t>
  </si>
  <si>
    <t>Rate</t>
  </si>
  <si>
    <t>TMPPENBLN-ROMANIA LAND</t>
  </si>
  <si>
    <t>Mains-Transmission Retirements</t>
  </si>
  <si>
    <t>As of December, 2020</t>
  </si>
  <si>
    <r>
      <t>Main-Transmission Retirements</t>
    </r>
    <r>
      <rPr>
        <vertAlign val="superscript"/>
        <sz val="9.6"/>
        <rFont val="Times New Roman"/>
        <family val="1"/>
      </rPr>
      <t>1</t>
    </r>
  </si>
  <si>
    <t>Notes:</t>
  </si>
  <si>
    <r>
      <t>Main-Transmission Retirements Depr Reserve</t>
    </r>
    <r>
      <rPr>
        <vertAlign val="superscript"/>
        <sz val="7.2"/>
        <rFont val="Times New Roman"/>
        <family val="1"/>
      </rPr>
      <t>1</t>
    </r>
  </si>
  <si>
    <t>1: Reflects estimated actual retirement of base rate assets due to Transmission Modernization Program assets placed into service in October 2020 that will not be recorded on the books until 2021.</t>
  </si>
  <si>
    <t>GLT Elimination</t>
  </si>
  <si>
    <t>July-December 2017</t>
  </si>
  <si>
    <t>Note * - 2021 Year amounts based upon seven-month average (December 2020 - June 2021).</t>
  </si>
  <si>
    <t>Check to ROR tab</t>
  </si>
  <si>
    <t>2021 June</t>
  </si>
  <si>
    <t>Status</t>
  </si>
  <si>
    <t xml:space="preserve">Dec 2020 - </t>
  </si>
  <si>
    <t>Jun 2021</t>
  </si>
  <si>
    <t>7-month avg</t>
  </si>
  <si>
    <t>Dec 2021</t>
  </si>
  <si>
    <t>Jun 2021 -</t>
  </si>
  <si>
    <t>Post</t>
  </si>
  <si>
    <t>Elimination</t>
  </si>
  <si>
    <t xml:space="preserve">Jun 2021 - </t>
  </si>
  <si>
    <t>Note * - 2021 Year amounts based upon return on seven-month average rate base for December 2020 through June 2021 with all projects in GLT plus return on seven-month average rate base for June 2021 through December 2021 with only the projects remaining in GLT.  O&amp;M is the calendar year total for the applicable GLT projects (none of which were projects being eliminated).</t>
  </si>
  <si>
    <t>Note:  Capital structure and cost rates pursuant to Case No. 2018-00295 effective May 1, 2019.</t>
  </si>
  <si>
    <t>Note:  Capital structure and cost rates pursuant to Case No. 2020-00350 effective July 1, 2021.</t>
  </si>
  <si>
    <t>Proposed GLT Distribution Rate Effective May 1, 2022</t>
  </si>
  <si>
    <t>JANUARY 2022 BOOK DEPRECIATION</t>
  </si>
  <si>
    <t>FEBRUARY 2022 BOOK DEPRECIATION</t>
  </si>
  <si>
    <t>MARCH 2022 BOOK DEPRECIATION</t>
  </si>
  <si>
    <t>APRIL 2022 BOOK DEPRECIATION</t>
  </si>
  <si>
    <t>MAY 2022 BOOK DEPRECIATION</t>
  </si>
  <si>
    <t>JUNE 2022 BOOK DEPRECIATION</t>
  </si>
  <si>
    <t>JULY 2022 BOOK DEPRECIATION</t>
  </si>
  <si>
    <t>AUGUST 2022 BOOK DEPRECIATION</t>
  </si>
  <si>
    <t>SEPTEMBER 2022 BOOK DEPRECIATION</t>
  </si>
  <si>
    <t>OCTOBER 2022 BOOK DEPRECIATION</t>
  </si>
  <si>
    <t>NOVEMBER 2022 BOOK DEPRECIATION</t>
  </si>
  <si>
    <t>DECEMBER 2022 BOOK DEPRECIATION</t>
  </si>
  <si>
    <t>2022 20-year additions at MACRS Year 1 tax rate (0.037500) plus repairs</t>
  </si>
  <si>
    <t>2021 20-year additions at MACRS Year 2 tax rate (0.072190)</t>
  </si>
  <si>
    <t>2020 20-year additions at MACRS Year 3 tax rate (0.066770)</t>
  </si>
  <si>
    <t>2019 20-year additions at MACRS Year 4 tax rate (0.061770)</t>
  </si>
  <si>
    <t>2018 20-year additions at MACRS Year 5 tax rate (0.057130)</t>
  </si>
  <si>
    <t>2017 20-year additions at MACRS Year 6 tax rate (0.052850)</t>
  </si>
  <si>
    <t xml:space="preserve">Louisville Gas and Electric Company </t>
  </si>
  <si>
    <t>Gas Line Tracker PIS Monthly Split for Rates</t>
  </si>
  <si>
    <t>Distribution Projects</t>
  </si>
  <si>
    <t>2020 End Bal</t>
  </si>
  <si>
    <t>2021 Total</t>
  </si>
  <si>
    <t>Total from Final tab</t>
  </si>
  <si>
    <t>Should be zero</t>
  </si>
  <si>
    <t>Transmission Projects</t>
  </si>
  <si>
    <t>Gas Line Tracker CWIP Monthly Split for Rates</t>
  </si>
  <si>
    <t>CWIP - 107</t>
  </si>
  <si>
    <t>Gas Line Tracker Removal Costs</t>
  </si>
  <si>
    <t>UPDATED WITH 2021 ACTUALS</t>
  </si>
  <si>
    <t>PIS and CWIP accounts</t>
  </si>
  <si>
    <t>Removal Accounts</t>
  </si>
  <si>
    <t>Match</t>
  </si>
  <si>
    <t>GLT PROGRAM</t>
  </si>
  <si>
    <t>Ops Description</t>
  </si>
  <si>
    <t xml:space="preserve">Removal </t>
  </si>
  <si>
    <t xml:space="preserve">Total GLT Capital </t>
  </si>
  <si>
    <t>419CCSO22</t>
  </si>
  <si>
    <t>REPL CUST SRV RISER 22</t>
  </si>
  <si>
    <t>419NBCS22</t>
  </si>
  <si>
    <t>NB CUST LINE RISER 22a</t>
  </si>
  <si>
    <t>419RRCS22</t>
  </si>
  <si>
    <t>REPL CO GAS SERV 22</t>
  </si>
  <si>
    <t>421CCSO22</t>
  </si>
  <si>
    <t>REPL CS RISER 22</t>
  </si>
  <si>
    <t>421NBCS22</t>
  </si>
  <si>
    <t>NB CS LINE RISER 22</t>
  </si>
  <si>
    <t>421RRCS22</t>
  </si>
  <si>
    <t>REPL SERV LINE 22</t>
  </si>
  <si>
    <t>448CCSO22</t>
  </si>
  <si>
    <t>REPL MAG CS RISER 22</t>
  </si>
  <si>
    <t>448NBCS22</t>
  </si>
  <si>
    <t>NB MAG CS LN RISER 22</t>
  </si>
  <si>
    <t>448RRCS22</t>
  </si>
  <si>
    <t>REPL SERV LINE MAG 22</t>
  </si>
  <si>
    <t>Distribution Expenses</t>
  </si>
  <si>
    <t>December 2020 to December 2020 in the Rev Req 2020-Trans</t>
  </si>
  <si>
    <t>9a</t>
  </si>
  <si>
    <t>1a</t>
  </si>
  <si>
    <t>2a</t>
  </si>
  <si>
    <t>3a</t>
  </si>
  <si>
    <t>Amortization of</t>
  </si>
  <si>
    <t xml:space="preserve"> Deferred Tax</t>
  </si>
  <si>
    <t>Excess Federal</t>
  </si>
  <si>
    <t>Change in Depr Reserve</t>
  </si>
  <si>
    <t>Depr Expense per Depr tab</t>
  </si>
  <si>
    <t>Total from Rev Req 2022 tab</t>
  </si>
  <si>
    <t>December 2020 vs December 2020 of Rev Req 2020-Distr</t>
  </si>
  <si>
    <t>Deferred Taxes file</t>
  </si>
  <si>
    <t>Mains-Distribution Capex</t>
  </si>
  <si>
    <t>Main-Transmission Retirements Depr Reserve</t>
  </si>
  <si>
    <t>Per PY Filing</t>
  </si>
  <si>
    <t>Per Net Assets</t>
  </si>
  <si>
    <t>Projects eliminated from GLT 7/1/2021</t>
  </si>
  <si>
    <t>Project Name</t>
  </si>
  <si>
    <t>Reserve</t>
  </si>
  <si>
    <t>Net Book</t>
  </si>
  <si>
    <t>Program</t>
  </si>
  <si>
    <t>Stays in GLT</t>
  </si>
  <si>
    <t>Eliminated to Base</t>
  </si>
  <si>
    <t>Plant Acct</t>
  </si>
  <si>
    <t>Projects hitting plant account 376 eliminated from GLT 7/1/2021</t>
  </si>
  <si>
    <t>Projects eliminated from base rates effective 7/1/2021</t>
  </si>
  <si>
    <t>Most projects eliminated from base rates effective 7/1/2021; one project had $674 but was fully depreciated so no impact on GLT rate base and therefore removed from file</t>
  </si>
  <si>
    <t>Dec 2020-Jun2021</t>
  </si>
  <si>
    <t>Jun 2021-Dec 2021</t>
  </si>
  <si>
    <t>Dec 2020-Jun 2021</t>
  </si>
  <si>
    <t>PY filing values (Rev Req 2020-Distr tab)</t>
  </si>
  <si>
    <t>PY filing values (Rev Req 2020-Trans tab)</t>
  </si>
  <si>
    <t>Distribution Retirements</t>
  </si>
  <si>
    <t>As of December, 2021</t>
  </si>
  <si>
    <t>Per OpEx tab</t>
  </si>
  <si>
    <t>Per Book Depr tab</t>
  </si>
  <si>
    <t>Acc. Depr. Reserve</t>
  </si>
  <si>
    <t>Net Assets tab</t>
  </si>
  <si>
    <t>Operation &amp; Maintenance</t>
  </si>
  <si>
    <t>Currently recovered in GLT</t>
  </si>
  <si>
    <t>O&amp;M - Distribution</t>
  </si>
  <si>
    <t>O&amp;M - Transmission</t>
  </si>
  <si>
    <t xml:space="preserve">     Total Depr Reserve</t>
  </si>
  <si>
    <t>Risers</t>
  </si>
  <si>
    <t>Mains-Transmission</t>
  </si>
  <si>
    <t>DO NOT DELETE</t>
  </si>
  <si>
    <t>Industrial Gas Service - Rates IGS, AAGS, DGGS, Special Contract</t>
  </si>
  <si>
    <t>JANUARY 2023 BOOK DEPRECIATION</t>
  </si>
  <si>
    <t>APRIL 2023 BOOK DEPRECIATION</t>
  </si>
  <si>
    <t>MAY 2023 BOOK DEPRECIATION</t>
  </si>
  <si>
    <t>JUNE 2023 BOOK DEPRECIATION</t>
  </si>
  <si>
    <t>JULY 2023 BOOK DEPRECIATION</t>
  </si>
  <si>
    <t>AUGUST 2023 BOOK DEPRECIATION</t>
  </si>
  <si>
    <t>SEPTEMBER 2023 BOOK DEPRECIATION</t>
  </si>
  <si>
    <t>OCTOBER 2023 BOOK DEPRECIATION</t>
  </si>
  <si>
    <t>NOVEMBER 2023 BOOK DEPRECIATION</t>
  </si>
  <si>
    <t>DECEMBER 2023 BOOK DEPRECIATION</t>
  </si>
  <si>
    <t>Depr Rate</t>
  </si>
  <si>
    <t>Annual Depr Exp</t>
  </si>
  <si>
    <t>Sum of Cost</t>
  </si>
  <si>
    <t>Sum of Reserve</t>
  </si>
  <si>
    <t>MARCH</t>
  </si>
  <si>
    <t>OCTOBER</t>
  </si>
  <si>
    <t>As of December, 2022</t>
  </si>
  <si>
    <t>RB &amp; CoR</t>
  </si>
  <si>
    <t>YTD Average Net Assets</t>
  </si>
  <si>
    <t>Return on 
Net Assets</t>
  </si>
  <si>
    <t>Customer Service Total</t>
  </si>
  <si>
    <t>Service Line Total</t>
  </si>
  <si>
    <t>Investment Total</t>
  </si>
  <si>
    <t>Removal Total</t>
  </si>
  <si>
    <t>ACTUALS</t>
  </si>
  <si>
    <t>ACTUALS - Investment</t>
  </si>
  <si>
    <t>ACTUALS - Removal</t>
  </si>
  <si>
    <t>FILED FORECAST</t>
  </si>
  <si>
    <t>ORCST419</t>
  </si>
  <si>
    <t>(blank)</t>
  </si>
  <si>
    <t>2021 End Bal</t>
  </si>
  <si>
    <t>PR check</t>
  </si>
  <si>
    <t>Total GLT Capital</t>
  </si>
  <si>
    <t>Total O&amp;M</t>
  </si>
  <si>
    <t>Def Tax</t>
  </si>
  <si>
    <t>Amort</t>
  </si>
  <si>
    <t>Fed Excess</t>
  </si>
  <si>
    <t>State Excess</t>
  </si>
  <si>
    <t>(g)</t>
  </si>
  <si>
    <t>DO NOT RE-SORT</t>
  </si>
  <si>
    <t>(Tax Depr) 20-year</t>
  </si>
  <si>
    <t>(Tax Depr) Repairs</t>
  </si>
  <si>
    <t>2023 20-year additions at MACRS Year 1 tax rate (0.037500) plus repairs</t>
  </si>
  <si>
    <t>2022 20-year additions at MACRS Year 2 tax rate (0.072190)</t>
  </si>
  <si>
    <t>2021 20-year additions at MACRS Year 3 tax rate (0.066770)</t>
  </si>
  <si>
    <t>2020 20-year additions at MACRS Year 4 tax rate (0.061770)</t>
  </si>
  <si>
    <t>2019 20-year additions at MACRS Year 5 tax rate (0.057130)</t>
  </si>
  <si>
    <t>2018 20-year additions at MACRS Year 6 tax rate (0.052850)</t>
  </si>
  <si>
    <t>2017 20-year additions at MACRS Year 7 tax rate (0.048880)</t>
  </si>
  <si>
    <t>Total from Rev Req 2023 tab</t>
  </si>
  <si>
    <t>Gas Plant Investment</t>
  </si>
  <si>
    <t>Incremental O&amp;M</t>
  </si>
  <si>
    <t>Federal Excess</t>
  </si>
  <si>
    <t>GLT Rates in Effect 9/1/2021 through 4/30/2022</t>
  </si>
  <si>
    <t>Revenues Based on Rates in Effect</t>
  </si>
  <si>
    <t>Tariff</t>
  </si>
  <si>
    <t>Rate Category</t>
  </si>
  <si>
    <t>Total CCF</t>
  </si>
  <si>
    <t>Total Charge</t>
  </si>
  <si>
    <t>Forecast Rate ($/CCF)</t>
  </si>
  <si>
    <t>True-up Rate ($/CCF)</t>
  </si>
  <si>
    <t>Total Rate ($/CCF)</t>
  </si>
  <si>
    <t>Forecast Revenues</t>
  </si>
  <si>
    <t>True-up Revenues</t>
  </si>
  <si>
    <t>Check Sum</t>
  </si>
  <si>
    <t>RGS</t>
  </si>
  <si>
    <t>LGRSG811</t>
  </si>
  <si>
    <t>CGS</t>
  </si>
  <si>
    <t>LGCMG851</t>
  </si>
  <si>
    <t>IGS</t>
  </si>
  <si>
    <t>LGING855</t>
  </si>
  <si>
    <t>LGCMG863</t>
  </si>
  <si>
    <t>LGING855DS</t>
  </si>
  <si>
    <t>AAGS</t>
  </si>
  <si>
    <t>LGCMG865</t>
  </si>
  <si>
    <t>DGGS</t>
  </si>
  <si>
    <t>LGCMG875</t>
  </si>
  <si>
    <t>VFD</t>
  </si>
  <si>
    <t>LGRSG840</t>
  </si>
  <si>
    <t>SPEC</t>
  </si>
  <si>
    <t>LGING996</t>
  </si>
  <si>
    <t>LGING866DS</t>
  </si>
  <si>
    <t>LGCMG851LT</t>
  </si>
  <si>
    <t>SGSS</t>
  </si>
  <si>
    <t>LGCMG870</t>
  </si>
  <si>
    <t>Non-Gas Transmission Totals (CCF)</t>
  </si>
  <si>
    <t>Non-GT Totals</t>
  </si>
  <si>
    <t>Rate Cat</t>
  </si>
  <si>
    <t>Total MCF</t>
  </si>
  <si>
    <t>Forecast Rate ($/MCF)</t>
  </si>
  <si>
    <t>True-up Rate ($/MCF)</t>
  </si>
  <si>
    <t>Total Rate ($/MCF)</t>
  </si>
  <si>
    <t>FT</t>
  </si>
  <si>
    <t>LGGTIFTO</t>
  </si>
  <si>
    <t>LGGTIFTOIP</t>
  </si>
  <si>
    <t>TS-2</t>
  </si>
  <si>
    <t>LGGTITS2ID</t>
  </si>
  <si>
    <t>LGGTIFTDIP</t>
  </si>
  <si>
    <t>LGGTCFTIP</t>
  </si>
  <si>
    <t>LGGTITS2IO</t>
  </si>
  <si>
    <t>LGGTCFT</t>
  </si>
  <si>
    <t>LGGTITS2AO</t>
  </si>
  <si>
    <t>Gas Transmission Totals (MCF)</t>
  </si>
  <si>
    <t>GT Totals</t>
  </si>
  <si>
    <t>Total 
Revenues</t>
  </si>
  <si>
    <t>Net Assets</t>
  </si>
  <si>
    <t>Net Gas Plant</t>
  </si>
  <si>
    <t>Total Operating Expenses</t>
  </si>
  <si>
    <t>FEBRUARY 2023 BOOK DEPRECIATION</t>
  </si>
  <si>
    <t>MARCH 2023 BOOK DEPRECIATION</t>
  </si>
  <si>
    <t>Fed Excess Def Tax Amort - per Def Tax files, 2023 amount = $12,864 / 12 = $1,072 per month</t>
  </si>
  <si>
    <t>State Excess Def Tax Amort - per Def Tax files, 2023 amount = $319 / 12 = $27 per month</t>
  </si>
  <si>
    <t>Net change in capital for 2022</t>
  </si>
  <si>
    <t>Net change in capital for 2022 per Cap&amp;OpEx tab</t>
  </si>
  <si>
    <t>* Totals below represent billed GLT transmission charges for January through April 2022</t>
  </si>
  <si>
    <t>* Used to confirm January 2022 beginning plant balance</t>
  </si>
  <si>
    <t>Eligible for repairs</t>
  </si>
  <si>
    <t>SERV LINE REPL-MULDRAUGH</t>
  </si>
  <si>
    <t>GLT Calculation of Transmission Over Recovery</t>
  </si>
  <si>
    <t>Forecasted (Filed) Capital Budget Below</t>
  </si>
  <si>
    <t>Address</t>
  </si>
  <si>
    <t>ValueType</t>
  </si>
  <si>
    <t>Value</t>
  </si>
  <si>
    <t>Total Retirements Depr Reserve</t>
  </si>
  <si>
    <t>Return</t>
  </si>
  <si>
    <t>Rate of</t>
  </si>
  <si>
    <r>
      <rPr>
        <b/>
        <strike/>
        <sz val="10.8"/>
        <rFont val="Times New Roman"/>
        <family val="1"/>
      </rPr>
      <t>Proposed</t>
    </r>
    <r>
      <rPr>
        <b/>
        <sz val="12"/>
        <rFont val="Times New Roman"/>
        <family val="1"/>
      </rPr>
      <t xml:space="preserve"> GLT Distribution Revenue Requirement Calculation</t>
    </r>
  </si>
  <si>
    <t>* Column 15 calculated as follows:</t>
  </si>
  <si>
    <t>Plant-in-Service</t>
  </si>
  <si>
    <t>Total Investment Capex</t>
  </si>
  <si>
    <t>CSO Meters - Muldraugh</t>
  </si>
  <si>
    <t>CUST PAY JOBS - 004190</t>
  </si>
  <si>
    <t>GLT Retirements</t>
  </si>
  <si>
    <t>in_service</t>
  </si>
  <si>
    <t>Service Line</t>
  </si>
  <si>
    <t>Customer Service</t>
  </si>
  <si>
    <t>NBV</t>
  </si>
  <si>
    <t>FERC</t>
  </si>
  <si>
    <t>Customer Service COR</t>
  </si>
  <si>
    <t>Service Line COR</t>
  </si>
  <si>
    <t>Eligible for Repairs</t>
  </si>
  <si>
    <t>As of December, 2023</t>
  </si>
  <si>
    <t>2022 End Bal</t>
  </si>
  <si>
    <t>2023 End Bal</t>
  </si>
  <si>
    <t>Total 2023</t>
  </si>
  <si>
    <r>
      <t xml:space="preserve">2023 </t>
    </r>
    <r>
      <rPr>
        <sz val="10.5"/>
        <color rgb="FFC00000"/>
        <rFont val="Aptos"/>
        <family val="2"/>
      </rPr>
      <t>Forecasted</t>
    </r>
    <r>
      <rPr>
        <b/>
        <sz val="10.5"/>
        <color theme="1"/>
        <rFont val="Aptos"/>
        <family val="2"/>
      </rPr>
      <t xml:space="preserve"> O&amp;M and Property Tax Expenses</t>
    </r>
  </si>
  <si>
    <t>GAS CUSTOMER SERVICE</t>
  </si>
  <si>
    <t>Gas Plant Investment (net)</t>
  </si>
  <si>
    <t>Revenue Requirement - Distribution</t>
  </si>
  <si>
    <t>20-year MARCS</t>
  </si>
  <si>
    <t>Depreciation (net)</t>
  </si>
  <si>
    <t>Annual Revision to the Gas Line Tracker</t>
  </si>
  <si>
    <t>FORECAST - Investment</t>
  </si>
  <si>
    <t>FORECAST - Removal</t>
  </si>
  <si>
    <t>Total 2024</t>
  </si>
  <si>
    <t>Retirements Balance</t>
  </si>
  <si>
    <t>As of December 2023</t>
  </si>
  <si>
    <t>Fed Tax Basis</t>
  </si>
  <si>
    <t>State Tax Basis</t>
  </si>
  <si>
    <t>Fed Gain/Loss</t>
  </si>
  <si>
    <t>State Gain/Loss</t>
  </si>
  <si>
    <t>Fed Deferred</t>
  </si>
  <si>
    <t>&lt; March - 2023</t>
  </si>
  <si>
    <t>&lt; November - 2023</t>
  </si>
  <si>
    <t>(Deferred Tax)</t>
  </si>
  <si>
    <t>CY Depr</t>
  </si>
  <si>
    <t>on 20-year</t>
  </si>
  <si>
    <t>on Repairs</t>
  </si>
  <si>
    <t>CY Bonus</t>
  </si>
  <si>
    <t>Tax on</t>
  </si>
  <si>
    <t>(h)</t>
  </si>
  <si>
    <t>2024 20-year additions at MACRS Year 1 tax rate (0.037500) plus repairs</t>
  </si>
  <si>
    <t>2022 20-year additions at MACRS Year 3 tax rate (0.066770)</t>
  </si>
  <si>
    <t>2023 20-year additions at MACRS Year 2 tax rate (0.072190)</t>
  </si>
  <si>
    <t>2021 20-year additions at MACRS Year 4 tax rate (0.061770)</t>
  </si>
  <si>
    <t>2020 20-year additions at MACRS Year 5 tax rate (0.057130)</t>
  </si>
  <si>
    <t>2019 20-year additions at MACRS Year 6 tax rate (0.052850)</t>
  </si>
  <si>
    <t>2018 20-year additions at MACRS Year 7 tax rate (0.048880)</t>
  </si>
  <si>
    <t>2017 20-year additions at MACRS Year 8 tax rate (0.045220)</t>
  </si>
  <si>
    <t>Lines 1-3: Thirteen-month average</t>
  </si>
  <si>
    <t>Line 5: Year-end prorata (see Tax Depr worksheet)</t>
  </si>
  <si>
    <t>Lines 9-11: Calendar year total</t>
  </si>
  <si>
    <t>Capital and Operating Costs</t>
  </si>
  <si>
    <t>Investment/Additions</t>
  </si>
  <si>
    <t>on which</t>
  </si>
  <si>
    <t>from</t>
  </si>
  <si>
    <t>Cost of</t>
  </si>
  <si>
    <t>Monthly Depr Rate</t>
  </si>
  <si>
    <t>Depreciation Savings</t>
  </si>
  <si>
    <t>GLT Category</t>
  </si>
  <si>
    <t>Savings</t>
  </si>
  <si>
    <t>Depreciation Expense Worksheet</t>
  </si>
  <si>
    <t>2017 20-year additions at MACRS Year 8 tax rate (0.04522)</t>
  </si>
  <si>
    <t>2018 20-year additions at MACRS Year 7 tax rate (0.04888)</t>
  </si>
  <si>
    <t>2019 20-year additions at MACRS Year 6 tax rate (0.05285)</t>
  </si>
  <si>
    <t>2020 20-year additions at MACRS Year 5 tax rate (0.05713)</t>
  </si>
  <si>
    <t>2021 20-year additions at MACRS Year 4 tax rate (0.06177)</t>
  </si>
  <si>
    <t>2022 20-year additions at MACRS Year 3 tax rate (0.06677)</t>
  </si>
  <si>
    <t>2023 20-year additions at MACRS Year 2 tax rate (0.07219)</t>
  </si>
  <si>
    <t>2024 20-year additions at MACRS Year 1 tax rate (0.03750) plus repairs</t>
  </si>
  <si>
    <t>As of December 2022</t>
  </si>
  <si>
    <t>2023 - (Over)/Under recovery</t>
  </si>
  <si>
    <t>Depreciation (net of savings)</t>
  </si>
  <si>
    <t>Class Allocation and Bill Impact</t>
  </si>
  <si>
    <t>Total Forecasted Revenue in 
Case No. 2020-00350</t>
  </si>
  <si>
    <t>2024 - Forecast</t>
  </si>
  <si>
    <t>2023 True-up Monthly Rate
Per Bill</t>
  </si>
  <si>
    <t>2024 Forecast Monthly Rate
Per Bill</t>
  </si>
  <si>
    <t>Total Forecasted Number of Bills in
Case No. 2020-00350</t>
  </si>
  <si>
    <t>Net Monthly Rate Per Bill</t>
  </si>
  <si>
    <t>Line 5: Thirteen-month average (YE prorata when forecasted)</t>
  </si>
  <si>
    <r>
      <t xml:space="preserve">2023 </t>
    </r>
    <r>
      <rPr>
        <b/>
        <sz val="12"/>
        <color rgb="FFC00000"/>
        <rFont val="Aptos"/>
        <family val="2"/>
      </rPr>
      <t>Actual</t>
    </r>
    <r>
      <rPr>
        <b/>
        <sz val="11"/>
        <color theme="1"/>
        <rFont val="Aptos"/>
        <family val="2"/>
      </rPr>
      <t xml:space="preserve"> O&amp;M and Property Tax Expenses</t>
    </r>
  </si>
  <si>
    <t>Revised Total</t>
  </si>
  <si>
    <t>(Day 4-Asset Acct)</t>
  </si>
  <si>
    <t>* Original Day 4 report from Asset Accounting was subsequently updated to reflect correction on project 419RRCS22. This remains for reference.</t>
  </si>
  <si>
    <t>&lt;&lt; original balance for project 419RRCS22 used in PY filing</t>
  </si>
  <si>
    <t>original monthly additions used in PY filing</t>
  </si>
  <si>
    <t>Tax on New</t>
  </si>
  <si>
    <t>Net Investment Capex</t>
  </si>
  <si>
    <t>Net Depreciation Expense</t>
  </si>
  <si>
    <t>Checks</t>
  </si>
  <si>
    <t>2022*</t>
  </si>
  <si>
    <t>* $514,064 of GLT Leak Mitigation program gas plant placed into service for November and December 2022 were inadvertently excluded from prior year filing.</t>
  </si>
  <si>
    <t>Column 15 calculated as follows:</t>
  </si>
  <si>
    <t>December*</t>
  </si>
  <si>
    <t>*</t>
  </si>
  <si>
    <t>419RRCS22 *</t>
  </si>
  <si>
    <t>Above is used to confirm January 2023 beginning plant balance. Below is used to check balances in 2022 book depreciation tabs.</t>
  </si>
  <si>
    <t>&lt;&lt; original total GLT plant balance, used in PY filing</t>
  </si>
  <si>
    <t>(for reference only)</t>
  </si>
  <si>
    <t>(Day 4-Uncorrected)</t>
  </si>
  <si>
    <t>Note: 2022 Year amounts based upon thirteen-month average (December 2021 - December 2022).</t>
  </si>
  <si>
    <t>November*</t>
  </si>
  <si>
    <t>Nov*</t>
  </si>
  <si>
    <t>Dec*</t>
  </si>
  <si>
    <t>Additions*</t>
  </si>
  <si>
    <t xml:space="preserve"> Nov*</t>
  </si>
  <si>
    <t xml:space="preserve"> Dec*</t>
  </si>
  <si>
    <t>Dec-2022 Corrected*</t>
  </si>
  <si>
    <t>Base Rate Asset Retirements - 2024</t>
  </si>
  <si>
    <t>* 2022 additions eligible for repairs has been updated to include GLT plant excluded from prior year filing</t>
  </si>
  <si>
    <t>Note:  Capital structure and cost rates pursuant to Case No. 2020-00350, effective July 1, 2021.</t>
  </si>
  <si>
    <t>Leak Mitigation Capex</t>
  </si>
  <si>
    <t>Mains Capex</t>
  </si>
  <si>
    <t>Mains Retirements</t>
  </si>
  <si>
    <t>Mains Retirements Depr Reserve</t>
  </si>
  <si>
    <t>Mains Cost of Removal</t>
  </si>
  <si>
    <t>Leak Mitigation Retirements</t>
  </si>
  <si>
    <t>Leak Mitigation Retirements Depr Reserve</t>
  </si>
  <si>
    <t>Leak Mitigation Cost of Removal</t>
  </si>
  <si>
    <t>Customer Service Lines Capex</t>
  </si>
  <si>
    <t>Customer Service Lines Retirements</t>
  </si>
  <si>
    <t>Customer Service Lines Retirements Depr Reserve</t>
  </si>
  <si>
    <t>Customer Service Lines Cost of Removal</t>
  </si>
  <si>
    <t>Customer service line and gas riser replacement - existing</t>
  </si>
  <si>
    <t>Customer service line and gas riser installation - new</t>
  </si>
  <si>
    <t>Project Description</t>
  </si>
  <si>
    <t>Company-Owned Service Line Capex</t>
  </si>
  <si>
    <t>Total (Over) /
Under Collection</t>
  </si>
  <si>
    <t>Collections / (Refunds) for 
Prior Year</t>
  </si>
  <si>
    <t>Adjusted 
Revenue Requirement</t>
  </si>
  <si>
    <t>Case No. 2024-00039</t>
  </si>
  <si>
    <t>True-up Component</t>
  </si>
  <si>
    <t xml:space="preserve">Twelve-Month Period </t>
  </si>
  <si>
    <t>Beginning January 1, 2023</t>
  </si>
  <si>
    <t>Ending December 31, 2023</t>
  </si>
  <si>
    <t>Forecast Component</t>
  </si>
  <si>
    <t>Beginning January 1, 2024</t>
  </si>
  <si>
    <t>Ending December 31, 2024</t>
  </si>
  <si>
    <r>
      <t xml:space="preserve">2024 </t>
    </r>
    <r>
      <rPr>
        <b/>
        <sz val="12"/>
        <color rgb="FFC00000"/>
        <rFont val="Times New Roman"/>
        <family val="1"/>
      </rPr>
      <t>Actual</t>
    </r>
    <r>
      <rPr>
        <b/>
        <sz val="11"/>
        <color theme="1"/>
        <rFont val="Times New Roman"/>
        <family val="1"/>
      </rPr>
      <t xml:space="preserve"> O&amp;M and Property Tax Expenses</t>
    </r>
  </si>
  <si>
    <r>
      <t xml:space="preserve">2024 </t>
    </r>
    <r>
      <rPr>
        <b/>
        <sz val="14"/>
        <color rgb="FFC00000"/>
        <rFont val="Times New Roman"/>
        <family val="1"/>
      </rPr>
      <t>Forecasted</t>
    </r>
    <r>
      <rPr>
        <b/>
        <sz val="11"/>
        <color theme="1"/>
        <rFont val="Times New Roman"/>
        <family val="1"/>
      </rPr>
      <t xml:space="preserve"> O&amp;M and Property Tax Expenses</t>
    </r>
  </si>
  <si>
    <t>Mains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</si>
</sst>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_);\(0\)"/>
    <numFmt numFmtId="168" formatCode="_(* #,##0.000000_);_(* \(#,##0.000000\);_(* &quot;-&quot;??_);_(@_)"/>
    <numFmt numFmtId="169" formatCode="[$-409]mmmm\-yy;@"/>
    <numFmt numFmtId="170" formatCode="&quot;$&quot;#,##0\ ;\(&quot;$&quot;#,##0\)"/>
    <numFmt numFmtId="171" formatCode="_([$€-2]* #,##0.00_);_([$€-2]* \(#,##0.00\);_([$€-2]* &quot;-&quot;??_)"/>
    <numFmt numFmtId="172" formatCode="_(* #,##0_);_(* \(#,##0\);_(* &quot;0&quot;_);_(@_)"/>
    <numFmt numFmtId="173" formatCode="[$-409]mmmm\ d\,\ yyyy;@"/>
    <numFmt numFmtId="174" formatCode="mmmm\ yyyy"/>
    <numFmt numFmtId="175" formatCode="mmm\-yyyy"/>
    <numFmt numFmtId="176" formatCode="_(&quot;$&quot;* #,##0_);_(&quot;$&quot;* \(#,##0\);_(&quot;$&quot;* 0_);_(@_)"/>
    <numFmt numFmtId="177" formatCode="_(&quot;$&quot;* #,##0.00_);_(&quot;$&quot;* \(#,##0.00\);_(&quot;$&quot;* 0.00_);_(@_)"/>
    <numFmt numFmtId="178" formatCode="0.000%"/>
    <numFmt numFmtId="179" formatCode="_(* &quot;$&quot;#,##0_);_(* \(&quot;$&quot;#,##0\);_(* &quot;$0&quot;_);_(@_)"/>
    <numFmt numFmtId="180" formatCode="00"/>
    <numFmt numFmtId="181" formatCode="0.0000000"/>
    <numFmt numFmtId="182" formatCode="&quot;$&quot;#,##0.00"/>
    <numFmt numFmtId="183" formatCode="0.00_);\(0.00\)"/>
    <numFmt numFmtId="184" formatCode="_(&quot;$&quot;* #,##0.00000_);_(&quot;$&quot;* \(#,##0.00000\);_(&quot;$&quot;* &quot;-&quot;??_);_(@_)"/>
    <numFmt numFmtId="185" formatCode="_(* #,##0.0_);_(* \(#,##0.0\);_(* &quot;-&quot;??_);_(@_)"/>
    <numFmt numFmtId="186" formatCode="_(* #,##0.00_);_(* \(#,##0.00\);_(* &quot;0&quot;_);_(@_)"/>
    <numFmt numFmtId="187" formatCode="&quot;$&quot;\ #,##0_);\(&quot;$&quot;\ #,##0\)"/>
    <numFmt numFmtId="188" formatCode="&quot;$&quot;\ #,##0_);\(\ &quot;$&quot;\ #,##0\ \)"/>
    <numFmt numFmtId="189" formatCode="_(* #,##0_);_(* \(\ #,##0\ \);_(* &quot;-&quot;_);_(@_)"/>
    <numFmt numFmtId="190" formatCode="0.00000_);\(0.00000\)"/>
    <numFmt numFmtId="191" formatCode="0.00000"/>
    <numFmt numFmtId="192" formatCode="_(* #,##0_);_(* \(#,##0\);_(* 0_);_(@_)"/>
    <numFmt numFmtId="193" formatCode="\ #,##0_);\(\ \ #,##0\ \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Arial (W1)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8"/>
      <name val="Arial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2"/>
      <name val="Arial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8"/>
      <color indexed="8"/>
      <name val="Wingdings"/>
      <charset val="2"/>
    </font>
    <font>
      <sz val="11"/>
      <color rgb="FFFF0000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b/>
      <sz val="14"/>
      <name val="Times New Roman"/>
      <family val="1"/>
    </font>
    <font>
      <b/>
      <u/>
      <sz val="12"/>
      <name val="Times New Roman"/>
      <family val="1"/>
    </font>
    <font>
      <b/>
      <sz val="16"/>
      <name val="Times New Roman"/>
      <family val="1"/>
    </font>
    <font>
      <b/>
      <sz val="16"/>
      <name val="Arial"/>
      <family val="2"/>
    </font>
    <font>
      <sz val="16"/>
      <name val="Arial"/>
      <family val="2"/>
    </font>
    <font>
      <sz val="16"/>
      <name val="Times New Roman"/>
      <family val="1"/>
    </font>
    <font>
      <b/>
      <u/>
      <sz val="16"/>
      <name val="Times New Roman"/>
      <family val="1"/>
    </font>
    <font>
      <b/>
      <u/>
      <sz val="16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strike/>
      <sz val="16"/>
      <name val="Cambria"/>
      <family val="1"/>
    </font>
    <font>
      <sz val="12"/>
      <color rgb="FFFF0000"/>
      <name val="Times New Roman"/>
      <family val="1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16"/>
      <color rgb="FFFF0000"/>
      <name val="Times New Roman"/>
      <family val="1"/>
    </font>
    <font>
      <b/>
      <sz val="10"/>
      <color rgb="FFFF0000"/>
      <name val="Times New Roman"/>
      <family val="1"/>
    </font>
    <font>
      <sz val="12"/>
      <color rgb="FF0070C0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rgb="FF0070C0"/>
      <name val="Times New Roman"/>
      <family val="1"/>
    </font>
    <font>
      <sz val="10"/>
      <color rgb="FF0070C0"/>
      <name val="Times New Roman"/>
      <family val="1"/>
    </font>
    <font>
      <b/>
      <u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6"/>
      <color rgb="FFFF0000"/>
      <name val="Arial"/>
      <family val="2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vertAlign val="superscript"/>
      <sz val="9.6"/>
      <name val="Times New Roman"/>
      <family val="1"/>
    </font>
    <font>
      <vertAlign val="superscript"/>
      <sz val="7.2"/>
      <name val="Times New Roman"/>
      <family val="1"/>
    </font>
    <font>
      <sz val="11"/>
      <color theme="1"/>
      <name val="Times New Roman"/>
      <family val="1"/>
    </font>
    <font>
      <b/>
      <u/>
      <sz val="12"/>
      <name val="Arial"/>
      <family val="2"/>
    </font>
    <font>
      <sz val="12"/>
      <color rgb="FF00B0F0"/>
      <name val="Times New Roman"/>
      <family val="1"/>
    </font>
    <font>
      <b/>
      <u/>
      <sz val="18"/>
      <name val="Arial"/>
      <family val="2"/>
    </font>
    <font>
      <b/>
      <sz val="24"/>
      <color rgb="FFFF0000"/>
      <name val="Calibri"/>
      <family val="2"/>
      <scheme val="minor"/>
    </font>
    <font>
      <u/>
      <sz val="12"/>
      <name val="Times New Roman"/>
      <family val="1"/>
    </font>
    <font>
      <sz val="11"/>
      <color rgb="FFFF0000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6"/>
      <color rgb="FF0070C0"/>
      <name val="Times New Roman"/>
      <family val="1"/>
    </font>
    <font>
      <b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name val="Times New Roman"/>
      <family val="1"/>
    </font>
    <font>
      <i/>
      <sz val="9"/>
      <name val="Times New Roman"/>
      <family val="1"/>
    </font>
    <font>
      <u val="singleAccounting"/>
      <sz val="11"/>
      <color theme="1"/>
      <name val="Times New Roman"/>
      <family val="1"/>
    </font>
    <font>
      <b/>
      <u val="singleAccounting"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FF0000"/>
      <name val="Arial"/>
      <family val="2"/>
    </font>
    <font>
      <strike/>
      <sz val="12"/>
      <name val="Cambria"/>
      <family val="1"/>
    </font>
    <font>
      <sz val="14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sz val="11"/>
      <name val="Arial"/>
      <family val="2"/>
    </font>
    <font>
      <b/>
      <strike/>
      <sz val="10.8"/>
      <name val="Times New Roman"/>
      <family val="1"/>
    </font>
    <font>
      <b/>
      <sz val="11"/>
      <name val="Aptos"/>
      <family val="2"/>
    </font>
    <font>
      <u val="singleAccounting"/>
      <sz val="10"/>
      <name val="Arial"/>
      <family val="2"/>
    </font>
    <font>
      <sz val="10.5"/>
      <name val="Calibri"/>
      <family val="2"/>
      <scheme val="minor"/>
    </font>
    <font>
      <u/>
      <sz val="10.5"/>
      <name val="Calibri"/>
      <family val="2"/>
      <scheme val="minor"/>
    </font>
    <font>
      <u val="singleAccounting"/>
      <sz val="10.5"/>
      <name val="Calibri"/>
      <family val="2"/>
      <scheme val="minor"/>
    </font>
    <font>
      <u val="singleAccounting"/>
      <sz val="10"/>
      <name val="Calibri"/>
      <family val="2"/>
      <scheme val="minor"/>
    </font>
    <font>
      <sz val="10"/>
      <name val="Aptos"/>
      <family val="2"/>
    </font>
    <font>
      <i/>
      <sz val="10"/>
      <name val="Aptos"/>
      <family val="2"/>
    </font>
    <font>
      <b/>
      <sz val="10.5"/>
      <color rgb="FFC00000"/>
      <name val="Aptos"/>
      <family val="2"/>
    </font>
    <font>
      <sz val="10.5"/>
      <name val="Aptos"/>
      <family val="2"/>
    </font>
    <font>
      <b/>
      <u/>
      <sz val="10.5"/>
      <name val="Aptos"/>
      <family val="2"/>
    </font>
    <font>
      <b/>
      <u/>
      <sz val="10.5"/>
      <color theme="1"/>
      <name val="Aptos"/>
      <family val="2"/>
    </font>
    <font>
      <i/>
      <sz val="10.5"/>
      <name val="Aptos"/>
      <family val="2"/>
    </font>
    <font>
      <b/>
      <sz val="10.5"/>
      <name val="Aptos"/>
      <family val="2"/>
    </font>
    <font>
      <u/>
      <sz val="10"/>
      <name val="Aptos"/>
      <family val="2"/>
    </font>
    <font>
      <sz val="12"/>
      <color rgb="FFC00000"/>
      <name val="Times New Roman"/>
      <family val="1"/>
    </font>
    <font>
      <b/>
      <sz val="10.5"/>
      <color theme="1"/>
      <name val="Aptos"/>
      <family val="2"/>
    </font>
    <font>
      <sz val="10.5"/>
      <color rgb="FFC00000"/>
      <name val="Aptos"/>
      <family val="2"/>
    </font>
    <font>
      <b/>
      <u/>
      <sz val="11"/>
      <name val="Times New Roman"/>
      <family val="1"/>
    </font>
    <font>
      <b/>
      <sz val="11"/>
      <color theme="1"/>
      <name val="Aptos"/>
      <family val="2"/>
    </font>
    <font>
      <sz val="10.5"/>
      <color theme="1"/>
      <name val="Aptos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trike/>
      <sz val="12"/>
      <name val="Times New Roman"/>
      <family val="1"/>
    </font>
    <font>
      <i/>
      <sz val="10"/>
      <name val="Times New Roman"/>
      <family val="1"/>
    </font>
    <font>
      <u/>
      <sz val="9"/>
      <name val="Times New Roman"/>
      <family val="1"/>
    </font>
    <font>
      <i/>
      <sz val="11"/>
      <name val="Times New Roman"/>
      <family val="1"/>
    </font>
    <font>
      <sz val="10"/>
      <color theme="1"/>
      <name val="Times New Roman"/>
      <family val="1"/>
    </font>
    <font>
      <b/>
      <sz val="12"/>
      <color rgb="FFC00000"/>
      <name val="Aptos"/>
      <family val="2"/>
    </font>
    <font>
      <i/>
      <u/>
      <sz val="10"/>
      <name val="Times New Roman"/>
      <family val="1"/>
    </font>
    <font>
      <i/>
      <sz val="12"/>
      <name val="Times New Roman"/>
      <family val="1"/>
    </font>
    <font>
      <sz val="11"/>
      <color rgb="FF0070C0"/>
      <name val="Times New Roman"/>
      <family val="1"/>
    </font>
    <font>
      <b/>
      <sz val="9"/>
      <name val="Times New Roman"/>
      <family val="1"/>
    </font>
    <font>
      <i/>
      <sz val="8"/>
      <name val="Times New Roman"/>
      <family val="1"/>
    </font>
    <font>
      <sz val="8"/>
      <name val="Times New Roman"/>
      <family val="1"/>
    </font>
    <font>
      <b/>
      <u val="singleAccounting"/>
      <sz val="12"/>
      <name val="Times New Roman"/>
      <family val="1"/>
    </font>
    <font>
      <u/>
      <sz val="10"/>
      <name val="Times New Roman"/>
      <family val="1"/>
    </font>
    <font>
      <b/>
      <u/>
      <sz val="10"/>
      <name val="Times New Roman"/>
      <family val="1"/>
    </font>
    <font>
      <b/>
      <u/>
      <sz val="10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2"/>
      <color rgb="FFC00000"/>
      <name val="Times New Roman"/>
      <family val="1"/>
    </font>
    <font>
      <sz val="11"/>
      <color rgb="FFC00000"/>
      <name val="Times New Roman"/>
      <family val="1"/>
    </font>
    <font>
      <b/>
      <sz val="14"/>
      <color rgb="FFC00000"/>
      <name val="Times New Roman"/>
      <family val="1"/>
    </font>
    <font>
      <u val="singleAccounting"/>
      <sz val="12"/>
      <name val="Times New Roman"/>
      <family val="1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8E4BC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407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0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0" fillId="3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0" fontId="6" fillId="1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0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0" fillId="3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0" fontId="6" fillId="1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0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0" fontId="6" fillId="1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0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0" fillId="40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0" fontId="6" fillId="22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0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0" fillId="4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0" fontId="6" fillId="26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0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0" fontId="6" fillId="30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0" fillId="4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0" fontId="6" fillId="1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0" fillId="3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0" fontId="6" fillId="15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0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0" fillId="43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0" fontId="6" fillId="19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0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0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0" fillId="3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0" fontId="6" fillId="2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0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0" fillId="41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0" fontId="6" fillId="27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0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0" fontId="6" fillId="31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28" fillId="12" borderId="0" applyNumberFormat="0" applyBorder="0" applyAlignment="0" applyProtection="0"/>
    <xf numFmtId="169" fontId="28" fillId="12" borderId="0" applyNumberFormat="0" applyBorder="0" applyAlignment="0" applyProtection="0"/>
    <xf numFmtId="169" fontId="28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169" fontId="32" fillId="4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0" fontId="28" fillId="12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28" fillId="16" borderId="0" applyNumberFormat="0" applyBorder="0" applyAlignment="0" applyProtection="0"/>
    <xf numFmtId="169" fontId="28" fillId="16" borderId="0" applyNumberFormat="0" applyBorder="0" applyAlignment="0" applyProtection="0"/>
    <xf numFmtId="169" fontId="28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169" fontId="32" fillId="4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0" fontId="28" fillId="1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28" fillId="20" borderId="0" applyNumberFormat="0" applyBorder="0" applyAlignment="0" applyProtection="0"/>
    <xf numFmtId="169" fontId="28" fillId="20" borderId="0" applyNumberFormat="0" applyBorder="0" applyAlignment="0" applyProtection="0"/>
    <xf numFmtId="169" fontId="28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169" fontId="32" fillId="4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0" fontId="28" fillId="20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28" fillId="24" borderId="0" applyNumberFormat="0" applyBorder="0" applyAlignment="0" applyProtection="0"/>
    <xf numFmtId="169" fontId="28" fillId="24" borderId="0" applyNumberFormat="0" applyBorder="0" applyAlignment="0" applyProtection="0"/>
    <xf numFmtId="169" fontId="28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0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169" fontId="32" fillId="35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0" fontId="28" fillId="24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0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28" fillId="28" borderId="0" applyNumberFormat="0" applyBorder="0" applyAlignment="0" applyProtection="0"/>
    <xf numFmtId="169" fontId="28" fillId="28" borderId="0" applyNumberFormat="0" applyBorder="0" applyAlignment="0" applyProtection="0"/>
    <xf numFmtId="169" fontId="28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169" fontId="32" fillId="41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0" fontId="28" fillId="28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28" fillId="32" borderId="0" applyNumberFormat="0" applyBorder="0" applyAlignment="0" applyProtection="0"/>
    <xf numFmtId="169" fontId="28" fillId="32" borderId="0" applyNumberFormat="0" applyBorder="0" applyAlignment="0" applyProtection="0"/>
    <xf numFmtId="169" fontId="28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0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169" fontId="32" fillId="3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0" fontId="28" fillId="32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0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28" fillId="9" borderId="0" applyNumberFormat="0" applyBorder="0" applyAlignment="0" applyProtection="0"/>
    <xf numFmtId="169" fontId="28" fillId="9" borderId="0" applyNumberFormat="0" applyBorder="0" applyAlignment="0" applyProtection="0"/>
    <xf numFmtId="169" fontId="28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0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169" fontId="32" fillId="5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0" fontId="28" fillId="9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0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28" fillId="13" borderId="0" applyNumberFormat="0" applyBorder="0" applyAlignment="0" applyProtection="0"/>
    <xf numFmtId="169" fontId="28" fillId="13" borderId="0" applyNumberFormat="0" applyBorder="0" applyAlignment="0" applyProtection="0"/>
    <xf numFmtId="169" fontId="28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169" fontId="32" fillId="4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0" fontId="28" fillId="13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28" fillId="17" borderId="0" applyNumberFormat="0" applyBorder="0" applyAlignment="0" applyProtection="0"/>
    <xf numFmtId="169" fontId="28" fillId="17" borderId="0" applyNumberFormat="0" applyBorder="0" applyAlignment="0" applyProtection="0"/>
    <xf numFmtId="169" fontId="28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169" fontId="32" fillId="4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0" fontId="28" fillId="17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28" fillId="21" borderId="0" applyNumberFormat="0" applyBorder="0" applyAlignment="0" applyProtection="0"/>
    <xf numFmtId="169" fontId="28" fillId="21" borderId="0" applyNumberFormat="0" applyBorder="0" applyAlignment="0" applyProtection="0"/>
    <xf numFmtId="169" fontId="28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0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169" fontId="32" fillId="5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0" fontId="28" fillId="21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0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28" fillId="25" borderId="0" applyNumberFormat="0" applyBorder="0" applyAlignment="0" applyProtection="0"/>
    <xf numFmtId="169" fontId="28" fillId="25" borderId="0" applyNumberFormat="0" applyBorder="0" applyAlignment="0" applyProtection="0"/>
    <xf numFmtId="169" fontId="28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0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169" fontId="32" fillId="4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0" fontId="28" fillId="25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0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28" fillId="29" borderId="0" applyNumberFormat="0" applyBorder="0" applyAlignment="0" applyProtection="0"/>
    <xf numFmtId="169" fontId="28" fillId="29" borderId="0" applyNumberFormat="0" applyBorder="0" applyAlignment="0" applyProtection="0"/>
    <xf numFmtId="169" fontId="28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0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169" fontId="32" fillId="52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0" fontId="28" fillId="29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0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0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169" fontId="34" fillId="3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0" fontId="18" fillId="3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0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22" fillId="6" borderId="10" applyNumberFormat="0" applyAlignment="0" applyProtection="0"/>
    <xf numFmtId="169" fontId="22" fillId="6" borderId="10" applyNumberFormat="0" applyAlignment="0" applyProtection="0"/>
    <xf numFmtId="169" fontId="22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0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169" fontId="38" fillId="56" borderId="18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0" fontId="22" fillId="6" borderId="10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0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24" fillId="7" borderId="13" applyNumberFormat="0" applyAlignment="0" applyProtection="0"/>
    <xf numFmtId="169" fontId="24" fillId="7" borderId="13" applyNumberFormat="0" applyAlignment="0" applyProtection="0"/>
    <xf numFmtId="169" fontId="24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0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169" fontId="39" fillId="57" borderId="19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0" fontId="24" fillId="7" borderId="13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0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0" fontId="41" fillId="58" borderId="0">
      <alignment horizontal="left"/>
    </xf>
    <xf numFmtId="0" fontId="42" fillId="58" borderId="0">
      <alignment horizontal="right"/>
    </xf>
    <xf numFmtId="0" fontId="43" fillId="56" borderId="0">
      <alignment horizontal="center"/>
    </xf>
    <xf numFmtId="0" fontId="42" fillId="58" borderId="0">
      <alignment horizontal="right"/>
    </xf>
    <xf numFmtId="0" fontId="44" fillId="56" borderId="0">
      <alignment horizontal="lef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0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0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0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0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0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0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0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2" fontId="10" fillId="0" borderId="0" applyFont="0" applyFill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17" fillId="2" borderId="0" applyNumberFormat="0" applyBorder="0" applyAlignment="0" applyProtection="0"/>
    <xf numFmtId="169" fontId="17" fillId="2" borderId="0" applyNumberFormat="0" applyBorder="0" applyAlignment="0" applyProtection="0"/>
    <xf numFmtId="169" fontId="17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0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169" fontId="52" fillId="41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0" fontId="17" fillId="2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0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14" fillId="0" borderId="7" applyNumberFormat="0" applyFill="0" applyAlignment="0" applyProtection="0"/>
    <xf numFmtId="169" fontId="14" fillId="0" borderId="7" applyNumberFormat="0" applyFill="0" applyAlignment="0" applyProtection="0"/>
    <xf numFmtId="169" fontId="14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0" fontId="56" fillId="0" borderId="0" applyNumberFormat="0" applyFill="0" applyBorder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169" fontId="57" fillId="0" borderId="21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0" fontId="14" fillId="0" borderId="7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6" fillId="0" borderId="0" applyNumberFormat="0" applyFill="0" applyBorder="0" applyAlignment="0" applyProtection="0"/>
    <xf numFmtId="169" fontId="56" fillId="0" borderId="0" applyNumberFormat="0" applyFill="0" applyBorder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0" fontId="56" fillId="0" borderId="0" applyNumberFormat="0" applyFill="0" applyBorder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15" fillId="0" borderId="8" applyNumberFormat="0" applyFill="0" applyAlignment="0" applyProtection="0"/>
    <xf numFmtId="169" fontId="15" fillId="0" borderId="8" applyNumberFormat="0" applyFill="0" applyAlignment="0" applyProtection="0"/>
    <xf numFmtId="169" fontId="15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0" fontId="60" fillId="0" borderId="0" applyNumberFormat="0" applyFill="0" applyBorder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169" fontId="61" fillId="0" borderId="23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0" fontId="15" fillId="0" borderId="8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60" fillId="0" borderId="0" applyNumberFormat="0" applyFill="0" applyBorder="0" applyAlignment="0" applyProtection="0"/>
    <xf numFmtId="169" fontId="60" fillId="0" borderId="0" applyNumberFormat="0" applyFill="0" applyBorder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0" fontId="60" fillId="0" borderId="0" applyNumberFormat="0" applyFill="0" applyBorder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16" fillId="0" borderId="9" applyNumberFormat="0" applyFill="0" applyAlignment="0" applyProtection="0"/>
    <xf numFmtId="169" fontId="16" fillId="0" borderId="9" applyNumberFormat="0" applyFill="0" applyAlignment="0" applyProtection="0"/>
    <xf numFmtId="169" fontId="16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0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169" fontId="64" fillId="0" borderId="2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0" fontId="16" fillId="0" borderId="9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0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20" fillId="5" borderId="10" applyNumberFormat="0" applyAlignment="0" applyProtection="0"/>
    <xf numFmtId="169" fontId="20" fillId="5" borderId="10" applyNumberFormat="0" applyAlignment="0" applyProtection="0"/>
    <xf numFmtId="169" fontId="20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0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169" fontId="65" fillId="43" borderId="18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0" fontId="20" fillId="5" borderId="10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0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0" fontId="41" fillId="58" borderId="0">
      <alignment horizontal="left"/>
    </xf>
    <xf numFmtId="0" fontId="67" fillId="56" borderId="0">
      <alignment horizontal="left"/>
    </xf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23" fillId="0" borderId="12" applyNumberFormat="0" applyFill="0" applyAlignment="0" applyProtection="0"/>
    <xf numFmtId="169" fontId="23" fillId="0" borderId="12" applyNumberFormat="0" applyFill="0" applyAlignment="0" applyProtection="0"/>
    <xf numFmtId="169" fontId="23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0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169" fontId="70" fillId="0" borderId="27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0" fontId="23" fillId="0" borderId="12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0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19" fillId="4" borderId="0" applyNumberFormat="0" applyBorder="0" applyAlignment="0" applyProtection="0"/>
    <xf numFmtId="169" fontId="19" fillId="4" borderId="0" applyNumberFormat="0" applyBorder="0" applyAlignment="0" applyProtection="0"/>
    <xf numFmtId="169" fontId="19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0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169" fontId="73" fillId="4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0" fontId="19" fillId="4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0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41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0" fillId="0" borderId="0"/>
    <xf numFmtId="0" fontId="6" fillId="0" borderId="0"/>
    <xf numFmtId="0" fontId="6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31" fillId="0" borderId="0"/>
    <xf numFmtId="169" fontId="10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31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31" fillId="0" borderId="0"/>
    <xf numFmtId="169" fontId="31" fillId="0" borderId="0"/>
    <xf numFmtId="169" fontId="10" fillId="0" borderId="0"/>
    <xf numFmtId="0" fontId="45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31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75" fillId="38" borderId="28" applyNumberFormat="0" applyFont="0" applyAlignment="0" applyProtection="0"/>
    <xf numFmtId="169" fontId="75" fillId="38" borderId="28" applyNumberFormat="0" applyFont="0" applyAlignment="0" applyProtection="0"/>
    <xf numFmtId="169" fontId="75" fillId="38" borderId="28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75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75" fillId="8" borderId="14" applyNumberFormat="0" applyFont="0" applyAlignment="0" applyProtection="0"/>
    <xf numFmtId="0" fontId="9" fillId="38" borderId="28" applyNumberFormat="0" applyFont="0" applyAlignment="0" applyProtection="0"/>
    <xf numFmtId="169" fontId="75" fillId="8" borderId="14" applyNumberFormat="0" applyFont="0" applyAlignment="0" applyProtection="0"/>
    <xf numFmtId="0" fontId="30" fillId="8" borderId="14" applyNumberFormat="0" applyFont="0" applyAlignment="0" applyProtection="0"/>
    <xf numFmtId="0" fontId="30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0" fontId="9" fillId="38" borderId="28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21" fillId="6" borderId="11" applyNumberFormat="0" applyAlignment="0" applyProtection="0"/>
    <xf numFmtId="169" fontId="21" fillId="6" borderId="11" applyNumberFormat="0" applyAlignment="0" applyProtection="0"/>
    <xf numFmtId="169" fontId="21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0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169" fontId="76" fillId="56" borderId="29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0" fontId="21" fillId="6" borderId="11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0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4" fontId="78" fillId="59" borderId="0">
      <alignment horizontal="right"/>
    </xf>
    <xf numFmtId="0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0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0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0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7" fillId="43" borderId="0">
      <alignment horizontal="center"/>
    </xf>
    <xf numFmtId="49" fontId="81" fillId="56" borderId="0">
      <alignment horizontal="center"/>
    </xf>
    <xf numFmtId="0" fontId="42" fillId="58" borderId="0">
      <alignment horizontal="center"/>
    </xf>
    <xf numFmtId="0" fontId="42" fillId="58" borderId="0">
      <alignment horizontal="centerContinuous"/>
    </xf>
    <xf numFmtId="0" fontId="82" fillId="56" borderId="0">
      <alignment horizontal="left"/>
    </xf>
    <xf numFmtId="49" fontId="82" fillId="56" borderId="0">
      <alignment horizontal="center"/>
    </xf>
    <xf numFmtId="0" fontId="41" fillId="58" borderId="0">
      <alignment horizontal="left"/>
    </xf>
    <xf numFmtId="49" fontId="82" fillId="56" borderId="0">
      <alignment horizontal="left"/>
    </xf>
    <xf numFmtId="0" fontId="41" fillId="58" borderId="0">
      <alignment horizontal="centerContinuous"/>
    </xf>
    <xf numFmtId="0" fontId="41" fillId="58" borderId="0">
      <alignment horizontal="right"/>
    </xf>
    <xf numFmtId="49" fontId="67" fillId="56" borderId="0">
      <alignment horizontal="left"/>
    </xf>
    <xf numFmtId="0" fontId="42" fillId="58" borderId="0">
      <alignment horizontal="right"/>
    </xf>
    <xf numFmtId="0" fontId="82" fillId="40" borderId="0">
      <alignment horizontal="center"/>
    </xf>
    <xf numFmtId="0" fontId="83" fillId="40" borderId="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27" fillId="0" borderId="15" applyNumberFormat="0" applyFill="0" applyAlignment="0" applyProtection="0"/>
    <xf numFmtId="169" fontId="27" fillId="0" borderId="15" applyNumberFormat="0" applyFill="0" applyAlignment="0" applyProtection="0"/>
    <xf numFmtId="169" fontId="2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0" fontId="10" fillId="0" borderId="32" applyNumberFormat="0" applyFon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169" fontId="86" fillId="0" borderId="33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0" fontId="27" fillId="0" borderId="15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10" fillId="0" borderId="32" applyNumberFormat="0" applyFont="0" applyFill="0" applyAlignment="0" applyProtection="0"/>
    <xf numFmtId="169" fontId="10" fillId="0" borderId="32" applyNumberFormat="0" applyFon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0" fontId="10" fillId="0" borderId="32" applyNumberFormat="0" applyFon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0" fontId="88" fillId="56" borderId="0">
      <alignment horizontal="center"/>
    </xf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5" fillId="0" borderId="0"/>
    <xf numFmtId="173" fontId="110" fillId="0" borderId="0"/>
    <xf numFmtId="0" fontId="7" fillId="0" borderId="0"/>
    <xf numFmtId="0" fontId="7" fillId="0" borderId="0"/>
    <xf numFmtId="0" fontId="4" fillId="0" borderId="0"/>
    <xf numFmtId="43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7" fillId="0" borderId="0"/>
    <xf numFmtId="173" fontId="7" fillId="0" borderId="0"/>
    <xf numFmtId="0" fontId="3" fillId="0" borderId="0"/>
    <xf numFmtId="0" fontId="2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07">
    <xf numFmtId="0" fontId="0" fillId="0" borderId="0" xfId="0"/>
    <xf numFmtId="10" fontId="9" fillId="0" borderId="0" xfId="3" applyNumberFormat="1" applyFont="1" applyFill="1" applyAlignment="1">
      <alignment horizontal="center"/>
    </xf>
    <xf numFmtId="0" fontId="11" fillId="0" borderId="0" xfId="0" applyFont="1"/>
    <xf numFmtId="37" fontId="0" fillId="0" borderId="0" xfId="0" applyNumberFormat="1" applyFill="1"/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9" fillId="0" borderId="0" xfId="0" quotePrefix="1" applyFont="1" applyAlignment="1">
      <alignment horizontal="left"/>
    </xf>
    <xf numFmtId="0" fontId="93" fillId="0" borderId="0" xfId="0" quotePrefix="1" applyFont="1" applyAlignment="1">
      <alignment horizontal="left"/>
    </xf>
    <xf numFmtId="0" fontId="93" fillId="0" borderId="0" xfId="0" applyFont="1"/>
    <xf numFmtId="0" fontId="8" fillId="0" borderId="0" xfId="0" applyFont="1" applyAlignment="1">
      <alignment horizontal="center"/>
    </xf>
    <xf numFmtId="0" fontId="97" fillId="0" borderId="0" xfId="0" applyFont="1" applyFill="1" applyBorder="1"/>
    <xf numFmtId="0" fontId="94" fillId="0" borderId="0" xfId="0" applyFont="1" applyFill="1" applyBorder="1"/>
    <xf numFmtId="6" fontId="94" fillId="0" borderId="0" xfId="0" applyNumberFormat="1" applyFont="1" applyFill="1" applyBorder="1" applyAlignment="1">
      <alignment horizontal="center"/>
    </xf>
    <xf numFmtId="0" fontId="94" fillId="0" borderId="0" xfId="0" quotePrefix="1" applyFont="1" applyFill="1" applyBorder="1" applyAlignment="1">
      <alignment horizontal="center"/>
    </xf>
    <xf numFmtId="165" fontId="97" fillId="0" borderId="0" xfId="2" applyNumberFormat="1" applyFont="1" applyFill="1" applyBorder="1"/>
    <xf numFmtId="165" fontId="97" fillId="0" borderId="0" xfId="2" applyNumberFormat="1" applyFont="1" applyFill="1" applyBorder="1" applyProtection="1"/>
    <xf numFmtId="6" fontId="95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5" fillId="0" borderId="0" xfId="0" applyFont="1" applyFill="1" applyBorder="1" applyAlignment="1">
      <alignment horizontal="center"/>
    </xf>
    <xf numFmtId="0" fontId="95" fillId="0" borderId="0" xfId="0" quotePrefix="1" applyFont="1" applyFill="1" applyBorder="1" applyAlignment="1">
      <alignment horizontal="center"/>
    </xf>
    <xf numFmtId="0" fontId="96" fillId="0" borderId="0" xfId="0" applyFont="1" applyFill="1" applyBorder="1"/>
    <xf numFmtId="165" fontId="96" fillId="0" borderId="0" xfId="2" applyNumberFormat="1" applyFont="1" applyFill="1" applyBorder="1"/>
    <xf numFmtId="165" fontId="96" fillId="0" borderId="0" xfId="2" applyNumberFormat="1" applyFont="1" applyFill="1" applyBorder="1" applyProtection="1"/>
    <xf numFmtId="0" fontId="9" fillId="0" borderId="0" xfId="0" applyFont="1" applyFill="1"/>
    <xf numFmtId="164" fontId="48" fillId="0" borderId="0" xfId="0" applyNumberFormat="1" applyFont="1" applyFill="1"/>
    <xf numFmtId="0" fontId="0" fillId="0" borderId="0" xfId="0" applyFill="1"/>
    <xf numFmtId="0" fontId="11" fillId="0" borderId="0" xfId="0" applyFont="1" applyFill="1"/>
    <xf numFmtId="0" fontId="97" fillId="0" borderId="0" xfId="0" applyFont="1" applyFill="1" applyAlignment="1">
      <alignment horizontal="left"/>
    </xf>
    <xf numFmtId="0" fontId="97" fillId="0" borderId="0" xfId="0" applyFont="1" applyFill="1"/>
    <xf numFmtId="0" fontId="97" fillId="0" borderId="0" xfId="0" applyFont="1" applyFill="1" applyAlignment="1">
      <alignment horizontal="center"/>
    </xf>
    <xf numFmtId="5" fontId="91" fillId="0" borderId="0" xfId="0" applyNumberFormat="1" applyFont="1" applyFill="1"/>
    <xf numFmtId="5" fontId="91" fillId="0" borderId="1" xfId="0" applyNumberFormat="1" applyFont="1" applyFill="1" applyBorder="1"/>
    <xf numFmtId="5" fontId="91" fillId="0" borderId="0" xfId="0" applyNumberFormat="1" applyFont="1" applyFill="1" applyBorder="1"/>
    <xf numFmtId="164" fontId="97" fillId="0" borderId="0" xfId="1" applyNumberFormat="1" applyFont="1" applyFill="1"/>
    <xf numFmtId="10" fontId="97" fillId="0" borderId="1" xfId="0" applyNumberFormat="1" applyFont="1" applyFill="1" applyBorder="1"/>
    <xf numFmtId="0" fontId="0" fillId="0" borderId="0" xfId="0" applyFill="1" applyAlignment="1">
      <alignment horizontal="center"/>
    </xf>
    <xf numFmtId="0" fontId="92" fillId="0" borderId="0" xfId="0" applyFont="1" applyFill="1" applyAlignment="1"/>
    <xf numFmtId="165" fontId="0" fillId="0" borderId="0" xfId="2" applyNumberFormat="1" applyFont="1" applyFill="1" applyBorder="1"/>
    <xf numFmtId="0" fontId="11" fillId="0" borderId="0" xfId="0" applyFont="1" applyFill="1" applyAlignment="1">
      <alignment horizontal="left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5" fontId="0" fillId="0" borderId="0" xfId="0" applyNumberFormat="1" applyFill="1"/>
    <xf numFmtId="164" fontId="97" fillId="0" borderId="0" xfId="1" applyNumberFormat="1" applyFont="1" applyFill="1" applyBorder="1"/>
    <xf numFmtId="0" fontId="100" fillId="0" borderId="0" xfId="0" applyFont="1" applyFill="1" applyBorder="1" applyAlignment="1">
      <alignment horizontal="center" wrapText="1"/>
    </xf>
    <xf numFmtId="0" fontId="100" fillId="0" borderId="0" xfId="0" applyFont="1" applyFill="1" applyBorder="1" applyAlignment="1">
      <alignment horizontal="center"/>
    </xf>
    <xf numFmtId="0" fontId="48" fillId="0" borderId="0" xfId="0" applyFont="1" applyFill="1" applyBorder="1"/>
    <xf numFmtId="164" fontId="48" fillId="0" borderId="0" xfId="0" applyNumberFormat="1" applyFont="1" applyFill="1" applyBorder="1"/>
    <xf numFmtId="0" fontId="48" fillId="0" borderId="0" xfId="0" applyFont="1" applyFill="1"/>
    <xf numFmtId="0" fontId="100" fillId="0" borderId="0" xfId="0" applyFont="1" applyFill="1"/>
    <xf numFmtId="0" fontId="100" fillId="0" borderId="0" xfId="0" applyFont="1" applyFill="1" applyAlignment="1">
      <alignment horizontal="center"/>
    </xf>
    <xf numFmtId="0" fontId="100" fillId="0" borderId="0" xfId="0" applyFont="1" applyFill="1" applyAlignment="1">
      <alignment horizontal="center" wrapText="1"/>
    </xf>
    <xf numFmtId="0" fontId="100" fillId="0" borderId="1" xfId="0" quotePrefix="1" applyFont="1" applyFill="1" applyBorder="1" applyAlignment="1">
      <alignment horizontal="center"/>
    </xf>
    <xf numFmtId="167" fontId="48" fillId="0" borderId="0" xfId="0" applyNumberFormat="1" applyFont="1" applyFill="1" applyAlignment="1">
      <alignment horizontal="center"/>
    </xf>
    <xf numFmtId="167" fontId="48" fillId="0" borderId="0" xfId="0" applyNumberFormat="1" applyFont="1" applyFill="1"/>
    <xf numFmtId="0" fontId="48" fillId="0" borderId="0" xfId="0" applyFont="1" applyFill="1" applyAlignment="1">
      <alignment horizontal="center"/>
    </xf>
    <xf numFmtId="0" fontId="48" fillId="0" borderId="0" xfId="0" quotePrefix="1" applyFont="1" applyFill="1"/>
    <xf numFmtId="168" fontId="48" fillId="0" borderId="0" xfId="0" applyNumberFormat="1" applyFont="1" applyFill="1"/>
    <xf numFmtId="43" fontId="48" fillId="0" borderId="0" xfId="0" applyNumberFormat="1" applyFont="1" applyFill="1"/>
    <xf numFmtId="0" fontId="9" fillId="0" borderId="0" xfId="0" applyFont="1" applyFill="1" applyAlignment="1">
      <alignment horizontal="right"/>
    </xf>
    <xf numFmtId="3" fontId="0" fillId="0" borderId="0" xfId="0" applyNumberFormat="1" applyFill="1" applyBorder="1"/>
    <xf numFmtId="0" fontId="8" fillId="0" borderId="0" xfId="0" quotePrefix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quotePrefix="1" applyFont="1" applyFill="1" applyAlignment="1">
      <alignment horizontal="center"/>
    </xf>
    <xf numFmtId="0" fontId="7" fillId="0" borderId="0" xfId="0" quotePrefix="1" applyFont="1" applyFill="1" applyAlignment="1">
      <alignment horizontal="left"/>
    </xf>
    <xf numFmtId="10" fontId="9" fillId="0" borderId="0" xfId="0" applyNumberFormat="1" applyFont="1" applyFill="1"/>
    <xf numFmtId="10" fontId="9" fillId="0" borderId="0" xfId="3" applyNumberFormat="1" applyFont="1" applyFill="1"/>
    <xf numFmtId="0" fontId="9" fillId="0" borderId="0" xfId="0" quotePrefix="1" applyFont="1" applyFill="1" applyAlignment="1">
      <alignment horizontal="left"/>
    </xf>
    <xf numFmtId="0" fontId="96" fillId="0" borderId="0" xfId="0" applyFont="1" applyFill="1"/>
    <xf numFmtId="37" fontId="94" fillId="0" borderId="0" xfId="0" applyNumberFormat="1" applyFont="1" applyFill="1"/>
    <xf numFmtId="0" fontId="98" fillId="0" borderId="0" xfId="0" applyFont="1" applyFill="1" applyAlignment="1">
      <alignment horizontal="center"/>
    </xf>
    <xf numFmtId="0" fontId="98" fillId="0" borderId="0" xfId="0" quotePrefix="1" applyFont="1" applyFill="1" applyBorder="1" applyAlignment="1">
      <alignment horizontal="center"/>
    </xf>
    <xf numFmtId="167" fontId="94" fillId="0" borderId="0" xfId="0" applyNumberFormat="1" applyFont="1" applyFill="1" applyAlignment="1">
      <alignment horizontal="center"/>
    </xf>
    <xf numFmtId="0" fontId="98" fillId="0" borderId="0" xfId="0" applyFont="1" applyFill="1" applyAlignment="1">
      <alignment horizontal="left"/>
    </xf>
    <xf numFmtId="0" fontId="97" fillId="0" borderId="0" xfId="0" quotePrefix="1" applyFont="1" applyFill="1" applyAlignment="1">
      <alignment horizontal="left"/>
    </xf>
    <xf numFmtId="0" fontId="97" fillId="0" borderId="0" xfId="0" quotePrefix="1" applyFont="1" applyFill="1" applyAlignment="1">
      <alignment horizontal="center"/>
    </xf>
    <xf numFmtId="164" fontId="97" fillId="0" borderId="0" xfId="0" applyNumberFormat="1" applyFont="1" applyFill="1"/>
    <xf numFmtId="166" fontId="97" fillId="0" borderId="0" xfId="3" applyNumberFormat="1" applyFont="1" applyFill="1"/>
    <xf numFmtId="164" fontId="96" fillId="0" borderId="0" xfId="0" applyNumberFormat="1" applyFont="1" applyFill="1"/>
    <xf numFmtId="0" fontId="99" fillId="0" borderId="0" xfId="0" quotePrefix="1" applyFont="1" applyFill="1" applyBorder="1" applyAlignment="1">
      <alignment horizontal="center"/>
    </xf>
    <xf numFmtId="0" fontId="99" fillId="0" borderId="0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5" fontId="0" fillId="0" borderId="0" xfId="0" applyNumberFormat="1" applyFill="1" applyBorder="1"/>
    <xf numFmtId="0" fontId="8" fillId="0" borderId="0" xfId="0" quotePrefix="1" applyFont="1" applyAlignment="1">
      <alignment horizontal="center"/>
    </xf>
    <xf numFmtId="0" fontId="94" fillId="0" borderId="0" xfId="0" applyFont="1" applyFill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center"/>
    </xf>
    <xf numFmtId="164" fontId="48" fillId="0" borderId="0" xfId="0" quotePrefix="1" applyNumberFormat="1" applyFont="1" applyFill="1" applyAlignment="1">
      <alignment horizontal="center"/>
    </xf>
    <xf numFmtId="0" fontId="94" fillId="0" borderId="0" xfId="0" applyFont="1" applyFill="1" applyAlignment="1">
      <alignment horizontal="center"/>
    </xf>
    <xf numFmtId="0" fontId="94" fillId="0" borderId="0" xfId="0" applyFont="1" applyFill="1" applyBorder="1" applyAlignment="1">
      <alignment horizontal="center"/>
    </xf>
    <xf numFmtId="0" fontId="95" fillId="0" borderId="0" xfId="0" quotePrefix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/>
    </xf>
    <xf numFmtId="0" fontId="94" fillId="60" borderId="0" xfId="0" applyFont="1" applyFill="1" applyBorder="1" applyAlignment="1">
      <alignment horizontal="center"/>
    </xf>
    <xf numFmtId="0" fontId="98" fillId="60" borderId="0" xfId="0" quotePrefix="1" applyFont="1" applyFill="1" applyBorder="1" applyAlignment="1">
      <alignment horizontal="center"/>
    </xf>
    <xf numFmtId="164" fontId="97" fillId="60" borderId="0" xfId="1" applyNumberFormat="1" applyFont="1" applyFill="1" applyBorder="1"/>
    <xf numFmtId="10" fontId="97" fillId="60" borderId="1" xfId="0" applyNumberFormat="1" applyFont="1" applyFill="1" applyBorder="1"/>
    <xf numFmtId="0" fontId="94" fillId="60" borderId="36" xfId="0" applyFont="1" applyFill="1" applyBorder="1" applyAlignment="1">
      <alignment horizontal="center"/>
    </xf>
    <xf numFmtId="0" fontId="94" fillId="60" borderId="30" xfId="0" applyFont="1" applyFill="1" applyBorder="1" applyAlignment="1">
      <alignment horizontal="center"/>
    </xf>
    <xf numFmtId="0" fontId="98" fillId="60" borderId="36" xfId="0" quotePrefix="1" applyFont="1" applyFill="1" applyBorder="1" applyAlignment="1">
      <alignment horizontal="center"/>
    </xf>
    <xf numFmtId="0" fontId="98" fillId="60" borderId="30" xfId="0" quotePrefix="1" applyFont="1" applyFill="1" applyBorder="1" applyAlignment="1">
      <alignment horizontal="center"/>
    </xf>
    <xf numFmtId="167" fontId="94" fillId="60" borderId="36" xfId="0" applyNumberFormat="1" applyFont="1" applyFill="1" applyBorder="1" applyAlignment="1">
      <alignment horizontal="center"/>
    </xf>
    <xf numFmtId="167" fontId="94" fillId="60" borderId="0" xfId="0" applyNumberFormat="1" applyFont="1" applyFill="1" applyBorder="1" applyAlignment="1">
      <alignment horizontal="center"/>
    </xf>
    <xf numFmtId="167" fontId="94" fillId="60" borderId="30" xfId="0" applyNumberFormat="1" applyFont="1" applyFill="1" applyBorder="1" applyAlignment="1">
      <alignment horizontal="center"/>
    </xf>
    <xf numFmtId="0" fontId="97" fillId="60" borderId="36" xfId="0" applyFont="1" applyFill="1" applyBorder="1"/>
    <xf numFmtId="0" fontId="97" fillId="60" borderId="0" xfId="0" applyFont="1" applyFill="1" applyBorder="1"/>
    <xf numFmtId="0" fontId="97" fillId="60" borderId="30" xfId="0" applyFont="1" applyFill="1" applyBorder="1"/>
    <xf numFmtId="164" fontId="97" fillId="60" borderId="36" xfId="1" applyNumberFormat="1" applyFont="1" applyFill="1" applyBorder="1"/>
    <xf numFmtId="164" fontId="97" fillId="60" borderId="30" xfId="1" applyNumberFormat="1" applyFont="1" applyFill="1" applyBorder="1"/>
    <xf numFmtId="10" fontId="97" fillId="60" borderId="37" xfId="0" applyNumberFormat="1" applyFont="1" applyFill="1" applyBorder="1"/>
    <xf numFmtId="10" fontId="97" fillId="60" borderId="38" xfId="0" applyNumberFormat="1" applyFont="1" applyFill="1" applyBorder="1"/>
    <xf numFmtId="43" fontId="97" fillId="60" borderId="36" xfId="0" applyNumberFormat="1" applyFont="1" applyFill="1" applyBorder="1"/>
    <xf numFmtId="0" fontId="94" fillId="0" borderId="36" xfId="0" applyFont="1" applyFill="1" applyBorder="1" applyAlignment="1">
      <alignment horizontal="center"/>
    </xf>
    <xf numFmtId="0" fontId="94" fillId="0" borderId="30" xfId="0" applyFont="1" applyFill="1" applyBorder="1" applyAlignment="1">
      <alignment horizontal="center"/>
    </xf>
    <xf numFmtId="0" fontId="98" fillId="0" borderId="36" xfId="0" quotePrefix="1" applyFont="1" applyFill="1" applyBorder="1" applyAlignment="1">
      <alignment horizontal="center"/>
    </xf>
    <xf numFmtId="0" fontId="98" fillId="0" borderId="30" xfId="0" quotePrefix="1" applyFont="1" applyFill="1" applyBorder="1" applyAlignment="1">
      <alignment horizontal="center"/>
    </xf>
    <xf numFmtId="167" fontId="94" fillId="0" borderId="36" xfId="0" applyNumberFormat="1" applyFont="1" applyFill="1" applyBorder="1" applyAlignment="1">
      <alignment horizontal="center"/>
    </xf>
    <xf numFmtId="167" fontId="94" fillId="0" borderId="0" xfId="0" applyNumberFormat="1" applyFont="1" applyFill="1" applyBorder="1" applyAlignment="1">
      <alignment horizontal="center"/>
    </xf>
    <xf numFmtId="167" fontId="94" fillId="0" borderId="30" xfId="0" applyNumberFormat="1" applyFont="1" applyFill="1" applyBorder="1" applyAlignment="1">
      <alignment horizontal="center"/>
    </xf>
    <xf numFmtId="0" fontId="97" fillId="0" borderId="36" xfId="0" applyFont="1" applyFill="1" applyBorder="1"/>
    <xf numFmtId="0" fontId="97" fillId="0" borderId="30" xfId="0" applyFont="1" applyFill="1" applyBorder="1"/>
    <xf numFmtId="164" fontId="97" fillId="0" borderId="36" xfId="1" applyNumberFormat="1" applyFont="1" applyFill="1" applyBorder="1"/>
    <xf numFmtId="164" fontId="97" fillId="0" borderId="30" xfId="1" applyNumberFormat="1" applyFont="1" applyFill="1" applyBorder="1"/>
    <xf numFmtId="10" fontId="97" fillId="0" borderId="37" xfId="0" applyNumberFormat="1" applyFont="1" applyFill="1" applyBorder="1"/>
    <xf numFmtId="10" fontId="97" fillId="0" borderId="38" xfId="0" applyNumberFormat="1" applyFont="1" applyFill="1" applyBorder="1"/>
    <xf numFmtId="0" fontId="105" fillId="0" borderId="0" xfId="0" applyFont="1" applyFill="1" applyAlignment="1">
      <alignment horizontal="left"/>
    </xf>
    <xf numFmtId="0" fontId="105" fillId="0" borderId="0" xfId="0" applyFont="1" applyFill="1"/>
    <xf numFmtId="164" fontId="105" fillId="0" borderId="0" xfId="0" applyNumberFormat="1" applyFont="1" applyFill="1"/>
    <xf numFmtId="0" fontId="94" fillId="0" borderId="34" xfId="0" applyFont="1" applyFill="1" applyBorder="1" applyAlignment="1">
      <alignment horizontal="center"/>
    </xf>
    <xf numFmtId="0" fontId="94" fillId="0" borderId="6" xfId="0" applyFont="1" applyFill="1" applyBorder="1" applyAlignment="1">
      <alignment horizontal="center"/>
    </xf>
    <xf numFmtId="0" fontId="94" fillId="0" borderId="35" xfId="0" applyFont="1" applyFill="1" applyBorder="1" applyAlignment="1">
      <alignment horizontal="center"/>
    </xf>
    <xf numFmtId="0" fontId="94" fillId="61" borderId="34" xfId="0" applyFont="1" applyFill="1" applyBorder="1" applyAlignment="1">
      <alignment horizontal="center"/>
    </xf>
    <xf numFmtId="0" fontId="94" fillId="61" borderId="6" xfId="0" applyFont="1" applyFill="1" applyBorder="1" applyAlignment="1">
      <alignment horizontal="center"/>
    </xf>
    <xf numFmtId="0" fontId="94" fillId="61" borderId="35" xfId="0" applyFont="1" applyFill="1" applyBorder="1" applyAlignment="1">
      <alignment horizontal="center"/>
    </xf>
    <xf numFmtId="0" fontId="98" fillId="61" borderId="36" xfId="0" quotePrefix="1" applyFont="1" applyFill="1" applyBorder="1" applyAlignment="1">
      <alignment horizontal="center"/>
    </xf>
    <xf numFmtId="0" fontId="98" fillId="61" borderId="0" xfId="0" quotePrefix="1" applyFont="1" applyFill="1" applyBorder="1" applyAlignment="1">
      <alignment horizontal="center"/>
    </xf>
    <xf numFmtId="0" fontId="98" fillId="61" borderId="30" xfId="0" quotePrefix="1" applyFont="1" applyFill="1" applyBorder="1" applyAlignment="1">
      <alignment horizontal="center"/>
    </xf>
    <xf numFmtId="167" fontId="94" fillId="61" borderId="36" xfId="0" applyNumberFormat="1" applyFont="1" applyFill="1" applyBorder="1" applyAlignment="1">
      <alignment horizontal="center"/>
    </xf>
    <xf numFmtId="167" fontId="94" fillId="61" borderId="0" xfId="0" applyNumberFormat="1" applyFont="1" applyFill="1" applyBorder="1" applyAlignment="1">
      <alignment horizontal="center"/>
    </xf>
    <xf numFmtId="167" fontId="94" fillId="61" borderId="30" xfId="0" applyNumberFormat="1" applyFont="1" applyFill="1" applyBorder="1" applyAlignment="1">
      <alignment horizontal="center"/>
    </xf>
    <xf numFmtId="0" fontId="97" fillId="61" borderId="36" xfId="0" applyFont="1" applyFill="1" applyBorder="1"/>
    <xf numFmtId="0" fontId="97" fillId="61" borderId="0" xfId="0" applyFont="1" applyFill="1" applyBorder="1"/>
    <xf numFmtId="0" fontId="97" fillId="61" borderId="30" xfId="0" applyFont="1" applyFill="1" applyBorder="1"/>
    <xf numFmtId="164" fontId="97" fillId="61" borderId="36" xfId="1" applyNumberFormat="1" applyFont="1" applyFill="1" applyBorder="1"/>
    <xf numFmtId="164" fontId="97" fillId="61" borderId="0" xfId="1" applyNumberFormat="1" applyFont="1" applyFill="1" applyBorder="1"/>
    <xf numFmtId="164" fontId="97" fillId="61" borderId="30" xfId="1" applyNumberFormat="1" applyFont="1" applyFill="1" applyBorder="1"/>
    <xf numFmtId="10" fontId="97" fillId="61" borderId="37" xfId="0" applyNumberFormat="1" applyFont="1" applyFill="1" applyBorder="1"/>
    <xf numFmtId="10" fontId="97" fillId="61" borderId="1" xfId="0" applyNumberFormat="1" applyFont="1" applyFill="1" applyBorder="1"/>
    <xf numFmtId="10" fontId="97" fillId="61" borderId="38" xfId="0" applyNumberFormat="1" applyFont="1" applyFill="1" applyBorder="1"/>
    <xf numFmtId="43" fontId="97" fillId="61" borderId="36" xfId="0" applyNumberFormat="1" applyFont="1" applyFill="1" applyBorder="1"/>
    <xf numFmtId="0" fontId="48" fillId="0" borderId="0" xfId="0" applyFont="1" applyFill="1" applyBorder="1" applyAlignment="1">
      <alignment horizontal="right"/>
    </xf>
    <xf numFmtId="0" fontId="104" fillId="0" borderId="0" xfId="0" applyFont="1" applyFill="1" applyBorder="1"/>
    <xf numFmtId="43" fontId="100" fillId="0" borderId="0" xfId="0" applyNumberFormat="1" applyFont="1" applyFill="1" applyAlignment="1">
      <alignment horizontal="center"/>
    </xf>
    <xf numFmtId="164" fontId="48" fillId="0" borderId="0" xfId="1" applyNumberFormat="1" applyFont="1" applyFill="1"/>
    <xf numFmtId="0" fontId="97" fillId="0" borderId="0" xfId="0" quotePrefix="1" applyFont="1" applyFill="1" applyBorder="1" applyAlignment="1">
      <alignment horizontal="center"/>
    </xf>
    <xf numFmtId="0" fontId="97" fillId="0" borderId="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center"/>
    </xf>
    <xf numFmtId="0" fontId="99" fillId="0" borderId="0" xfId="0" quotePrefix="1" applyFont="1" applyFill="1" applyBorder="1" applyAlignment="1">
      <alignment horizontal="left"/>
    </xf>
    <xf numFmtId="0" fontId="96" fillId="0" borderId="0" xfId="0" quotePrefix="1" applyFont="1" applyFill="1" applyBorder="1" applyAlignment="1">
      <alignment horizontal="left"/>
    </xf>
    <xf numFmtId="44" fontId="96" fillId="0" borderId="0" xfId="2" applyFont="1" applyFill="1" applyBorder="1"/>
    <xf numFmtId="164" fontId="96" fillId="0" borderId="0" xfId="0" applyNumberFormat="1" applyFont="1" applyFill="1" applyBorder="1"/>
    <xf numFmtId="0" fontId="96" fillId="0" borderId="0" xfId="0" applyFont="1" applyFill="1" applyBorder="1" applyAlignment="1">
      <alignment horizontal="right"/>
    </xf>
    <xf numFmtId="0" fontId="96" fillId="0" borderId="0" xfId="0" applyFont="1" applyFill="1" applyBorder="1" applyAlignment="1">
      <alignment horizontal="left"/>
    </xf>
    <xf numFmtId="5" fontId="96" fillId="0" borderId="0" xfId="0" applyNumberFormat="1" applyFont="1" applyFill="1" applyBorder="1"/>
    <xf numFmtId="0" fontId="95" fillId="0" borderId="0" xfId="0" quotePrefix="1" applyFont="1" applyFill="1" applyBorder="1" applyAlignment="1">
      <alignment horizontal="left"/>
    </xf>
    <xf numFmtId="167" fontId="95" fillId="0" borderId="0" xfId="0" applyNumberFormat="1" applyFont="1" applyFill="1" applyBorder="1" applyAlignment="1">
      <alignment horizontal="center"/>
    </xf>
    <xf numFmtId="0" fontId="99" fillId="0" borderId="0" xfId="0" applyFont="1" applyFill="1" applyBorder="1" applyAlignment="1">
      <alignment horizontal="left"/>
    </xf>
    <xf numFmtId="164" fontId="96" fillId="0" borderId="0" xfId="1" applyNumberFormat="1" applyFont="1" applyFill="1" applyBorder="1"/>
    <xf numFmtId="10" fontId="96" fillId="0" borderId="0" xfId="0" applyNumberFormat="1" applyFont="1" applyFill="1" applyBorder="1"/>
    <xf numFmtId="166" fontId="96" fillId="0" borderId="0" xfId="3" applyNumberFormat="1" applyFont="1" applyFill="1" applyBorder="1"/>
    <xf numFmtId="164" fontId="96" fillId="0" borderId="0" xfId="5" applyNumberFormat="1" applyFont="1" applyFill="1" applyBorder="1" applyAlignment="1">
      <alignment horizontal="left"/>
    </xf>
    <xf numFmtId="0" fontId="94" fillId="0" borderId="0" xfId="0" quotePrefix="1" applyFont="1" applyFill="1" applyAlignment="1"/>
    <xf numFmtId="0" fontId="11" fillId="0" borderId="1" xfId="0" applyFont="1" applyFill="1" applyBorder="1" applyAlignment="1">
      <alignment horizontal="center"/>
    </xf>
    <xf numFmtId="3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/>
    <xf numFmtId="0" fontId="12" fillId="0" borderId="0" xfId="0" applyFont="1" applyFill="1"/>
    <xf numFmtId="3" fontId="0" fillId="0" borderId="0" xfId="0" applyNumberFormat="1" applyFill="1"/>
    <xf numFmtId="3" fontId="0" fillId="0" borderId="1" xfId="0" applyNumberFormat="1" applyFill="1" applyBorder="1"/>
    <xf numFmtId="3" fontId="11" fillId="0" borderId="0" xfId="0" applyNumberFormat="1" applyFont="1" applyFill="1"/>
    <xf numFmtId="0" fontId="0" fillId="0" borderId="0" xfId="0" applyFill="1" applyBorder="1"/>
    <xf numFmtId="0" fontId="8" fillId="0" borderId="0" xfId="0" quotePrefix="1" applyFont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" fillId="0" borderId="1" xfId="0" applyFont="1" applyFill="1" applyBorder="1"/>
    <xf numFmtId="10" fontId="9" fillId="0" borderId="1" xfId="3" applyNumberFormat="1" applyFont="1" applyFill="1" applyBorder="1"/>
    <xf numFmtId="10" fontId="9" fillId="0" borderId="1" xfId="0" applyNumberFormat="1" applyFont="1" applyFill="1" applyBorder="1"/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0" xfId="0" applyFont="1" applyFill="1" applyAlignment="1"/>
    <xf numFmtId="0" fontId="92" fillId="0" borderId="0" xfId="0" applyFont="1" applyFill="1" applyAlignment="1">
      <alignment horizontal="centerContinuous"/>
    </xf>
    <xf numFmtId="0" fontId="94" fillId="0" borderId="0" xfId="0" quotePrefix="1" applyFont="1" applyFill="1" applyAlignment="1">
      <alignment horizontal="centerContinuous"/>
    </xf>
    <xf numFmtId="0" fontId="94" fillId="0" borderId="0" xfId="0" applyFont="1" applyFill="1" applyAlignment="1">
      <alignment horizontal="centerContinuous"/>
    </xf>
    <xf numFmtId="0" fontId="92" fillId="0" borderId="0" xfId="0" quotePrefix="1" applyFont="1" applyAlignment="1">
      <alignment horizontal="centerContinuous"/>
    </xf>
    <xf numFmtId="0" fontId="100" fillId="0" borderId="1" xfId="0" applyFont="1" applyFill="1" applyBorder="1" applyAlignment="1">
      <alignment horizontal="centerContinuous"/>
    </xf>
    <xf numFmtId="0" fontId="92" fillId="0" borderId="0" xfId="0" applyFont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11" fillId="0" borderId="0" xfId="4" applyFont="1"/>
    <xf numFmtId="0" fontId="7" fillId="0" borderId="0" xfId="4"/>
    <xf numFmtId="0" fontId="107" fillId="63" borderId="39" xfId="4" applyFont="1" applyFill="1" applyBorder="1"/>
    <xf numFmtId="0" fontId="107" fillId="0" borderId="39" xfId="4" applyFont="1" applyBorder="1"/>
    <xf numFmtId="37" fontId="107" fillId="0" borderId="39" xfId="4" applyNumberFormat="1" applyFont="1" applyBorder="1"/>
    <xf numFmtId="0" fontId="107" fillId="0" borderId="0" xfId="4" applyFont="1"/>
    <xf numFmtId="37" fontId="7" fillId="0" borderId="0" xfId="4" applyNumberFormat="1"/>
    <xf numFmtId="37" fontId="7" fillId="0" borderId="0" xfId="4" applyNumberFormat="1" applyFill="1"/>
    <xf numFmtId="0" fontId="107" fillId="0" borderId="40" xfId="4" applyFont="1" applyBorder="1"/>
    <xf numFmtId="37" fontId="107" fillId="0" borderId="40" xfId="4" applyNumberFormat="1" applyFont="1" applyBorder="1"/>
    <xf numFmtId="0" fontId="107" fillId="63" borderId="41" xfId="4" applyFont="1" applyFill="1" applyBorder="1"/>
    <xf numFmtId="37" fontId="107" fillId="63" borderId="41" xfId="4" applyNumberFormat="1" applyFont="1" applyFill="1" applyBorder="1"/>
    <xf numFmtId="0" fontId="7" fillId="0" borderId="0" xfId="4" applyAlignment="1">
      <alignment horizontal="right"/>
    </xf>
    <xf numFmtId="37" fontId="7" fillId="0" borderId="0" xfId="4" applyNumberFormat="1" applyFill="1" applyBorder="1"/>
    <xf numFmtId="0" fontId="7" fillId="64" borderId="0" xfId="4" applyFill="1"/>
    <xf numFmtId="0" fontId="107" fillId="64" borderId="0" xfId="4" applyFont="1" applyFill="1"/>
    <xf numFmtId="0" fontId="7" fillId="65" borderId="0" xfId="4" applyFill="1"/>
    <xf numFmtId="0" fontId="107" fillId="65" borderId="0" xfId="4" applyFont="1" applyFill="1"/>
    <xf numFmtId="0" fontId="7" fillId="66" borderId="0" xfId="4" applyFill="1"/>
    <xf numFmtId="0" fontId="107" fillId="66" borderId="0" xfId="4" applyFont="1" applyFill="1"/>
    <xf numFmtId="0" fontId="7" fillId="62" borderId="0" xfId="4" applyFill="1"/>
    <xf numFmtId="0" fontId="107" fillId="62" borderId="0" xfId="4" applyFont="1" applyFill="1"/>
    <xf numFmtId="37" fontId="7" fillId="62" borderId="0" xfId="4" applyNumberFormat="1" applyFill="1"/>
    <xf numFmtId="0" fontId="7" fillId="60" borderId="0" xfId="4" applyFill="1"/>
    <xf numFmtId="0" fontId="107" fillId="60" borderId="0" xfId="4" applyFont="1" applyFill="1"/>
    <xf numFmtId="0" fontId="7" fillId="0" borderId="1" xfId="4" applyBorder="1"/>
    <xf numFmtId="0" fontId="94" fillId="0" borderId="0" xfId="0" applyFont="1" applyFill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Continuous"/>
    </xf>
    <xf numFmtId="0" fontId="97" fillId="0" borderId="2" xfId="0" applyFont="1" applyFill="1" applyBorder="1" applyAlignment="1">
      <alignment horizontal="centerContinuous"/>
    </xf>
    <xf numFmtId="0" fontId="94" fillId="0" borderId="2" xfId="0" applyFont="1" applyFill="1" applyBorder="1" applyAlignment="1">
      <alignment horizontal="centerContinuous"/>
    </xf>
    <xf numFmtId="0" fontId="94" fillId="0" borderId="17" xfId="0" applyFont="1" applyFill="1" applyBorder="1" applyAlignment="1">
      <alignment horizontal="centerContinuous"/>
    </xf>
    <xf numFmtId="43" fontId="97" fillId="0" borderId="36" xfId="0" applyNumberFormat="1" applyFont="1" applyFill="1" applyBorder="1"/>
    <xf numFmtId="172" fontId="48" fillId="0" borderId="0" xfId="0" applyNumberFormat="1" applyFont="1" applyFill="1"/>
    <xf numFmtId="0" fontId="100" fillId="0" borderId="1" xfId="0" applyFont="1" applyFill="1" applyBorder="1" applyAlignment="1">
      <alignment horizontal="center"/>
    </xf>
    <xf numFmtId="0" fontId="0" fillId="69" borderId="0" xfId="0" applyFill="1"/>
    <xf numFmtId="0" fontId="0" fillId="66" borderId="0" xfId="0" applyFill="1"/>
    <xf numFmtId="0" fontId="7" fillId="66" borderId="0" xfId="0" applyFont="1" applyFill="1"/>
    <xf numFmtId="0" fontId="108" fillId="66" borderId="0" xfId="0" applyFont="1" applyFill="1"/>
    <xf numFmtId="0" fontId="0" fillId="70" borderId="0" xfId="0" applyFill="1"/>
    <xf numFmtId="0" fontId="108" fillId="70" borderId="0" xfId="0" applyFont="1" applyFill="1"/>
    <xf numFmtId="0" fontId="0" fillId="71" borderId="0" xfId="0" applyFill="1"/>
    <xf numFmtId="0" fontId="0" fillId="68" borderId="0" xfId="0" applyFill="1"/>
    <xf numFmtId="3" fontId="7" fillId="0" borderId="1" xfId="0" applyNumberFormat="1" applyFont="1" applyFill="1" applyBorder="1"/>
    <xf numFmtId="0" fontId="0" fillId="67" borderId="0" xfId="0" applyFill="1"/>
    <xf numFmtId="0" fontId="109" fillId="0" borderId="0" xfId="0" applyFont="1" applyFill="1"/>
    <xf numFmtId="0" fontId="48" fillId="0" borderId="1" xfId="0" applyFont="1" applyFill="1" applyBorder="1"/>
    <xf numFmtId="0" fontId="48" fillId="72" borderId="0" xfId="0" applyFont="1" applyFill="1"/>
    <xf numFmtId="37" fontId="7" fillId="68" borderId="0" xfId="4" applyNumberFormat="1" applyFill="1"/>
    <xf numFmtId="172" fontId="48" fillId="0" borderId="0" xfId="0" quotePrefix="1" applyNumberFormat="1" applyFont="1" applyFill="1" applyAlignment="1">
      <alignment horizontal="center"/>
    </xf>
    <xf numFmtId="37" fontId="7" fillId="67" borderId="0" xfId="4" applyNumberFormat="1" applyFill="1"/>
    <xf numFmtId="3" fontId="0" fillId="72" borderId="0" xfId="0" applyNumberFormat="1" applyFill="1"/>
    <xf numFmtId="3" fontId="0" fillId="73" borderId="0" xfId="0" applyNumberFormat="1" applyFill="1"/>
    <xf numFmtId="3" fontId="0" fillId="73" borderId="1" xfId="0" applyNumberFormat="1" applyFill="1" applyBorder="1"/>
    <xf numFmtId="0" fontId="8" fillId="0" borderId="0" xfId="0" quotePrefix="1" applyFont="1" applyAlignment="1"/>
    <xf numFmtId="0" fontId="9" fillId="59" borderId="0" xfId="2388" applyFont="1" applyFill="1"/>
    <xf numFmtId="164" fontId="9" fillId="0" borderId="0" xfId="2391" applyNumberFormat="1" applyFont="1" applyAlignment="1">
      <alignment horizontal="center" wrapText="1"/>
    </xf>
    <xf numFmtId="164" fontId="9" fillId="0" borderId="0" xfId="2391" applyNumberFormat="1" applyFont="1" applyFill="1" applyAlignment="1">
      <alignment horizontal="center" wrapText="1"/>
    </xf>
    <xf numFmtId="173" fontId="48" fillId="0" borderId="0" xfId="2387" applyFont="1"/>
    <xf numFmtId="0" fontId="8" fillId="0" borderId="0" xfId="2389" applyFont="1" applyAlignment="1">
      <alignment horizontal="left"/>
    </xf>
    <xf numFmtId="0" fontId="9" fillId="0" borderId="0" xfId="2389" applyFont="1" applyAlignment="1">
      <alignment horizontal="center"/>
    </xf>
    <xf numFmtId="173" fontId="48" fillId="0" borderId="0" xfId="2387" applyFont="1" applyFill="1"/>
    <xf numFmtId="173" fontId="9" fillId="0" borderId="0" xfId="2387" applyFont="1" applyFill="1"/>
    <xf numFmtId="176" fontId="9" fillId="0" borderId="0" xfId="2387" quotePrefix="1" applyNumberFormat="1" applyFont="1" applyFill="1"/>
    <xf numFmtId="175" fontId="9" fillId="0" borderId="0" xfId="2387" applyNumberFormat="1" applyFont="1" applyFill="1" applyBorder="1" applyAlignment="1">
      <alignment horizontal="center"/>
    </xf>
    <xf numFmtId="175" fontId="9" fillId="0" borderId="1" xfId="2387" applyNumberFormat="1" applyFont="1" applyFill="1" applyBorder="1" applyAlignment="1">
      <alignment horizontal="center"/>
    </xf>
    <xf numFmtId="176" fontId="9" fillId="0" borderId="0" xfId="2387" applyNumberFormat="1" applyFont="1" applyFill="1"/>
    <xf numFmtId="173" fontId="48" fillId="0" borderId="0" xfId="2387" applyFont="1" applyAlignment="1">
      <alignment horizontal="center"/>
    </xf>
    <xf numFmtId="173" fontId="9" fillId="0" borderId="0" xfId="2387" applyFont="1"/>
    <xf numFmtId="175" fontId="9" fillId="0" borderId="0" xfId="2387" applyNumberFormat="1" applyFont="1" applyFill="1" applyAlignment="1">
      <alignment horizontal="center"/>
    </xf>
    <xf numFmtId="175" fontId="48" fillId="0" borderId="0" xfId="2387" applyNumberFormat="1" applyFont="1" applyFill="1" applyAlignment="1">
      <alignment horizontal="center"/>
    </xf>
    <xf numFmtId="173" fontId="29" fillId="0" borderId="0" xfId="2387" applyFont="1"/>
    <xf numFmtId="173" fontId="29" fillId="0" borderId="0" xfId="2387" applyFont="1" applyFill="1"/>
    <xf numFmtId="173" fontId="29" fillId="0" borderId="0" xfId="2387" applyFont="1" applyAlignment="1">
      <alignment horizontal="center"/>
    </xf>
    <xf numFmtId="173" fontId="8" fillId="0" borderId="0" xfId="2387" applyFont="1"/>
    <xf numFmtId="5" fontId="106" fillId="0" borderId="1" xfId="0" applyNumberFormat="1" applyFont="1" applyFill="1" applyBorder="1"/>
    <xf numFmtId="172" fontId="9" fillId="0" borderId="0" xfId="1" applyNumberFormat="1" applyFont="1" applyBorder="1"/>
    <xf numFmtId="172" fontId="9" fillId="0" borderId="1" xfId="1" applyNumberFormat="1" applyFont="1" applyBorder="1"/>
    <xf numFmtId="172" fontId="9" fillId="0" borderId="6" xfId="1" applyNumberFormat="1" applyFont="1" applyBorder="1"/>
    <xf numFmtId="172" fontId="9" fillId="0" borderId="3" xfId="1" applyNumberFormat="1" applyFont="1" applyBorder="1"/>
    <xf numFmtId="172" fontId="9" fillId="0" borderId="0" xfId="1" applyNumberFormat="1" applyFont="1"/>
    <xf numFmtId="172" fontId="9" fillId="0" borderId="0" xfId="1" applyNumberFormat="1" applyFont="1" applyFill="1" applyBorder="1"/>
    <xf numFmtId="172" fontId="9" fillId="0" borderId="1" xfId="1" applyNumberFormat="1" applyFont="1" applyFill="1" applyBorder="1"/>
    <xf numFmtId="172" fontId="97" fillId="0" borderId="0" xfId="0" applyNumberFormat="1" applyFont="1" applyFill="1" applyBorder="1"/>
    <xf numFmtId="5" fontId="106" fillId="0" borderId="0" xfId="0" applyNumberFormat="1" applyFont="1" applyFill="1" applyBorder="1"/>
    <xf numFmtId="5" fontId="106" fillId="0" borderId="0" xfId="0" applyNumberFormat="1" applyFont="1" applyFill="1"/>
    <xf numFmtId="179" fontId="97" fillId="0" borderId="36" xfId="1" applyNumberFormat="1" applyFont="1" applyFill="1" applyBorder="1"/>
    <xf numFmtId="179" fontId="97" fillId="0" borderId="0" xfId="1" applyNumberFormat="1" applyFont="1" applyFill="1" applyBorder="1"/>
    <xf numFmtId="179" fontId="97" fillId="0" borderId="30" xfId="1" applyNumberFormat="1" applyFont="1" applyFill="1" applyBorder="1"/>
    <xf numFmtId="179" fontId="111" fillId="0" borderId="36" xfId="1" applyNumberFormat="1" applyFont="1" applyFill="1" applyBorder="1"/>
    <xf numFmtId="179" fontId="111" fillId="0" borderId="0" xfId="1" applyNumberFormat="1" applyFont="1" applyFill="1" applyBorder="1"/>
    <xf numFmtId="179" fontId="111" fillId="0" borderId="37" xfId="1" applyNumberFormat="1" applyFont="1" applyFill="1" applyBorder="1"/>
    <xf numFmtId="179" fontId="111" fillId="0" borderId="1" xfId="1" applyNumberFormat="1" applyFont="1" applyFill="1" applyBorder="1"/>
    <xf numFmtId="179" fontId="97" fillId="0" borderId="38" xfId="1" applyNumberFormat="1" applyFont="1" applyFill="1" applyBorder="1"/>
    <xf numFmtId="179" fontId="97" fillId="0" borderId="37" xfId="1" applyNumberFormat="1" applyFont="1" applyFill="1" applyBorder="1"/>
    <xf numFmtId="179" fontId="97" fillId="0" borderId="1" xfId="1" applyNumberFormat="1" applyFont="1" applyFill="1" applyBorder="1"/>
    <xf numFmtId="179" fontId="97" fillId="0" borderId="16" xfId="1" applyNumberFormat="1" applyFont="1" applyFill="1" applyBorder="1"/>
    <xf numFmtId="179" fontId="97" fillId="0" borderId="2" xfId="1" applyNumberFormat="1" applyFont="1" applyFill="1" applyBorder="1"/>
    <xf numFmtId="179" fontId="97" fillId="0" borderId="17" xfId="1" applyNumberFormat="1" applyFont="1" applyFill="1" applyBorder="1"/>
    <xf numFmtId="179" fontId="97" fillId="61" borderId="16" xfId="1" applyNumberFormat="1" applyFont="1" applyFill="1" applyBorder="1"/>
    <xf numFmtId="179" fontId="97" fillId="61" borderId="2" xfId="1" applyNumberFormat="1" applyFont="1" applyFill="1" applyBorder="1"/>
    <xf numFmtId="179" fontId="97" fillId="61" borderId="17" xfId="1" applyNumberFormat="1" applyFont="1" applyFill="1" applyBorder="1"/>
    <xf numFmtId="179" fontId="97" fillId="61" borderId="36" xfId="1" applyNumberFormat="1" applyFont="1" applyFill="1" applyBorder="1"/>
    <xf numFmtId="179" fontId="97" fillId="61" borderId="0" xfId="1" applyNumberFormat="1" applyFont="1" applyFill="1" applyBorder="1"/>
    <xf numFmtId="179" fontId="97" fillId="61" borderId="30" xfId="1" applyNumberFormat="1" applyFont="1" applyFill="1" applyBorder="1"/>
    <xf numFmtId="179" fontId="97" fillId="61" borderId="37" xfId="1" applyNumberFormat="1" applyFont="1" applyFill="1" applyBorder="1"/>
    <xf numFmtId="179" fontId="97" fillId="61" borderId="1" xfId="1" applyNumberFormat="1" applyFont="1" applyFill="1" applyBorder="1"/>
    <xf numFmtId="179" fontId="97" fillId="61" borderId="38" xfId="1" applyNumberFormat="1" applyFont="1" applyFill="1" applyBorder="1"/>
    <xf numFmtId="179" fontId="97" fillId="60" borderId="36" xfId="1" applyNumberFormat="1" applyFont="1" applyFill="1" applyBorder="1"/>
    <xf numFmtId="179" fontId="97" fillId="60" borderId="0" xfId="1" applyNumberFormat="1" applyFont="1" applyFill="1" applyBorder="1"/>
    <xf numFmtId="179" fontId="97" fillId="60" borderId="30" xfId="1" applyNumberFormat="1" applyFont="1" applyFill="1" applyBorder="1"/>
    <xf numFmtId="179" fontId="97" fillId="60" borderId="37" xfId="1" applyNumberFormat="1" applyFont="1" applyFill="1" applyBorder="1"/>
    <xf numFmtId="179" fontId="97" fillId="60" borderId="1" xfId="1" applyNumberFormat="1" applyFont="1" applyFill="1" applyBorder="1"/>
    <xf numFmtId="179" fontId="97" fillId="60" borderId="38" xfId="1" applyNumberFormat="1" applyFont="1" applyFill="1" applyBorder="1"/>
    <xf numFmtId="179" fontId="97" fillId="60" borderId="37" xfId="0" applyNumberFormat="1" applyFont="1" applyFill="1" applyBorder="1"/>
    <xf numFmtId="179" fontId="97" fillId="60" borderId="1" xfId="0" applyNumberFormat="1" applyFont="1" applyFill="1" applyBorder="1"/>
    <xf numFmtId="179" fontId="97" fillId="60" borderId="38" xfId="0" applyNumberFormat="1" applyFont="1" applyFill="1" applyBorder="1"/>
    <xf numFmtId="179" fontId="97" fillId="0" borderId="37" xfId="0" applyNumberFormat="1" applyFont="1" applyFill="1" applyBorder="1"/>
    <xf numFmtId="179" fontId="97" fillId="0" borderId="1" xfId="0" applyNumberFormat="1" applyFont="1" applyFill="1" applyBorder="1"/>
    <xf numFmtId="179" fontId="97" fillId="0" borderId="38" xfId="0" applyNumberFormat="1" applyFont="1" applyFill="1" applyBorder="1"/>
    <xf numFmtId="179" fontId="97" fillId="60" borderId="16" xfId="0" applyNumberFormat="1" applyFont="1" applyFill="1" applyBorder="1"/>
    <xf numFmtId="179" fontId="97" fillId="60" borderId="2" xfId="0" applyNumberFormat="1" applyFont="1" applyFill="1" applyBorder="1"/>
    <xf numFmtId="179" fontId="97" fillId="60" borderId="17" xfId="0" applyNumberFormat="1" applyFont="1" applyFill="1" applyBorder="1"/>
    <xf numFmtId="179" fontId="97" fillId="0" borderId="16" xfId="0" applyNumberFormat="1" applyFont="1" applyFill="1" applyBorder="1"/>
    <xf numFmtId="179" fontId="97" fillId="0" borderId="2" xfId="0" applyNumberFormat="1" applyFont="1" applyFill="1" applyBorder="1"/>
    <xf numFmtId="179" fontId="97" fillId="0" borderId="17" xfId="0" applyNumberFormat="1" applyFont="1" applyFill="1" applyBorder="1"/>
    <xf numFmtId="179" fontId="97" fillId="0" borderId="34" xfId="1" applyNumberFormat="1" applyFont="1" applyFill="1" applyBorder="1"/>
    <xf numFmtId="0" fontId="0" fillId="74" borderId="0" xfId="0" applyFill="1"/>
    <xf numFmtId="172" fontId="106" fillId="0" borderId="0" xfId="1" applyNumberFormat="1" applyFont="1"/>
    <xf numFmtId="0" fontId="8" fillId="0" borderId="0" xfId="0" applyFont="1" applyFill="1" applyAlignment="1">
      <alignment horizontal="centerContinuous"/>
    </xf>
    <xf numFmtId="0" fontId="100" fillId="0" borderId="1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37" fontId="0" fillId="0" borderId="0" xfId="0" applyNumberFormat="1"/>
    <xf numFmtId="0" fontId="0" fillId="62" borderId="0" xfId="0" applyFill="1"/>
    <xf numFmtId="0" fontId="0" fillId="65" borderId="0" xfId="0" applyFill="1"/>
    <xf numFmtId="0" fontId="0" fillId="64" borderId="0" xfId="0" applyFill="1"/>
    <xf numFmtId="0" fontId="0" fillId="60" borderId="0" xfId="0" applyFill="1"/>
    <xf numFmtId="37" fontId="0" fillId="68" borderId="0" xfId="0" applyNumberFormat="1" applyFill="1"/>
    <xf numFmtId="37" fontId="0" fillId="67" borderId="0" xfId="0" applyNumberFormat="1" applyFill="1"/>
    <xf numFmtId="0" fontId="0" fillId="75" borderId="0" xfId="0" applyFill="1"/>
    <xf numFmtId="5" fontId="9" fillId="0" borderId="1" xfId="0" applyNumberFormat="1" applyFont="1" applyFill="1" applyBorder="1"/>
    <xf numFmtId="0" fontId="7" fillId="72" borderId="0" xfId="4" applyFill="1"/>
    <xf numFmtId="0" fontId="11" fillId="72" borderId="0" xfId="4" applyFont="1" applyFill="1"/>
    <xf numFmtId="0" fontId="8" fillId="0" borderId="1" xfId="0" quotePrefix="1" applyFont="1" applyFill="1" applyBorder="1" applyAlignment="1">
      <alignment horizontal="center"/>
    </xf>
    <xf numFmtId="164" fontId="7" fillId="0" borderId="0" xfId="1" applyNumberFormat="1" applyFill="1"/>
    <xf numFmtId="37" fontId="0" fillId="0" borderId="16" xfId="0" applyNumberFormat="1" applyBorder="1"/>
    <xf numFmtId="37" fontId="0" fillId="0" borderId="2" xfId="0" applyNumberFormat="1" applyBorder="1"/>
    <xf numFmtId="37" fontId="0" fillId="0" borderId="17" xfId="0" applyNumberFormat="1" applyBorder="1"/>
    <xf numFmtId="0" fontId="0" fillId="0" borderId="43" xfId="0" applyBorder="1"/>
    <xf numFmtId="37" fontId="0" fillId="0" borderId="44" xfId="0" applyNumberFormat="1" applyBorder="1"/>
    <xf numFmtId="37" fontId="0" fillId="0" borderId="42" xfId="0" applyNumberFormat="1" applyBorder="1"/>
    <xf numFmtId="37" fontId="0" fillId="0" borderId="43" xfId="0" applyNumberFormat="1" applyBorder="1"/>
    <xf numFmtId="0" fontId="100" fillId="0" borderId="1" xfId="0" applyFont="1" applyFill="1" applyBorder="1" applyAlignment="1">
      <alignment horizontal="center"/>
    </xf>
    <xf numFmtId="180" fontId="0" fillId="0" borderId="0" xfId="0" applyNumberFormat="1"/>
    <xf numFmtId="37" fontId="0" fillId="0" borderId="45" xfId="0" applyNumberFormat="1" applyBorder="1"/>
    <xf numFmtId="37" fontId="0" fillId="0" borderId="0" xfId="0" applyNumberFormat="1" applyFill="1" applyBorder="1"/>
    <xf numFmtId="49" fontId="0" fillId="62" borderId="0" xfId="0" applyNumberFormat="1" applyFill="1"/>
    <xf numFmtId="0" fontId="7" fillId="62" borderId="0" xfId="0" applyFont="1" applyFill="1"/>
    <xf numFmtId="0" fontId="7" fillId="60" borderId="0" xfId="0" applyFont="1" applyFill="1"/>
    <xf numFmtId="164" fontId="7" fillId="0" borderId="0" xfId="4" applyNumberFormat="1"/>
    <xf numFmtId="164" fontId="7" fillId="0" borderId="1" xfId="1" applyNumberFormat="1" applyFill="1" applyBorder="1"/>
    <xf numFmtId="0" fontId="7" fillId="0" borderId="0" xfId="0" applyFont="1"/>
    <xf numFmtId="5" fontId="9" fillId="0" borderId="0" xfId="0" applyNumberFormat="1" applyFont="1" applyFill="1"/>
    <xf numFmtId="17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5" fontId="9" fillId="0" borderId="0" xfId="0" applyNumberFormat="1" applyFont="1" applyFill="1" applyBorder="1"/>
    <xf numFmtId="0" fontId="0" fillId="76" borderId="0" xfId="0" applyFill="1"/>
    <xf numFmtId="0" fontId="100" fillId="0" borderId="1" xfId="0" applyFont="1" applyFill="1" applyBorder="1" applyAlignment="1">
      <alignment horizontal="center"/>
    </xf>
    <xf numFmtId="172" fontId="9" fillId="0" borderId="0" xfId="0" applyNumberFormat="1" applyFont="1"/>
    <xf numFmtId="0" fontId="9" fillId="0" borderId="0" xfId="2390" applyFont="1"/>
    <xf numFmtId="0" fontId="9" fillId="0" borderId="0" xfId="2390" applyFont="1" applyFill="1"/>
    <xf numFmtId="7" fontId="9" fillId="0" borderId="0" xfId="2390" applyNumberFormat="1" applyFont="1"/>
    <xf numFmtId="173" fontId="48" fillId="0" borderId="0" xfId="2387" applyFont="1" applyFill="1" applyAlignment="1">
      <alignment horizontal="left"/>
    </xf>
    <xf numFmtId="0" fontId="7" fillId="0" borderId="0" xfId="0" applyFont="1" applyFill="1"/>
    <xf numFmtId="37" fontId="50" fillId="0" borderId="0" xfId="0" applyNumberFormat="1" applyFont="1" applyFill="1"/>
    <xf numFmtId="10" fontId="7" fillId="0" borderId="0" xfId="0" applyNumberFormat="1" applyFont="1" applyFill="1"/>
    <xf numFmtId="10" fontId="50" fillId="0" borderId="0" xfId="0" applyNumberFormat="1" applyFont="1" applyFill="1"/>
    <xf numFmtId="178" fontId="9" fillId="0" borderId="1" xfId="3" applyNumberFormat="1" applyFont="1" applyFill="1" applyBorder="1"/>
    <xf numFmtId="37" fontId="7" fillId="0" borderId="0" xfId="0" applyNumberFormat="1" applyFont="1" applyFill="1"/>
    <xf numFmtId="0" fontId="7" fillId="0" borderId="0" xfId="0" applyFont="1" applyFill="1" applyAlignment="1">
      <alignment horizontal="center"/>
    </xf>
    <xf numFmtId="165" fontId="7" fillId="0" borderId="0" xfId="2" applyNumberFormat="1" applyFont="1" applyFill="1" applyBorder="1"/>
    <xf numFmtId="5" fontId="7" fillId="0" borderId="0" xfId="0" applyNumberFormat="1" applyFont="1" applyFill="1"/>
    <xf numFmtId="5" fontId="7" fillId="0" borderId="0" xfId="0" applyNumberFormat="1" applyFont="1" applyFill="1" applyBorder="1"/>
    <xf numFmtId="0" fontId="103" fillId="0" borderId="0" xfId="0" applyFont="1" applyFill="1" applyAlignment="1">
      <alignment horizontal="center"/>
    </xf>
    <xf numFmtId="0" fontId="106" fillId="0" borderId="0" xfId="0" applyFont="1" applyFill="1"/>
    <xf numFmtId="0" fontId="7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7" fillId="0" borderId="0" xfId="0" applyFont="1" applyFill="1" applyBorder="1"/>
    <xf numFmtId="5" fontId="103" fillId="0" borderId="0" xfId="0" applyNumberFormat="1" applyFont="1" applyFill="1" applyBorder="1"/>
    <xf numFmtId="5" fontId="103" fillId="0" borderId="0" xfId="0" applyNumberFormat="1" applyFont="1" applyFill="1"/>
    <xf numFmtId="0" fontId="106" fillId="0" borderId="0" xfId="0" applyFont="1" applyAlignment="1">
      <alignment horizontal="center"/>
    </xf>
    <xf numFmtId="0" fontId="106" fillId="0" borderId="0" xfId="0" applyFont="1"/>
    <xf numFmtId="172" fontId="106" fillId="0" borderId="0" xfId="1" applyNumberFormat="1" applyFont="1" applyBorder="1"/>
    <xf numFmtId="10" fontId="106" fillId="0" borderId="0" xfId="3" applyNumberFormat="1" applyFont="1" applyFill="1" applyAlignment="1">
      <alignment horizontal="center"/>
    </xf>
    <xf numFmtId="172" fontId="106" fillId="0" borderId="0" xfId="1" applyNumberFormat="1" applyFont="1" applyFill="1" applyBorder="1"/>
    <xf numFmtId="0" fontId="106" fillId="0" borderId="0" xfId="0" quotePrefix="1" applyFont="1" applyAlignment="1">
      <alignment horizontal="left"/>
    </xf>
    <xf numFmtId="172" fontId="106" fillId="0" borderId="1" xfId="1" applyNumberFormat="1" applyFont="1" applyBorder="1"/>
    <xf numFmtId="172" fontId="106" fillId="0" borderId="1" xfId="1" applyNumberFormat="1" applyFont="1" applyFill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quotePrefix="1" applyFont="1" applyBorder="1" applyAlignment="1">
      <alignment horizontal="left"/>
    </xf>
    <xf numFmtId="10" fontId="9" fillId="0" borderId="0" xfId="3" applyNumberFormat="1" applyFont="1" applyFill="1" applyBorder="1" applyAlignment="1">
      <alignment horizontal="center"/>
    </xf>
    <xf numFmtId="172" fontId="106" fillId="0" borderId="6" xfId="1" applyNumberFormat="1" applyFont="1" applyBorder="1"/>
    <xf numFmtId="0" fontId="112" fillId="0" borderId="0" xfId="0" applyFont="1" applyFill="1" applyAlignment="1">
      <alignment horizontal="center"/>
    </xf>
    <xf numFmtId="0" fontId="104" fillId="0" borderId="0" xfId="0" applyFont="1" applyFill="1"/>
    <xf numFmtId="0" fontId="7" fillId="0" borderId="0" xfId="2389"/>
    <xf numFmtId="17" fontId="7" fillId="0" borderId="0" xfId="2389" applyNumberFormat="1"/>
    <xf numFmtId="17" fontId="7" fillId="0" borderId="0" xfId="2389" applyNumberFormat="1" applyAlignment="1">
      <alignment horizontal="right"/>
    </xf>
    <xf numFmtId="179" fontId="7" fillId="0" borderId="0" xfId="0" applyNumberFormat="1" applyFont="1"/>
    <xf numFmtId="5" fontId="113" fillId="0" borderId="0" xfId="0" applyNumberFormat="1" applyFont="1" applyFill="1"/>
    <xf numFmtId="5" fontId="113" fillId="0" borderId="0" xfId="0" applyNumberFormat="1" applyFont="1" applyFill="1" applyBorder="1"/>
    <xf numFmtId="5" fontId="113" fillId="0" borderId="1" xfId="0" applyNumberFormat="1" applyFont="1" applyFill="1" applyBorder="1"/>
    <xf numFmtId="0" fontId="91" fillId="0" borderId="0" xfId="0" applyFont="1" applyAlignment="1">
      <alignment horizontal="center"/>
    </xf>
    <xf numFmtId="0" fontId="114" fillId="0" borderId="0" xfId="0" applyFont="1"/>
    <xf numFmtId="172" fontId="91" fillId="0" borderId="3" xfId="1" applyNumberFormat="1" applyFont="1" applyBorder="1"/>
    <xf numFmtId="0" fontId="91" fillId="0" borderId="0" xfId="0" applyFont="1"/>
    <xf numFmtId="172" fontId="113" fillId="0" borderId="0" xfId="1" applyNumberFormat="1" applyFont="1" applyFill="1" applyBorder="1"/>
    <xf numFmtId="172" fontId="113" fillId="0" borderId="1" xfId="1" applyNumberFormat="1" applyFont="1" applyFill="1" applyBorder="1"/>
    <xf numFmtId="172" fontId="113" fillId="0" borderId="0" xfId="1" applyNumberFormat="1" applyFont="1"/>
    <xf numFmtId="172" fontId="91" fillId="0" borderId="0" xfId="1" applyNumberFormat="1" applyFont="1" applyFill="1" applyBorder="1"/>
    <xf numFmtId="172" fontId="113" fillId="0" borderId="0" xfId="1" applyNumberFormat="1" applyFont="1" applyBorder="1"/>
    <xf numFmtId="172" fontId="113" fillId="0" borderId="1" xfId="1" applyNumberFormat="1" applyFont="1" applyBorder="1"/>
    <xf numFmtId="0" fontId="115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center"/>
    </xf>
    <xf numFmtId="0" fontId="115" fillId="0" borderId="1" xfId="0" applyFont="1" applyFill="1" applyBorder="1" applyAlignment="1">
      <alignment horizontal="center"/>
    </xf>
    <xf numFmtId="167" fontId="116" fillId="0" borderId="0" xfId="0" applyNumberFormat="1" applyFont="1" applyFill="1" applyAlignment="1">
      <alignment horizontal="center"/>
    </xf>
    <xf numFmtId="0" fontId="116" fillId="0" borderId="0" xfId="0" applyFont="1" applyFill="1" applyAlignment="1">
      <alignment horizontal="center"/>
    </xf>
    <xf numFmtId="0" fontId="116" fillId="0" borderId="0" xfId="0" applyFont="1" applyFill="1"/>
    <xf numFmtId="164" fontId="116" fillId="0" borderId="0" xfId="1" applyNumberFormat="1" applyFont="1" applyFill="1"/>
    <xf numFmtId="0" fontId="0" fillId="0" borderId="42" xfId="0" applyBorder="1"/>
    <xf numFmtId="169" fontId="0" fillId="0" borderId="42" xfId="0" applyNumberFormat="1" applyBorder="1"/>
    <xf numFmtId="0" fontId="7" fillId="0" borderId="42" xfId="0" applyFont="1" applyBorder="1"/>
    <xf numFmtId="165" fontId="0" fillId="0" borderId="42" xfId="0" applyNumberFormat="1" applyBorder="1"/>
    <xf numFmtId="0" fontId="0" fillId="0" borderId="46" xfId="0" applyBorder="1"/>
    <xf numFmtId="165" fontId="0" fillId="0" borderId="46" xfId="0" applyNumberFormat="1" applyBorder="1"/>
    <xf numFmtId="0" fontId="7" fillId="0" borderId="45" xfId="0" applyFont="1" applyBorder="1"/>
    <xf numFmtId="0" fontId="0" fillId="0" borderId="45" xfId="0" applyBorder="1"/>
    <xf numFmtId="165" fontId="0" fillId="0" borderId="45" xfId="2" applyNumberFormat="1" applyFont="1" applyBorder="1"/>
    <xf numFmtId="44" fontId="0" fillId="0" borderId="0" xfId="2" applyFont="1"/>
    <xf numFmtId="0" fontId="3" fillId="0" borderId="0" xfId="2395"/>
    <xf numFmtId="0" fontId="3" fillId="0" borderId="0" xfId="2395" applyAlignment="1">
      <alignment horizontal="left"/>
    </xf>
    <xf numFmtId="41" fontId="0" fillId="0" borderId="0" xfId="1" applyNumberFormat="1" applyFont="1"/>
    <xf numFmtId="41" fontId="3" fillId="0" borderId="0" xfId="2395" applyNumberFormat="1"/>
    <xf numFmtId="41" fontId="9" fillId="0" borderId="0" xfId="0" applyNumberFormat="1" applyFont="1" applyFill="1"/>
    <xf numFmtId="0" fontId="2" fillId="0" borderId="0" xfId="2396"/>
    <xf numFmtId="0" fontId="117" fillId="0" borderId="0" xfId="2396" applyFont="1"/>
    <xf numFmtId="0" fontId="2" fillId="0" borderId="0" xfId="2396" applyAlignment="1">
      <alignment vertical="top" wrapText="1"/>
    </xf>
    <xf numFmtId="164" fontId="2" fillId="0" borderId="0" xfId="2396" applyNumberFormat="1"/>
    <xf numFmtId="14" fontId="2" fillId="0" borderId="0" xfId="2396" applyNumberFormat="1"/>
    <xf numFmtId="14" fontId="2" fillId="0" borderId="0" xfId="2396" applyNumberFormat="1" applyAlignment="1">
      <alignment vertical="top"/>
    </xf>
    <xf numFmtId="0" fontId="2" fillId="0" borderId="0" xfId="2396" applyAlignment="1">
      <alignment vertical="top"/>
    </xf>
    <xf numFmtId="0" fontId="27" fillId="63" borderId="41" xfId="2396" applyFont="1" applyFill="1" applyBorder="1" applyAlignment="1">
      <alignment vertical="top"/>
    </xf>
    <xf numFmtId="164" fontId="27" fillId="63" borderId="41" xfId="2396" applyNumberFormat="1" applyFont="1" applyFill="1" applyBorder="1" applyAlignment="1">
      <alignment vertical="top"/>
    </xf>
    <xf numFmtId="0" fontId="27" fillId="63" borderId="4" xfId="2396" applyFont="1" applyFill="1" applyBorder="1" applyAlignment="1">
      <alignment vertical="top"/>
    </xf>
    <xf numFmtId="164" fontId="27" fillId="63" borderId="4" xfId="2396" applyNumberFormat="1" applyFont="1" applyFill="1" applyBorder="1" applyAlignment="1">
      <alignment vertical="top"/>
    </xf>
    <xf numFmtId="0" fontId="2" fillId="64" borderId="0" xfId="2396" applyFill="1"/>
    <xf numFmtId="0" fontId="2" fillId="77" borderId="0" xfId="2396" applyFill="1"/>
    <xf numFmtId="0" fontId="2" fillId="62" borderId="0" xfId="2396" applyFill="1"/>
    <xf numFmtId="0" fontId="100" fillId="0" borderId="1" xfId="0" applyFont="1" applyFill="1" applyBorder="1" applyAlignment="1">
      <alignment horizontal="center"/>
    </xf>
    <xf numFmtId="0" fontId="111" fillId="0" borderId="0" xfId="0" applyFont="1" applyFill="1"/>
    <xf numFmtId="165" fontId="111" fillId="0" borderId="0" xfId="2" applyNumberFormat="1" applyFont="1" applyFill="1"/>
    <xf numFmtId="164" fontId="48" fillId="0" borderId="0" xfId="0" applyNumberFormat="1" applyFont="1" applyFill="1" applyAlignment="1">
      <alignment horizontal="right"/>
    </xf>
    <xf numFmtId="43" fontId="7" fillId="0" borderId="0" xfId="4" applyNumberFormat="1"/>
    <xf numFmtId="43" fontId="7" fillId="0" borderId="0" xfId="1" applyNumberFormat="1" applyFill="1"/>
    <xf numFmtId="0" fontId="0" fillId="0" borderId="0" xfId="0" applyAlignment="1"/>
    <xf numFmtId="164" fontId="111" fillId="0" borderId="0" xfId="0" applyNumberFormat="1" applyFont="1" applyFill="1"/>
    <xf numFmtId="179" fontId="111" fillId="0" borderId="0" xfId="0" applyNumberFormat="1" applyFont="1" applyFill="1"/>
    <xf numFmtId="0" fontId="0" fillId="0" borderId="0" xfId="0" applyAlignment="1">
      <alignment horizontal="left"/>
    </xf>
    <xf numFmtId="43" fontId="97" fillId="0" borderId="0" xfId="1" applyFont="1" applyFill="1"/>
    <xf numFmtId="164" fontId="104" fillId="0" borderId="0" xfId="0" applyNumberFormat="1" applyFont="1" applyFill="1"/>
    <xf numFmtId="164" fontId="48" fillId="0" borderId="0" xfId="1" applyNumberFormat="1" applyFont="1" applyFill="1" applyBorder="1"/>
    <xf numFmtId="165" fontId="7" fillId="0" borderId="0" xfId="2" applyNumberFormat="1"/>
    <xf numFmtId="165" fontId="7" fillId="0" borderId="6" xfId="2" applyNumberFormat="1" applyBorder="1"/>
    <xf numFmtId="0" fontId="12" fillId="0" borderId="0" xfId="2389" applyFont="1"/>
    <xf numFmtId="5" fontId="9" fillId="0" borderId="6" xfId="0" applyNumberFormat="1" applyFont="1" applyFill="1" applyBorder="1"/>
    <xf numFmtId="166" fontId="111" fillId="0" borderId="0" xfId="3" applyNumberFormat="1" applyFont="1" applyFill="1" applyAlignment="1">
      <alignment horizontal="right"/>
    </xf>
    <xf numFmtId="44" fontId="111" fillId="0" borderId="0" xfId="2" applyFont="1" applyFill="1" applyAlignment="1">
      <alignment horizontal="right"/>
    </xf>
    <xf numFmtId="168" fontId="48" fillId="0" borderId="0" xfId="0" applyNumberFormat="1" applyFont="1"/>
    <xf numFmtId="172" fontId="91" fillId="0" borderId="0" xfId="0" applyNumberFormat="1" applyFont="1"/>
    <xf numFmtId="164" fontId="9" fillId="0" borderId="0" xfId="1" applyNumberFormat="1" applyFont="1"/>
    <xf numFmtId="5" fontId="9" fillId="0" borderId="0" xfId="0" applyNumberFormat="1" applyFont="1"/>
    <xf numFmtId="165" fontId="119" fillId="0" borderId="0" xfId="2" applyNumberFormat="1" applyFont="1" applyFill="1" applyBorder="1"/>
    <xf numFmtId="44" fontId="119" fillId="0" borderId="0" xfId="2" applyFont="1" applyFill="1" applyBorder="1" applyAlignment="1">
      <alignment horizontal="right"/>
    </xf>
    <xf numFmtId="164" fontId="119" fillId="0" borderId="0" xfId="1" applyNumberFormat="1" applyFont="1" applyFill="1" applyBorder="1"/>
    <xf numFmtId="179" fontId="97" fillId="0" borderId="0" xfId="0" applyNumberFormat="1" applyFont="1" applyFill="1" applyBorder="1"/>
    <xf numFmtId="179" fontId="97" fillId="0" borderId="36" xfId="0" applyNumberFormat="1" applyFont="1" applyFill="1" applyBorder="1"/>
    <xf numFmtId="164" fontId="9" fillId="0" borderId="0" xfId="1" applyNumberFormat="1" applyFont="1" applyFill="1"/>
    <xf numFmtId="172" fontId="9" fillId="0" borderId="0" xfId="1" applyNumberFormat="1" applyFont="1" applyFill="1"/>
    <xf numFmtId="172" fontId="106" fillId="0" borderId="0" xfId="1" applyNumberFormat="1" applyFont="1" applyFill="1"/>
    <xf numFmtId="164" fontId="106" fillId="0" borderId="0" xfId="1" applyNumberFormat="1" applyFont="1"/>
    <xf numFmtId="164" fontId="106" fillId="0" borderId="0" xfId="0" applyNumberFormat="1" applyFont="1"/>
    <xf numFmtId="0" fontId="120" fillId="0" borderId="0" xfId="0" applyFont="1" applyAlignment="1">
      <alignment horizontal="center"/>
    </xf>
    <xf numFmtId="43" fontId="120" fillId="0" borderId="0" xfId="1" applyFont="1" applyFill="1" applyAlignment="1">
      <alignment horizontal="center"/>
    </xf>
    <xf numFmtId="0" fontId="120" fillId="0" borderId="1" xfId="0" applyFont="1" applyBorder="1" applyAlignment="1">
      <alignment horizontal="center"/>
    </xf>
    <xf numFmtId="43" fontId="120" fillId="0" borderId="1" xfId="1" applyFont="1" applyFill="1" applyBorder="1" applyAlignment="1">
      <alignment horizontal="center"/>
    </xf>
    <xf numFmtId="43" fontId="120" fillId="0" borderId="0" xfId="1" applyFont="1" applyFill="1" applyBorder="1" applyAlignment="1">
      <alignment horizontal="center"/>
    </xf>
    <xf numFmtId="43" fontId="9" fillId="0" borderId="0" xfId="0" applyNumberFormat="1" applyFont="1"/>
    <xf numFmtId="0" fontId="9" fillId="0" borderId="0" xfId="0" applyFont="1" applyAlignment="1">
      <alignment horizontal="left"/>
    </xf>
    <xf numFmtId="43" fontId="9" fillId="0" borderId="0" xfId="1" applyFont="1" applyFill="1"/>
    <xf numFmtId="10" fontId="9" fillId="0" borderId="0" xfId="0" applyNumberFormat="1" applyFont="1"/>
    <xf numFmtId="43" fontId="9" fillId="0" borderId="1" xfId="1" applyFont="1" applyFill="1" applyBorder="1"/>
    <xf numFmtId="43" fontId="9" fillId="0" borderId="1" xfId="0" applyNumberFormat="1" applyFont="1" applyBorder="1"/>
    <xf numFmtId="44" fontId="9" fillId="0" borderId="0" xfId="2" applyFont="1" applyFill="1"/>
    <xf numFmtId="44" fontId="9" fillId="0" borderId="4" xfId="2" applyFont="1" applyFill="1" applyBorder="1"/>
    <xf numFmtId="0" fontId="9" fillId="0" borderId="0" xfId="2397" applyFont="1"/>
    <xf numFmtId="44" fontId="9" fillId="0" borderId="0" xfId="2" applyFont="1" applyFill="1" applyBorder="1"/>
    <xf numFmtId="43" fontId="9" fillId="0" borderId="0" xfId="1" applyFont="1" applyFill="1" applyBorder="1"/>
    <xf numFmtId="20" fontId="9" fillId="0" borderId="0" xfId="0" applyNumberFormat="1" applyFont="1" applyFill="1"/>
    <xf numFmtId="0" fontId="2" fillId="61" borderId="0" xfId="2396" applyFill="1"/>
    <xf numFmtId="37" fontId="0" fillId="61" borderId="0" xfId="0" applyNumberFormat="1" applyFill="1"/>
    <xf numFmtId="37" fontId="7" fillId="61" borderId="0" xfId="4" applyNumberFormat="1" applyFill="1"/>
    <xf numFmtId="3" fontId="0" fillId="61" borderId="0" xfId="0" applyNumberFormat="1" applyFill="1"/>
    <xf numFmtId="3" fontId="0" fillId="61" borderId="0" xfId="0" applyNumberFormat="1" applyFill="1" applyBorder="1"/>
    <xf numFmtId="3" fontId="0" fillId="61" borderId="1" xfId="0" applyNumberFormat="1" applyFill="1" applyBorder="1"/>
    <xf numFmtId="0" fontId="0" fillId="61" borderId="0" xfId="0" applyFill="1"/>
    <xf numFmtId="0" fontId="7" fillId="61" borderId="0" xfId="4" applyFill="1"/>
    <xf numFmtId="41" fontId="3" fillId="61" borderId="0" xfId="2395" applyNumberFormat="1" applyFill="1"/>
    <xf numFmtId="164" fontId="97" fillId="0" borderId="34" xfId="1" applyNumberFormat="1" applyFont="1" applyFill="1" applyBorder="1"/>
    <xf numFmtId="182" fontId="3" fillId="0" borderId="0" xfId="2395" applyNumberFormat="1"/>
    <xf numFmtId="0" fontId="97" fillId="0" borderId="0" xfId="0" applyFont="1" applyFill="1" applyAlignment="1">
      <alignment wrapText="1"/>
    </xf>
    <xf numFmtId="179" fontId="97" fillId="0" borderId="0" xfId="0" applyNumberFormat="1" applyFont="1" applyFill="1"/>
    <xf numFmtId="10" fontId="111" fillId="0" borderId="0" xfId="0" applyNumberFormat="1" applyFont="1" applyFill="1"/>
    <xf numFmtId="5" fontId="97" fillId="0" borderId="0" xfId="0" applyNumberFormat="1" applyFont="1" applyFill="1" applyBorder="1"/>
    <xf numFmtId="165" fontId="0" fillId="61" borderId="0" xfId="2" applyNumberFormat="1" applyFont="1" applyFill="1"/>
    <xf numFmtId="165" fontId="7" fillId="61" borderId="0" xfId="2" applyNumberFormat="1" applyFill="1"/>
    <xf numFmtId="165" fontId="0" fillId="61" borderId="46" xfId="2" applyNumberFormat="1" applyFont="1" applyFill="1" applyBorder="1"/>
    <xf numFmtId="0" fontId="11" fillId="0" borderId="1" xfId="0" applyFont="1" applyBorder="1"/>
    <xf numFmtId="0" fontId="97" fillId="0" borderId="35" xfId="0" applyFont="1" applyFill="1" applyBorder="1"/>
    <xf numFmtId="179" fontId="97" fillId="0" borderId="45" xfId="1" applyNumberFormat="1" applyFont="1" applyFill="1" applyBorder="1"/>
    <xf numFmtId="10" fontId="91" fillId="0" borderId="0" xfId="3" applyNumberFormat="1" applyFont="1" applyFill="1" applyAlignment="1">
      <alignment horizontal="center"/>
    </xf>
    <xf numFmtId="10" fontId="91" fillId="0" borderId="0" xfId="3" applyNumberFormat="1" applyFont="1" applyFill="1" applyBorder="1" applyAlignment="1">
      <alignment horizontal="center"/>
    </xf>
    <xf numFmtId="167" fontId="98" fillId="0" borderId="0" xfId="0" applyNumberFormat="1" applyFont="1" applyFill="1" applyBorder="1" applyAlignment="1">
      <alignment horizontal="center"/>
    </xf>
    <xf numFmtId="17" fontId="94" fillId="0" borderId="0" xfId="0" quotePrefix="1" applyNumberFormat="1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103" fillId="0" borderId="0" xfId="0" applyFont="1"/>
    <xf numFmtId="172" fontId="126" fillId="0" borderId="0" xfId="1" applyNumberFormat="1" applyFont="1" applyBorder="1"/>
    <xf numFmtId="172" fontId="126" fillId="0" borderId="0" xfId="1" applyNumberFormat="1" applyFont="1" applyFill="1" applyBorder="1"/>
    <xf numFmtId="172" fontId="126" fillId="0" borderId="1" xfId="1" applyNumberFormat="1" applyFont="1" applyFill="1" applyBorder="1"/>
    <xf numFmtId="44" fontId="7" fillId="0" borderId="0" xfId="2" applyFont="1" applyFill="1" applyBorder="1"/>
    <xf numFmtId="44" fontId="7" fillId="0" borderId="0" xfId="2" applyFont="1" applyFill="1"/>
    <xf numFmtId="43" fontId="7" fillId="0" borderId="0" xfId="2399" applyFont="1" applyFill="1" applyBorder="1"/>
    <xf numFmtId="43" fontId="7" fillId="0" borderId="0" xfId="2399" applyFont="1" applyFill="1"/>
    <xf numFmtId="44" fontId="7" fillId="0" borderId="0" xfId="2400" applyFont="1" applyFill="1" applyBorder="1"/>
    <xf numFmtId="44" fontId="9" fillId="0" borderId="6" xfId="2400" applyFont="1" applyFill="1" applyBorder="1"/>
    <xf numFmtId="43" fontId="9" fillId="0" borderId="0" xfId="2399" applyFont="1" applyFill="1"/>
    <xf numFmtId="43" fontId="9" fillId="0" borderId="6" xfId="1" applyFont="1" applyFill="1" applyBorder="1"/>
    <xf numFmtId="43" fontId="7" fillId="0" borderId="0" xfId="1" applyFont="1" applyFill="1" applyBorder="1"/>
    <xf numFmtId="44" fontId="9" fillId="0" borderId="6" xfId="2" applyFont="1" applyFill="1" applyBorder="1"/>
    <xf numFmtId="43" fontId="9" fillId="0" borderId="0" xfId="2399" applyFont="1" applyFill="1" applyBorder="1"/>
    <xf numFmtId="44" fontId="9" fillId="0" borderId="0" xfId="2400" applyFont="1" applyFill="1" applyBorder="1"/>
    <xf numFmtId="43" fontId="9" fillId="0" borderId="0" xfId="1" applyFont="1" applyFill="1" applyAlignment="1">
      <alignment horizontal="left"/>
    </xf>
    <xf numFmtId="43" fontId="9" fillId="0" borderId="0" xfId="2" applyNumberFormat="1" applyFont="1" applyFill="1" applyBorder="1"/>
    <xf numFmtId="44" fontId="106" fillId="0" borderId="0" xfId="2" applyFont="1" applyFill="1"/>
    <xf numFmtId="44" fontId="9" fillId="0" borderId="3" xfId="2" applyFont="1" applyFill="1" applyBorder="1"/>
    <xf numFmtId="43" fontId="9" fillId="0" borderId="3" xfId="2399" applyFont="1" applyFill="1" applyBorder="1"/>
    <xf numFmtId="44" fontId="9" fillId="0" borderId="3" xfId="2400" applyFont="1" applyFill="1" applyBorder="1"/>
    <xf numFmtId="0" fontId="117" fillId="0" borderId="0" xfId="0" applyFont="1"/>
    <xf numFmtId="43" fontId="27" fillId="63" borderId="39" xfId="0" applyNumberFormat="1" applyFont="1" applyFill="1" applyBorder="1"/>
    <xf numFmtId="43" fontId="2" fillId="0" borderId="0" xfId="2396" applyNumberFormat="1" applyFill="1"/>
    <xf numFmtId="43" fontId="2" fillId="0" borderId="0" xfId="2396" applyNumberFormat="1"/>
    <xf numFmtId="165" fontId="111" fillId="0" borderId="0" xfId="2" applyNumberFormat="1" applyFont="1" applyFill="1" applyBorder="1"/>
    <xf numFmtId="44" fontId="111" fillId="0" borderId="0" xfId="2" applyNumberFormat="1" applyFont="1" applyFill="1" applyBorder="1"/>
    <xf numFmtId="172" fontId="106" fillId="68" borderId="0" xfId="1" applyNumberFormat="1" applyFont="1" applyFill="1"/>
    <xf numFmtId="0" fontId="25" fillId="0" borderId="0" xfId="2395" applyFont="1"/>
    <xf numFmtId="181" fontId="25" fillId="0" borderId="0" xfId="2395" applyNumberFormat="1" applyFont="1"/>
    <xf numFmtId="0" fontId="103" fillId="0" borderId="0" xfId="4" applyFont="1"/>
    <xf numFmtId="0" fontId="103" fillId="0" borderId="0" xfId="4" quotePrefix="1" applyFont="1"/>
    <xf numFmtId="182" fontId="103" fillId="0" borderId="0" xfId="4" applyNumberFormat="1" applyFont="1"/>
    <xf numFmtId="182" fontId="25" fillId="0" borderId="0" xfId="2395" applyNumberFormat="1" applyFont="1"/>
    <xf numFmtId="0" fontId="119" fillId="0" borderId="0" xfId="0" applyFont="1" applyFill="1"/>
    <xf numFmtId="179" fontId="119" fillId="0" borderId="0" xfId="0" applyNumberFormat="1" applyFont="1" applyFill="1"/>
    <xf numFmtId="44" fontId="119" fillId="0" borderId="0" xfId="0" applyNumberFormat="1" applyFont="1" applyFill="1"/>
    <xf numFmtId="0" fontId="48" fillId="0" borderId="0" xfId="0" applyFont="1" applyFill="1" applyAlignment="1">
      <alignment horizontal="right"/>
    </xf>
    <xf numFmtId="43" fontId="104" fillId="0" borderId="0" xfId="1" applyFont="1" applyFill="1"/>
    <xf numFmtId="43" fontId="104" fillId="0" borderId="0" xfId="0" applyNumberFormat="1" applyFont="1" applyFill="1"/>
    <xf numFmtId="43" fontId="48" fillId="0" borderId="0" xfId="1" applyNumberFormat="1" applyFont="1" applyFill="1"/>
    <xf numFmtId="172" fontId="104" fillId="0" borderId="0" xfId="0" applyNumberFormat="1" applyFont="1" applyFill="1"/>
    <xf numFmtId="164" fontId="104" fillId="0" borderId="0" xfId="1" applyNumberFormat="1" applyFont="1" applyFill="1"/>
    <xf numFmtId="0" fontId="100" fillId="0" borderId="0" xfId="0" quotePrefix="1" applyFont="1" applyFill="1" applyAlignment="1">
      <alignment horizontal="center"/>
    </xf>
    <xf numFmtId="0" fontId="119" fillId="0" borderId="0" xfId="0" quotePrefix="1" applyFont="1" applyFill="1" applyBorder="1" applyAlignment="1">
      <alignment horizontal="left"/>
    </xf>
    <xf numFmtId="44" fontId="119" fillId="0" borderId="0" xfId="2" applyFont="1" applyFill="1" applyBorder="1"/>
    <xf numFmtId="0" fontId="119" fillId="0" borderId="0" xfId="0" applyFont="1" applyFill="1" applyBorder="1"/>
    <xf numFmtId="179" fontId="7" fillId="0" borderId="0" xfId="0" applyNumberFormat="1" applyFont="1" applyFill="1"/>
    <xf numFmtId="0" fontId="103" fillId="0" borderId="0" xfId="0" applyFont="1" applyFill="1"/>
    <xf numFmtId="164" fontId="106" fillId="0" borderId="0" xfId="1" applyNumberFormat="1" applyFont="1" applyBorder="1"/>
    <xf numFmtId="0" fontId="103" fillId="0" borderId="0" xfId="0" applyFont="1" applyFill="1" applyBorder="1"/>
    <xf numFmtId="172" fontId="106" fillId="0" borderId="0" xfId="0" applyNumberFormat="1" applyFont="1"/>
    <xf numFmtId="165" fontId="0" fillId="0" borderId="42" xfId="2" applyNumberFormat="1" applyFont="1" applyFill="1" applyBorder="1"/>
    <xf numFmtId="165" fontId="0" fillId="0" borderId="46" xfId="2" applyNumberFormat="1" applyFont="1" applyFill="1" applyBorder="1"/>
    <xf numFmtId="183" fontId="0" fillId="0" borderId="46" xfId="2" applyNumberFormat="1" applyFont="1" applyFill="1" applyBorder="1"/>
    <xf numFmtId="179" fontId="96" fillId="0" borderId="0" xfId="0" applyNumberFormat="1" applyFont="1" applyFill="1" applyBorder="1"/>
    <xf numFmtId="0" fontId="119" fillId="0" borderId="0" xfId="0" quotePrefix="1" applyFont="1" applyFill="1" applyBorder="1" applyAlignment="1">
      <alignment horizontal="right"/>
    </xf>
    <xf numFmtId="164" fontId="0" fillId="0" borderId="42" xfId="1" applyNumberFormat="1" applyFont="1" applyBorder="1"/>
    <xf numFmtId="164" fontId="0" fillId="0" borderId="42" xfId="1" applyNumberFormat="1" applyFont="1" applyFill="1" applyBorder="1"/>
    <xf numFmtId="0" fontId="7" fillId="64" borderId="0" xfId="0" applyFont="1" applyFill="1"/>
    <xf numFmtId="0" fontId="7" fillId="68" borderId="0" xfId="0" applyFont="1" applyFill="1"/>
    <xf numFmtId="0" fontId="7" fillId="78" borderId="0" xfId="0" applyFont="1" applyFill="1"/>
    <xf numFmtId="0" fontId="7" fillId="78" borderId="1" xfId="0" applyFont="1" applyFill="1" applyBorder="1"/>
    <xf numFmtId="164" fontId="7" fillId="0" borderId="0" xfId="1" applyNumberFormat="1" applyFont="1"/>
    <xf numFmtId="164" fontId="7" fillId="0" borderId="1" xfId="1" applyNumberFormat="1" applyFont="1" applyBorder="1"/>
    <xf numFmtId="44" fontId="129" fillId="0" borderId="0" xfId="2" applyFont="1" applyFill="1"/>
    <xf numFmtId="43" fontId="129" fillId="0" borderId="0" xfId="1" applyFont="1" applyFill="1"/>
    <xf numFmtId="0" fontId="9" fillId="0" borderId="0" xfId="2389" applyFont="1" applyFill="1"/>
    <xf numFmtId="0" fontId="120" fillId="0" borderId="0" xfId="2389" applyFont="1" applyFill="1" applyAlignment="1">
      <alignment horizontal="center"/>
    </xf>
    <xf numFmtId="0" fontId="9" fillId="0" borderId="0" xfId="2389" applyFont="1" applyFill="1" applyAlignment="1">
      <alignment horizontal="center"/>
    </xf>
    <xf numFmtId="0" fontId="120" fillId="0" borderId="1" xfId="2389" applyFont="1" applyFill="1" applyBorder="1" applyAlignment="1">
      <alignment horizontal="center"/>
    </xf>
    <xf numFmtId="0" fontId="106" fillId="0" borderId="0" xfId="2389" applyFont="1" applyFill="1"/>
    <xf numFmtId="44" fontId="9" fillId="0" borderId="0" xfId="2389" applyNumberFormat="1" applyFont="1" applyFill="1"/>
    <xf numFmtId="10" fontId="9" fillId="0" borderId="0" xfId="2389" applyNumberFormat="1" applyFont="1" applyFill="1"/>
    <xf numFmtId="44" fontId="9" fillId="0" borderId="1" xfId="2389" applyNumberFormat="1" applyFont="1" applyFill="1" applyBorder="1"/>
    <xf numFmtId="0" fontId="9" fillId="0" borderId="1" xfId="2389" applyFont="1" applyFill="1" applyBorder="1"/>
    <xf numFmtId="44" fontId="9" fillId="0" borderId="4" xfId="2389" applyNumberFormat="1" applyFont="1" applyFill="1" applyBorder="1"/>
    <xf numFmtId="0" fontId="9" fillId="0" borderId="0" xfId="2398" applyFont="1" applyFill="1"/>
    <xf numFmtId="0" fontId="9" fillId="0" borderId="0" xfId="2389" applyFont="1" applyFill="1" applyAlignment="1">
      <alignment vertical="top" wrapText="1"/>
    </xf>
    <xf numFmtId="0" fontId="129" fillId="0" borderId="0" xfId="2389" applyFont="1" applyFill="1"/>
    <xf numFmtId="0" fontId="103" fillId="0" borderId="0" xfId="4" applyFont="1" applyBorder="1"/>
    <xf numFmtId="182" fontId="103" fillId="0" borderId="0" xfId="4" applyNumberFormat="1" applyFont="1" applyBorder="1"/>
    <xf numFmtId="43" fontId="29" fillId="0" borderId="0" xfId="1" applyFont="1" applyFill="1"/>
    <xf numFmtId="165" fontId="119" fillId="0" borderId="0" xfId="2" applyNumberFormat="1" applyFont="1" applyFill="1"/>
    <xf numFmtId="165" fontId="103" fillId="0" borderId="0" xfId="2" applyNumberFormat="1" applyFont="1" applyFill="1"/>
    <xf numFmtId="44" fontId="97" fillId="0" borderId="0" xfId="0" applyNumberFormat="1" applyFont="1" applyFill="1"/>
    <xf numFmtId="0" fontId="9" fillId="0" borderId="0" xfId="2390" applyFont="1" applyAlignment="1"/>
    <xf numFmtId="0" fontId="0" fillId="0" borderId="42" xfId="0" applyFill="1" applyBorder="1"/>
    <xf numFmtId="165" fontId="0" fillId="0" borderId="42" xfId="0" applyNumberFormat="1" applyFill="1" applyBorder="1"/>
    <xf numFmtId="0" fontId="0" fillId="0" borderId="46" xfId="0" applyFill="1" applyBorder="1"/>
    <xf numFmtId="165" fontId="0" fillId="0" borderId="46" xfId="0" applyNumberFormat="1" applyFill="1" applyBorder="1"/>
    <xf numFmtId="0" fontId="7" fillId="0" borderId="45" xfId="0" applyFont="1" applyFill="1" applyBorder="1"/>
    <xf numFmtId="0" fontId="0" fillId="0" borderId="45" xfId="0" applyFill="1" applyBorder="1"/>
    <xf numFmtId="165" fontId="0" fillId="0" borderId="45" xfId="2" applyNumberFormat="1" applyFont="1" applyFill="1" applyBorder="1"/>
    <xf numFmtId="164" fontId="0" fillId="0" borderId="45" xfId="1" applyNumberFormat="1" applyFont="1" applyFill="1" applyBorder="1"/>
    <xf numFmtId="165" fontId="0" fillId="0" borderId="45" xfId="0" applyNumberFormat="1" applyFill="1" applyBorder="1"/>
    <xf numFmtId="169" fontId="0" fillId="0" borderId="46" xfId="0" applyNumberFormat="1" applyFill="1" applyBorder="1" applyAlignment="1">
      <alignment horizontal="center"/>
    </xf>
    <xf numFmtId="0" fontId="7" fillId="0" borderId="46" xfId="0" applyFont="1" applyFill="1" applyBorder="1" applyAlignment="1">
      <alignment horizontal="center"/>
    </xf>
    <xf numFmtId="164" fontId="0" fillId="0" borderId="46" xfId="1" applyNumberFormat="1" applyFont="1" applyFill="1" applyBorder="1"/>
    <xf numFmtId="0" fontId="0" fillId="0" borderId="43" xfId="0" applyFill="1" applyBorder="1"/>
    <xf numFmtId="164" fontId="2" fillId="0" borderId="0" xfId="2396" applyNumberFormat="1" applyFill="1"/>
    <xf numFmtId="0" fontId="2" fillId="0" borderId="0" xfId="2396" applyFill="1"/>
    <xf numFmtId="0" fontId="25" fillId="0" borderId="0" xfId="2396" applyFont="1" applyFill="1"/>
    <xf numFmtId="0" fontId="132" fillId="0" borderId="0" xfId="2396" applyFont="1"/>
    <xf numFmtId="14" fontId="132" fillId="0" borderId="0" xfId="2396" applyNumberFormat="1" applyFont="1"/>
    <xf numFmtId="164" fontId="132" fillId="0" borderId="0" xfId="2396" applyNumberFormat="1" applyFont="1"/>
    <xf numFmtId="164" fontId="132" fillId="0" borderId="0" xfId="2396" applyNumberFormat="1" applyFont="1" applyFill="1"/>
    <xf numFmtId="0" fontId="132" fillId="0" borderId="0" xfId="2396" applyFont="1" applyFill="1"/>
    <xf numFmtId="0" fontId="93" fillId="0" borderId="0" xfId="2398" applyFont="1" applyFill="1" applyAlignment="1"/>
    <xf numFmtId="0" fontId="131" fillId="0" borderId="0" xfId="0" applyFont="1" applyFill="1"/>
    <xf numFmtId="43" fontId="7" fillId="0" borderId="0" xfId="0" applyNumberFormat="1" applyFont="1" applyFill="1"/>
    <xf numFmtId="0" fontId="93" fillId="0" borderId="0" xfId="2398" applyFont="1" applyFill="1"/>
    <xf numFmtId="0" fontId="127" fillId="0" borderId="0" xfId="0" applyFont="1" applyFill="1" applyAlignment="1"/>
    <xf numFmtId="0" fontId="93" fillId="0" borderId="0" xfId="2398" applyFont="1" applyFill="1" applyAlignment="1">
      <alignment horizontal="center"/>
    </xf>
    <xf numFmtId="17" fontId="93" fillId="0" borderId="0" xfId="2398" quotePrefix="1" applyNumberFormat="1" applyFont="1" applyFill="1" applyAlignment="1">
      <alignment horizontal="center" wrapText="1"/>
    </xf>
    <xf numFmtId="17" fontId="93" fillId="0" borderId="0" xfId="2398" applyNumberFormat="1" applyFont="1" applyFill="1" applyAlignment="1">
      <alignment horizontal="center"/>
    </xf>
    <xf numFmtId="0" fontId="93" fillId="0" borderId="0" xfId="2398" quotePrefix="1" applyFont="1" applyFill="1" applyAlignment="1">
      <alignment horizontal="center"/>
    </xf>
    <xf numFmtId="0" fontId="9" fillId="0" borderId="0" xfId="2398" applyFont="1" applyFill="1" applyAlignment="1">
      <alignment horizontal="left"/>
    </xf>
    <xf numFmtId="43" fontId="9" fillId="0" borderId="0" xfId="2398" applyNumberFormat="1" applyFont="1" applyFill="1"/>
    <xf numFmtId="0" fontId="7" fillId="0" borderId="0" xfId="0" applyFont="1" applyFill="1" applyAlignment="1">
      <alignment horizontal="right"/>
    </xf>
    <xf numFmtId="44" fontId="9" fillId="0" borderId="47" xfId="0" applyNumberFormat="1" applyFont="1" applyFill="1" applyBorder="1"/>
    <xf numFmtId="44" fontId="9" fillId="0" borderId="0" xfId="0" applyNumberFormat="1" applyFont="1" applyFill="1"/>
    <xf numFmtId="44" fontId="9" fillId="0" borderId="1" xfId="2" applyFont="1" applyFill="1" applyBorder="1"/>
    <xf numFmtId="43" fontId="9" fillId="0" borderId="1" xfId="2399" applyFont="1" applyFill="1" applyBorder="1"/>
    <xf numFmtId="0" fontId="9" fillId="0" borderId="3" xfId="2398" applyFont="1" applyFill="1" applyBorder="1"/>
    <xf numFmtId="0" fontId="8" fillId="0" borderId="0" xfId="2398" applyFont="1" applyFill="1"/>
    <xf numFmtId="0" fontId="106" fillId="0" borderId="0" xfId="0" applyFont="1" applyFill="1" applyAlignment="1">
      <alignment horizontal="center"/>
    </xf>
    <xf numFmtId="172" fontId="106" fillId="0" borderId="0" xfId="0" applyNumberFormat="1" applyFont="1" applyFill="1"/>
    <xf numFmtId="0" fontId="120" fillId="0" borderId="0" xfId="2389" applyFont="1" applyFill="1" applyAlignment="1">
      <alignment horizontal="center"/>
    </xf>
    <xf numFmtId="43" fontId="0" fillId="0" borderId="0" xfId="0" applyNumberFormat="1"/>
    <xf numFmtId="10" fontId="0" fillId="0" borderId="0" xfId="0" applyNumberFormat="1"/>
    <xf numFmtId="43" fontId="0" fillId="0" borderId="1" xfId="0" applyNumberFormat="1" applyBorder="1"/>
    <xf numFmtId="0" fontId="0" fillId="0" borderId="1" xfId="0" applyBorder="1"/>
    <xf numFmtId="173" fontId="9" fillId="0" borderId="0" xfId="2387" applyFont="1" applyAlignment="1">
      <alignment horizontal="center"/>
    </xf>
    <xf numFmtId="0" fontId="102" fillId="0" borderId="0" xfId="0" applyFont="1" applyFill="1"/>
    <xf numFmtId="173" fontId="9" fillId="0" borderId="0" xfId="2387" applyFont="1" applyFill="1" applyAlignment="1">
      <alignment vertical="center"/>
    </xf>
    <xf numFmtId="0" fontId="132" fillId="0" borderId="0" xfId="2387" applyNumberFormat="1" applyFont="1"/>
    <xf numFmtId="0" fontId="133" fillId="0" borderId="0" xfId="2387" applyNumberFormat="1" applyFont="1" applyAlignment="1">
      <alignment vertical="center"/>
    </xf>
    <xf numFmtId="0" fontId="133" fillId="0" borderId="0" xfId="2387" quotePrefix="1" applyNumberFormat="1" applyFont="1" applyFill="1" applyAlignment="1">
      <alignment horizontal="left" vertical="center"/>
    </xf>
    <xf numFmtId="0" fontId="132" fillId="0" borderId="0" xfId="2387" applyNumberFormat="1" applyFont="1" applyAlignment="1">
      <alignment vertical="center"/>
    </xf>
    <xf numFmtId="0" fontId="132" fillId="0" borderId="0" xfId="0" applyFont="1"/>
    <xf numFmtId="164" fontId="132" fillId="0" borderId="0" xfId="0" applyNumberFormat="1" applyFont="1"/>
    <xf numFmtId="164" fontId="132" fillId="0" borderId="1" xfId="0" applyNumberFormat="1" applyFont="1" applyBorder="1"/>
    <xf numFmtId="0" fontId="134" fillId="0" borderId="0" xfId="0" applyFont="1" applyAlignment="1">
      <alignment horizontal="right"/>
    </xf>
    <xf numFmtId="0" fontId="132" fillId="79" borderId="0" xfId="0" applyFont="1" applyFill="1"/>
    <xf numFmtId="0" fontId="132" fillId="0" borderId="0" xfId="0" applyFont="1" applyFill="1"/>
    <xf numFmtId="0" fontId="27" fillId="0" borderId="4" xfId="0" applyFont="1" applyFill="1" applyBorder="1" applyAlignment="1">
      <alignment vertical="top"/>
    </xf>
    <xf numFmtId="164" fontId="27" fillId="0" borderId="4" xfId="2403" applyNumberFormat="1" applyFont="1" applyFill="1" applyBorder="1" applyAlignment="1">
      <alignment vertical="top"/>
    </xf>
    <xf numFmtId="0" fontId="135" fillId="0" borderId="0" xfId="0" applyFont="1"/>
    <xf numFmtId="0" fontId="135" fillId="0" borderId="0" xfId="0" applyFont="1" applyAlignment="1">
      <alignment horizontal="right" indent="1"/>
    </xf>
    <xf numFmtId="164" fontId="132" fillId="0" borderId="0" xfId="0" applyNumberFormat="1" applyFont="1" applyBorder="1"/>
    <xf numFmtId="0" fontId="132" fillId="0" borderId="1" xfId="0" applyFont="1" applyBorder="1"/>
    <xf numFmtId="0" fontId="132" fillId="0" borderId="0" xfId="0" applyFont="1" applyAlignment="1">
      <alignment vertical="center"/>
    </xf>
    <xf numFmtId="0" fontId="136" fillId="0" borderId="0" xfId="0" applyFont="1" applyAlignment="1">
      <alignment vertical="center"/>
    </xf>
    <xf numFmtId="164" fontId="134" fillId="0" borderId="0" xfId="0" applyNumberFormat="1" applyFont="1"/>
    <xf numFmtId="0" fontId="132" fillId="0" borderId="0" xfId="0" applyFont="1" applyAlignment="1">
      <alignment horizontal="right"/>
    </xf>
    <xf numFmtId="0" fontId="136" fillId="78" borderId="0" xfId="0" applyFont="1" applyFill="1" applyAlignment="1">
      <alignment vertical="center"/>
    </xf>
    <xf numFmtId="0" fontId="27" fillId="0" borderId="1" xfId="0" applyFont="1" applyFill="1" applyBorder="1"/>
    <xf numFmtId="0" fontId="27" fillId="0" borderId="1" xfId="0" applyFont="1" applyFill="1" applyBorder="1" applyAlignment="1">
      <alignment horizontal="right" indent="1"/>
    </xf>
    <xf numFmtId="0" fontId="27" fillId="79" borderId="0" xfId="0" applyFont="1" applyFill="1" applyBorder="1" applyAlignment="1">
      <alignment vertical="top"/>
    </xf>
    <xf numFmtId="164" fontId="27" fillId="79" borderId="0" xfId="2403" applyNumberFormat="1" applyFont="1" applyFill="1" applyBorder="1" applyAlignment="1">
      <alignment vertical="top"/>
    </xf>
    <xf numFmtId="0" fontId="132" fillId="0" borderId="1" xfId="0" applyFont="1" applyFill="1" applyBorder="1"/>
    <xf numFmtId="0" fontId="27" fillId="0" borderId="1" xfId="0" applyFont="1" applyFill="1" applyBorder="1" applyAlignment="1">
      <alignment vertical="top"/>
    </xf>
    <xf numFmtId="164" fontId="27" fillId="0" borderId="1" xfId="2403" applyNumberFormat="1" applyFont="1" applyFill="1" applyBorder="1" applyAlignment="1">
      <alignment vertical="top"/>
    </xf>
    <xf numFmtId="5" fontId="103" fillId="0" borderId="0" xfId="0" applyNumberFormat="1" applyFont="1" applyFill="1" applyAlignment="1">
      <alignment horizontal="right"/>
    </xf>
    <xf numFmtId="0" fontId="103" fillId="0" borderId="0" xfId="0" applyFont="1" applyFill="1" applyAlignment="1">
      <alignment horizontal="right"/>
    </xf>
    <xf numFmtId="0" fontId="103" fillId="0" borderId="0" xfId="0" applyFont="1" applyFill="1" applyBorder="1" applyAlignment="1">
      <alignment horizontal="right"/>
    </xf>
    <xf numFmtId="5" fontId="137" fillId="0" borderId="0" xfId="0" applyNumberFormat="1" applyFont="1" applyFill="1" applyAlignment="1">
      <alignment horizontal="right"/>
    </xf>
    <xf numFmtId="5" fontId="137" fillId="0" borderId="0" xfId="0" applyNumberFormat="1" applyFont="1" applyFill="1"/>
    <xf numFmtId="5" fontId="137" fillId="0" borderId="0" xfId="0" applyNumberFormat="1" applyFont="1" applyFill="1" applyBorder="1"/>
    <xf numFmtId="0" fontId="8" fillId="0" borderId="0" xfId="0" applyFont="1" applyFill="1" applyAlignment="1">
      <alignment horizontal="right" indent="1"/>
    </xf>
    <xf numFmtId="0" fontId="8" fillId="0" borderId="5" xfId="0" applyFont="1" applyFill="1" applyBorder="1" applyAlignment="1">
      <alignment horizontal="right" indent="1"/>
    </xf>
    <xf numFmtId="43" fontId="27" fillId="63" borderId="39" xfId="0" applyNumberFormat="1" applyFont="1" applyFill="1" applyBorder="1" applyAlignment="1">
      <alignment horizontal="right"/>
    </xf>
    <xf numFmtId="164" fontId="27" fillId="63" borderId="41" xfId="0" applyNumberFormat="1" applyFont="1" applyFill="1" applyBorder="1" applyAlignment="1">
      <alignment vertical="center"/>
    </xf>
    <xf numFmtId="164" fontId="132" fillId="0" borderId="0" xfId="0" applyNumberFormat="1" applyFont="1" applyAlignment="1">
      <alignment vertical="center"/>
    </xf>
    <xf numFmtId="0" fontId="25" fillId="0" borderId="0" xfId="0" applyFont="1"/>
    <xf numFmtId="165" fontId="25" fillId="0" borderId="0" xfId="2" applyNumberFormat="1" applyFont="1"/>
    <xf numFmtId="164" fontId="132" fillId="0" borderId="0" xfId="1" applyNumberFormat="1" applyFont="1" applyAlignment="1">
      <alignment vertical="center"/>
    </xf>
    <xf numFmtId="0" fontId="132" fillId="0" borderId="0" xfId="0" applyNumberFormat="1" applyFont="1" applyAlignment="1">
      <alignment vertical="center"/>
    </xf>
    <xf numFmtId="0" fontId="134" fillId="0" borderId="0" xfId="0" applyNumberFormat="1" applyFont="1" applyAlignment="1">
      <alignment horizontal="right" vertical="center"/>
    </xf>
    <xf numFmtId="164" fontId="132" fillId="0" borderId="1" xfId="0" applyNumberFormat="1" applyFont="1" applyBorder="1" applyAlignment="1">
      <alignment vertical="center"/>
    </xf>
    <xf numFmtId="164" fontId="134" fillId="0" borderId="0" xfId="0" applyNumberFormat="1" applyFont="1" applyAlignment="1">
      <alignment vertical="center"/>
    </xf>
    <xf numFmtId="0" fontId="117" fillId="0" borderId="0" xfId="0" applyNumberFormat="1" applyFont="1"/>
    <xf numFmtId="0" fontId="139" fillId="0" borderId="0" xfId="0" quotePrefix="1" applyNumberFormat="1" applyFont="1" applyAlignment="1">
      <alignment horizontal="right" vertical="center"/>
    </xf>
    <xf numFmtId="0" fontId="139" fillId="0" borderId="0" xfId="0" quotePrefix="1" applyNumberFormat="1" applyFont="1" applyAlignment="1">
      <alignment horizontal="right" vertical="center" indent="2"/>
    </xf>
    <xf numFmtId="5" fontId="137" fillId="0" borderId="0" xfId="0" applyNumberFormat="1" applyFont="1" applyFill="1" applyAlignment="1">
      <alignment horizontal="left"/>
    </xf>
    <xf numFmtId="0" fontId="27" fillId="0" borderId="0" xfId="0" applyFont="1" applyFill="1" applyBorder="1" applyAlignment="1">
      <alignment vertical="top"/>
    </xf>
    <xf numFmtId="164" fontId="27" fillId="0" borderId="0" xfId="2403" applyNumberFormat="1" applyFont="1" applyFill="1" applyBorder="1" applyAlignment="1">
      <alignment vertical="top"/>
    </xf>
    <xf numFmtId="0" fontId="0" fillId="0" borderId="0" xfId="0" applyAlignment="1">
      <alignment horizontal="right"/>
    </xf>
    <xf numFmtId="0" fontId="136" fillId="0" borderId="0" xfId="0" applyNumberFormat="1" applyFont="1" applyAlignment="1">
      <alignment horizontal="right"/>
    </xf>
    <xf numFmtId="0" fontId="13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2389" applyFont="1" applyFill="1" applyBorder="1"/>
    <xf numFmtId="0" fontId="130" fillId="0" borderId="0" xfId="2389" applyFont="1" applyFill="1" applyAlignment="1">
      <alignment horizontal="right"/>
    </xf>
    <xf numFmtId="44" fontId="130" fillId="0" borderId="0" xfId="2" applyFont="1" applyFill="1" applyAlignment="1">
      <alignment horizontal="right"/>
    </xf>
    <xf numFmtId="0" fontId="9" fillId="0" borderId="0" xfId="2389" applyFont="1" applyFill="1" applyAlignment="1">
      <alignment horizontal="left" vertical="top"/>
    </xf>
    <xf numFmtId="164" fontId="9" fillId="0" borderId="0" xfId="2399" applyNumberFormat="1" applyFont="1" applyFill="1"/>
    <xf numFmtId="164" fontId="9" fillId="0" borderId="6" xfId="2400" applyNumberFormat="1" applyFont="1" applyFill="1" applyBorder="1"/>
    <xf numFmtId="164" fontId="9" fillId="0" borderId="0" xfId="2389" applyNumberFormat="1" applyFont="1" applyFill="1"/>
    <xf numFmtId="0" fontId="9" fillId="79" borderId="0" xfId="2389" applyFont="1" applyFill="1"/>
    <xf numFmtId="43" fontId="9" fillId="79" borderId="0" xfId="1" applyFont="1" applyFill="1"/>
    <xf numFmtId="0" fontId="29" fillId="0" borderId="0" xfId="0" applyFont="1" applyAlignment="1">
      <alignment horizontal="right"/>
    </xf>
    <xf numFmtId="0" fontId="140" fillId="0" borderId="0" xfId="0" applyFont="1"/>
    <xf numFmtId="0" fontId="97" fillId="0" borderId="0" xfId="0" applyFont="1" applyFill="1" applyAlignment="1">
      <alignment horizontal="center" vertical="center"/>
    </xf>
    <xf numFmtId="0" fontId="97" fillId="0" borderId="0" xfId="0" quotePrefix="1" applyFont="1" applyFill="1" applyAlignment="1">
      <alignment horizontal="left" vertical="center"/>
    </xf>
    <xf numFmtId="179" fontId="141" fillId="0" borderId="36" xfId="1" applyNumberFormat="1" applyFont="1" applyFill="1" applyBorder="1" applyAlignment="1">
      <alignment vertical="center"/>
    </xf>
    <xf numFmtId="179" fontId="141" fillId="0" borderId="0" xfId="1" applyNumberFormat="1" applyFont="1" applyFill="1" applyBorder="1" applyAlignment="1">
      <alignment vertical="center"/>
    </xf>
    <xf numFmtId="179" fontId="97" fillId="0" borderId="30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7" fillId="0" borderId="0" xfId="0" applyFont="1" applyFill="1" applyAlignment="1">
      <alignment vertical="center"/>
    </xf>
    <xf numFmtId="0" fontId="94" fillId="0" borderId="0" xfId="0" applyFont="1" applyFill="1" applyBorder="1" applyAlignment="1">
      <alignment horizontal="center" vertical="center"/>
    </xf>
    <xf numFmtId="165" fontId="97" fillId="0" borderId="0" xfId="2" applyNumberFormat="1" applyFont="1" applyFill="1" applyBorder="1" applyAlignment="1">
      <alignment vertical="center"/>
    </xf>
    <xf numFmtId="165" fontId="97" fillId="0" borderId="0" xfId="2" applyNumberFormat="1" applyFont="1" applyFill="1" applyBorder="1" applyAlignment="1" applyProtection="1">
      <alignment vertical="center"/>
    </xf>
    <xf numFmtId="179" fontId="141" fillId="0" borderId="1" xfId="1" applyNumberFormat="1" applyFont="1" applyFill="1" applyBorder="1" applyAlignment="1">
      <alignment vertical="center"/>
    </xf>
    <xf numFmtId="179" fontId="97" fillId="0" borderId="38" xfId="1" applyNumberFormat="1" applyFont="1" applyFill="1" applyBorder="1" applyAlignment="1">
      <alignment vertical="center"/>
    </xf>
    <xf numFmtId="179" fontId="97" fillId="0" borderId="0" xfId="0" applyNumberFormat="1" applyFont="1" applyFill="1" applyAlignment="1">
      <alignment vertical="center"/>
    </xf>
    <xf numFmtId="179" fontId="97" fillId="0" borderId="34" xfId="1" applyNumberFormat="1" applyFont="1" applyFill="1" applyBorder="1" applyAlignment="1">
      <alignment vertical="center"/>
    </xf>
    <xf numFmtId="179" fontId="97" fillId="0" borderId="0" xfId="1" applyNumberFormat="1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164" fontId="97" fillId="0" borderId="36" xfId="1" applyNumberFormat="1" applyFont="1" applyFill="1" applyBorder="1" applyAlignment="1">
      <alignment vertical="center"/>
    </xf>
    <xf numFmtId="164" fontId="97" fillId="0" borderId="0" xfId="1" applyNumberFormat="1" applyFont="1" applyFill="1" applyBorder="1" applyAlignment="1">
      <alignment vertical="center"/>
    </xf>
    <xf numFmtId="164" fontId="97" fillId="0" borderId="30" xfId="1" applyNumberFormat="1" applyFont="1" applyFill="1" applyBorder="1" applyAlignment="1">
      <alignment vertical="center"/>
    </xf>
    <xf numFmtId="0" fontId="111" fillId="0" borderId="0" xfId="0" applyFont="1" applyFill="1" applyAlignment="1">
      <alignment vertical="center"/>
    </xf>
    <xf numFmtId="179" fontId="97" fillId="0" borderId="36" xfId="1" applyNumberFormat="1" applyFont="1" applyFill="1" applyBorder="1" applyAlignment="1">
      <alignment vertical="center"/>
    </xf>
    <xf numFmtId="0" fontId="97" fillId="0" borderId="36" xfId="0" applyFont="1" applyFill="1" applyBorder="1" applyAlignment="1">
      <alignment vertical="center"/>
    </xf>
    <xf numFmtId="0" fontId="97" fillId="0" borderId="30" xfId="0" applyFont="1" applyFill="1" applyBorder="1" applyAlignment="1">
      <alignment vertical="center"/>
    </xf>
    <xf numFmtId="10" fontId="141" fillId="0" borderId="37" xfId="0" applyNumberFormat="1" applyFont="1" applyFill="1" applyBorder="1" applyAlignment="1">
      <alignment vertical="center"/>
    </xf>
    <xf numFmtId="10" fontId="141" fillId="0" borderId="1" xfId="0" applyNumberFormat="1" applyFont="1" applyFill="1" applyBorder="1" applyAlignment="1">
      <alignment vertical="center"/>
    </xf>
    <xf numFmtId="10" fontId="141" fillId="0" borderId="38" xfId="0" applyNumberFormat="1" applyFont="1" applyFill="1" applyBorder="1" applyAlignment="1">
      <alignment vertical="center"/>
    </xf>
    <xf numFmtId="43" fontId="97" fillId="0" borderId="36" xfId="0" applyNumberFormat="1" applyFont="1" applyFill="1" applyBorder="1" applyAlignment="1">
      <alignment vertical="center"/>
    </xf>
    <xf numFmtId="179" fontId="97" fillId="0" borderId="37" xfId="0" applyNumberFormat="1" applyFont="1" applyFill="1" applyBorder="1" applyAlignment="1">
      <alignment vertical="center"/>
    </xf>
    <xf numFmtId="179" fontId="97" fillId="0" borderId="1" xfId="0" applyNumberFormat="1" applyFont="1" applyFill="1" applyBorder="1" applyAlignment="1">
      <alignment vertical="center"/>
    </xf>
    <xf numFmtId="179" fontId="97" fillId="0" borderId="38" xfId="0" applyNumberFormat="1" applyFont="1" applyFill="1" applyBorder="1" applyAlignment="1">
      <alignment vertical="center"/>
    </xf>
    <xf numFmtId="0" fontId="98" fillId="0" borderId="0" xfId="0" applyFont="1" applyFill="1" applyAlignment="1">
      <alignment horizontal="left" vertical="center"/>
    </xf>
    <xf numFmtId="179" fontId="97" fillId="0" borderId="16" xfId="0" applyNumberFormat="1" applyFont="1" applyFill="1" applyBorder="1" applyAlignment="1">
      <alignment vertical="center"/>
    </xf>
    <xf numFmtId="179" fontId="97" fillId="0" borderId="2" xfId="0" applyNumberFormat="1" applyFont="1" applyFill="1" applyBorder="1" applyAlignment="1">
      <alignment vertical="center"/>
    </xf>
    <xf numFmtId="179" fontId="97" fillId="0" borderId="17" xfId="0" applyNumberFormat="1" applyFont="1" applyFill="1" applyBorder="1" applyAlignment="1">
      <alignment vertical="center"/>
    </xf>
    <xf numFmtId="0" fontId="94" fillId="0" borderId="16" xfId="0" applyFont="1" applyFill="1" applyBorder="1" applyAlignment="1">
      <alignment horizontal="centerContinuous" vertical="center"/>
    </xf>
    <xf numFmtId="0" fontId="94" fillId="0" borderId="2" xfId="0" applyFont="1" applyFill="1" applyBorder="1" applyAlignment="1">
      <alignment horizontal="centerContinuous" vertical="center"/>
    </xf>
    <xf numFmtId="0" fontId="94" fillId="0" borderId="17" xfId="0" applyFont="1" applyFill="1" applyBorder="1" applyAlignment="1">
      <alignment horizontal="centerContinuous" vertical="center"/>
    </xf>
    <xf numFmtId="6" fontId="94" fillId="0" borderId="0" xfId="0" applyNumberFormat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vertical="center"/>
    </xf>
    <xf numFmtId="173" fontId="9" fillId="0" borderId="0" xfId="2387" applyFont="1" applyAlignment="1">
      <alignment vertical="center"/>
    </xf>
    <xf numFmtId="164" fontId="106" fillId="0" borderId="0" xfId="1" applyNumberFormat="1" applyFont="1" applyFill="1" applyAlignment="1">
      <alignment vertical="center"/>
    </xf>
    <xf numFmtId="164" fontId="9" fillId="0" borderId="0" xfId="1" applyNumberFormat="1" applyFont="1" applyFill="1" applyAlignment="1">
      <alignment vertical="center"/>
    </xf>
    <xf numFmtId="176" fontId="113" fillId="0" borderId="0" xfId="2387" quotePrefix="1" applyNumberFormat="1" applyFont="1" applyFill="1"/>
    <xf numFmtId="0" fontId="140" fillId="0" borderId="0" xfId="0" applyFont="1" applyFill="1"/>
    <xf numFmtId="0" fontId="138" fillId="0" borderId="0" xfId="0" applyFont="1" applyFill="1"/>
    <xf numFmtId="0" fontId="8" fillId="0" borderId="5" xfId="0" applyFont="1" applyFill="1" applyBorder="1" applyAlignment="1">
      <alignment horizontal="left" indent="1"/>
    </xf>
    <xf numFmtId="0" fontId="9" fillId="0" borderId="0" xfId="0" applyFont="1" applyAlignment="1">
      <alignment horizontal="center" vertical="center"/>
    </xf>
    <xf numFmtId="0" fontId="106" fillId="0" borderId="0" xfId="0" applyFont="1" applyAlignment="1">
      <alignment horizontal="right"/>
    </xf>
    <xf numFmtId="172" fontId="106" fillId="0" borderId="0" xfId="0" applyNumberFormat="1" applyFont="1" applyAlignment="1">
      <alignment horizontal="right"/>
    </xf>
    <xf numFmtId="0" fontId="142" fillId="0" borderId="0" xfId="0" applyFont="1" applyFill="1" applyAlignment="1"/>
    <xf numFmtId="165" fontId="140" fillId="0" borderId="0" xfId="2" applyNumberFormat="1" applyFont="1" applyFill="1" applyBorder="1"/>
    <xf numFmtId="5" fontId="138" fillId="0" borderId="0" xfId="0" applyNumberFormat="1" applyFont="1" applyFill="1"/>
    <xf numFmtId="0" fontId="138" fillId="0" borderId="0" xfId="0" applyFont="1" applyFill="1" applyBorder="1"/>
    <xf numFmtId="0" fontId="133" fillId="0" borderId="0" xfId="0" applyFont="1" applyFill="1"/>
    <xf numFmtId="172" fontId="9" fillId="0" borderId="0" xfId="0" applyNumberFormat="1" applyFont="1" applyAlignment="1">
      <alignment horizontal="center"/>
    </xf>
    <xf numFmtId="0" fontId="29" fillId="0" borderId="0" xfId="2387" applyNumberFormat="1" applyFont="1" applyFill="1"/>
    <xf numFmtId="172" fontId="116" fillId="0" borderId="0" xfId="0" applyNumberFormat="1" applyFont="1"/>
    <xf numFmtId="172" fontId="116" fillId="0" borderId="0" xfId="0" applyNumberFormat="1" applyFont="1" applyFill="1"/>
    <xf numFmtId="0" fontId="140" fillId="81" borderId="0" xfId="0" applyFont="1" applyFill="1"/>
    <xf numFmtId="0" fontId="145" fillId="0" borderId="0" xfId="0" applyFont="1" applyAlignment="1">
      <alignment vertical="center"/>
    </xf>
    <xf numFmtId="0" fontId="144" fillId="0" borderId="0" xfId="0" applyFont="1"/>
    <xf numFmtId="0" fontId="100" fillId="0" borderId="1" xfId="0" applyFont="1" applyFill="1" applyBorder="1" applyAlignment="1">
      <alignment horizontal="center"/>
    </xf>
    <xf numFmtId="0" fontId="48" fillId="0" borderId="0" xfId="0" applyFont="1" applyFill="1" applyAlignment="1">
      <alignment horizontal="left"/>
    </xf>
    <xf numFmtId="164" fontId="139" fillId="0" borderId="0" xfId="0" applyNumberFormat="1" applyFont="1"/>
    <xf numFmtId="172" fontId="48" fillId="0" borderId="0" xfId="0" quotePrefix="1" applyNumberFormat="1" applyFont="1" applyFill="1" applyAlignment="1">
      <alignment horizontal="right"/>
    </xf>
    <xf numFmtId="0" fontId="139" fillId="0" borderId="0" xfId="0" applyFont="1" applyFill="1" applyAlignment="1">
      <alignment horizontal="left"/>
    </xf>
    <xf numFmtId="0" fontId="146" fillId="0" borderId="0" xfId="0" applyFont="1" applyFill="1" applyAlignment="1">
      <alignment horizontal="right"/>
    </xf>
    <xf numFmtId="0" fontId="147" fillId="0" borderId="0" xfId="0" applyFont="1" applyFill="1" applyAlignment="1">
      <alignment horizontal="left" indent="1"/>
    </xf>
    <xf numFmtId="179" fontId="141" fillId="0" borderId="37" xfId="1" applyNumberFormat="1" applyFont="1" applyFill="1" applyBorder="1" applyAlignment="1">
      <alignment vertical="center"/>
    </xf>
    <xf numFmtId="0" fontId="147" fillId="0" borderId="0" xfId="0" applyFont="1" applyFill="1" applyAlignment="1">
      <alignment horizontal="left"/>
    </xf>
    <xf numFmtId="0" fontId="149" fillId="0" borderId="0" xfId="0" applyFont="1" applyAlignment="1">
      <alignment horizontal="center"/>
    </xf>
    <xf numFmtId="43" fontId="149" fillId="0" borderId="0" xfId="1" applyFont="1" applyFill="1" applyAlignment="1">
      <alignment horizontal="center"/>
    </xf>
    <xf numFmtId="44" fontId="149" fillId="0" borderId="0" xfId="2" applyFont="1" applyFill="1" applyAlignment="1">
      <alignment horizontal="center"/>
    </xf>
    <xf numFmtId="0" fontId="148" fillId="0" borderId="0" xfId="0" applyFont="1" applyAlignment="1">
      <alignment horizontal="center" wrapText="1"/>
    </xf>
    <xf numFmtId="0" fontId="148" fillId="0" borderId="0" xfId="0" applyFont="1" applyAlignment="1">
      <alignment horizontal="center"/>
    </xf>
    <xf numFmtId="0" fontId="150" fillId="0" borderId="0" xfId="0" applyFont="1"/>
    <xf numFmtId="0" fontId="150" fillId="0" borderId="0" xfId="0" applyFont="1" applyAlignment="1">
      <alignment horizontal="right"/>
    </xf>
    <xf numFmtId="43" fontId="150" fillId="0" borderId="0" xfId="1" applyFont="1" applyFill="1"/>
    <xf numFmtId="44" fontId="150" fillId="0" borderId="0" xfId="2" applyFont="1" applyFill="1"/>
    <xf numFmtId="165" fontId="150" fillId="0" borderId="0" xfId="2" applyNumberFormat="1" applyFont="1"/>
    <xf numFmtId="44" fontId="150" fillId="0" borderId="0" xfId="2" applyFont="1"/>
    <xf numFmtId="184" fontId="150" fillId="0" borderId="0" xfId="2" applyNumberFormat="1" applyFont="1"/>
    <xf numFmtId="0" fontId="29" fillId="0" borderId="0" xfId="0" applyFont="1"/>
    <xf numFmtId="43" fontId="29" fillId="0" borderId="0" xfId="1" applyFont="1"/>
    <xf numFmtId="44" fontId="29" fillId="0" borderId="0" xfId="2" applyFont="1"/>
    <xf numFmtId="44" fontId="29" fillId="0" borderId="0" xfId="2" applyFont="1" applyFill="1"/>
    <xf numFmtId="184" fontId="29" fillId="0" borderId="0" xfId="2" applyNumberFormat="1" applyFont="1"/>
    <xf numFmtId="165" fontId="29" fillId="0" borderId="0" xfId="2" applyNumberFormat="1" applyFont="1"/>
    <xf numFmtId="0" fontId="29" fillId="0" borderId="0" xfId="0" applyFont="1" applyAlignment="1">
      <alignment horizontal="center"/>
    </xf>
    <xf numFmtId="164" fontId="29" fillId="0" borderId="0" xfId="1" applyNumberFormat="1" applyFont="1" applyFill="1"/>
    <xf numFmtId="164" fontId="29" fillId="0" borderId="0" xfId="1" applyNumberFormat="1" applyFont="1"/>
    <xf numFmtId="164" fontId="150" fillId="0" borderId="0" xfId="1" applyNumberFormat="1" applyFont="1" applyFill="1"/>
    <xf numFmtId="164" fontId="150" fillId="0" borderId="0" xfId="1" applyNumberFormat="1" applyFont="1"/>
    <xf numFmtId="0" fontId="29" fillId="0" borderId="0" xfId="0" applyFont="1" applyAlignment="1">
      <alignment vertical="center"/>
    </xf>
    <xf numFmtId="43" fontId="29" fillId="0" borderId="0" xfId="1" applyFont="1" applyAlignment="1">
      <alignment vertical="center"/>
    </xf>
    <xf numFmtId="44" fontId="29" fillId="0" borderId="0" xfId="2" applyFont="1" applyAlignment="1">
      <alignment vertical="center"/>
    </xf>
    <xf numFmtId="0" fontId="9" fillId="0" borderId="1" xfId="2387" quotePrefix="1" applyNumberFormat="1" applyFont="1" applyFill="1" applyBorder="1" applyAlignment="1">
      <alignment horizontal="center" vertical="center"/>
    </xf>
    <xf numFmtId="0" fontId="29" fillId="0" borderId="2" xfId="2387" applyNumberFormat="1" applyFont="1" applyFill="1" applyBorder="1" applyAlignment="1">
      <alignment horizontal="center" vertical="center"/>
    </xf>
    <xf numFmtId="0" fontId="29" fillId="0" borderId="2" xfId="2394" quotePrefix="1" applyNumberFormat="1" applyFont="1" applyFill="1" applyBorder="1" applyAlignment="1">
      <alignment horizontal="center" vertical="center"/>
    </xf>
    <xf numFmtId="0" fontId="29" fillId="0" borderId="2" xfId="2387" quotePrefix="1" applyNumberFormat="1" applyFont="1" applyFill="1" applyBorder="1" applyAlignment="1">
      <alignment horizontal="center" vertical="center"/>
    </xf>
    <xf numFmtId="0" fontId="29" fillId="0" borderId="2" xfId="2394" applyNumberFormat="1" applyFont="1" applyFill="1" applyBorder="1" applyAlignment="1">
      <alignment horizontal="center" vertical="center"/>
    </xf>
    <xf numFmtId="165" fontId="150" fillId="60" borderId="0" xfId="2" applyNumberFormat="1" applyFont="1" applyFill="1"/>
    <xf numFmtId="0" fontId="102" fillId="0" borderId="0" xfId="0" applyFont="1"/>
    <xf numFmtId="37" fontId="8" fillId="0" borderId="0" xfId="0" applyNumberFormat="1" applyFont="1" applyFill="1"/>
    <xf numFmtId="0" fontId="9" fillId="0" borderId="0" xfId="0" applyFont="1" applyFill="1" applyAlignment="1">
      <alignment vertical="center"/>
    </xf>
    <xf numFmtId="0" fontId="102" fillId="0" borderId="0" xfId="0" applyFont="1" applyAlignment="1">
      <alignment vertical="center"/>
    </xf>
    <xf numFmtId="0" fontId="9" fillId="0" borderId="0" xfId="0" applyFont="1" applyFill="1" applyAlignment="1">
      <alignment horizontal="center" vertical="center"/>
    </xf>
    <xf numFmtId="179" fontId="9" fillId="0" borderId="0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72" fontId="9" fillId="0" borderId="0" xfId="0" applyNumberFormat="1" applyFont="1" applyFill="1" applyBorder="1" applyAlignment="1">
      <alignment vertical="center"/>
    </xf>
    <xf numFmtId="0" fontId="9" fillId="0" borderId="0" xfId="0" quotePrefix="1" applyFont="1" applyFill="1" applyAlignment="1">
      <alignment horizontal="left" vertical="center"/>
    </xf>
    <xf numFmtId="164" fontId="9" fillId="0" borderId="0" xfId="1" applyNumberFormat="1" applyFont="1" applyFill="1" applyBorder="1"/>
    <xf numFmtId="10" fontId="113" fillId="0" borderId="1" xfId="0" applyNumberFormat="1" applyFont="1" applyFill="1" applyBorder="1" applyAlignment="1">
      <alignment vertical="center"/>
    </xf>
    <xf numFmtId="166" fontId="9" fillId="0" borderId="0" xfId="3" applyNumberFormat="1" applyFont="1" applyFill="1"/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/>
    <xf numFmtId="0" fontId="102" fillId="0" borderId="0" xfId="0" quotePrefix="1" applyFont="1" applyFill="1" applyBorder="1" applyAlignment="1">
      <alignment horizontal="left"/>
    </xf>
    <xf numFmtId="0" fontId="143" fillId="0" borderId="0" xfId="0" quotePrefix="1" applyFont="1" applyFill="1" applyBorder="1" applyAlignment="1">
      <alignment horizontal="right"/>
    </xf>
    <xf numFmtId="44" fontId="151" fillId="0" borderId="0" xfId="2" applyFont="1" applyFill="1" applyBorder="1"/>
    <xf numFmtId="164" fontId="102" fillId="0" borderId="0" xfId="0" applyNumberFormat="1" applyFont="1" applyFill="1" applyBorder="1"/>
    <xf numFmtId="44" fontId="151" fillId="0" borderId="0" xfId="2" applyFont="1" applyFill="1" applyBorder="1" applyAlignment="1">
      <alignment horizontal="right"/>
    </xf>
    <xf numFmtId="165" fontId="151" fillId="0" borderId="0" xfId="2" applyNumberFormat="1" applyFont="1" applyFill="1" applyBorder="1"/>
    <xf numFmtId="0" fontId="102" fillId="0" borderId="0" xfId="0" applyFont="1" applyFill="1" applyBorder="1" applyAlignment="1">
      <alignment horizontal="right"/>
    </xf>
    <xf numFmtId="0" fontId="133" fillId="0" borderId="0" xfId="0" applyFont="1" applyFill="1" applyBorder="1" applyAlignment="1">
      <alignment horizontal="left"/>
    </xf>
    <xf numFmtId="164" fontId="151" fillId="0" borderId="0" xfId="1" applyNumberFormat="1" applyFont="1" applyFill="1" applyBorder="1"/>
    <xf numFmtId="0" fontId="102" fillId="0" borderId="0" xfId="0" applyFont="1" applyFill="1" applyBorder="1" applyAlignment="1">
      <alignment horizontal="left"/>
    </xf>
    <xf numFmtId="0" fontId="60" fillId="0" borderId="0" xfId="0" quotePrefix="1" applyFont="1" applyFill="1" applyBorder="1" applyAlignment="1">
      <alignment horizontal="left"/>
    </xf>
    <xf numFmtId="0" fontId="60" fillId="0" borderId="0" xfId="0" applyFont="1" applyFill="1" applyBorder="1" applyAlignment="1">
      <alignment horizontal="center"/>
    </xf>
    <xf numFmtId="0" fontId="125" fillId="0" borderId="0" xfId="0" applyFont="1" applyFill="1" applyBorder="1" applyAlignment="1">
      <alignment horizontal="center"/>
    </xf>
    <xf numFmtId="0" fontId="125" fillId="0" borderId="0" xfId="0" quotePrefix="1" applyFont="1" applyFill="1" applyBorder="1" applyAlignment="1">
      <alignment horizontal="center"/>
    </xf>
    <xf numFmtId="167" fontId="60" fillId="0" borderId="0" xfId="0" applyNumberFormat="1" applyFont="1" applyFill="1" applyBorder="1" applyAlignment="1">
      <alignment horizontal="center"/>
    </xf>
    <xf numFmtId="0" fontId="125" fillId="0" borderId="0" xfId="0" applyFont="1" applyFill="1" applyBorder="1" applyAlignment="1">
      <alignment horizontal="left"/>
    </xf>
    <xf numFmtId="164" fontId="102" fillId="0" borderId="0" xfId="1" applyNumberFormat="1" applyFont="1" applyFill="1" applyBorder="1"/>
    <xf numFmtId="10" fontId="102" fillId="0" borderId="0" xfId="0" applyNumberFormat="1" applyFont="1" applyFill="1" applyBorder="1"/>
    <xf numFmtId="166" fontId="102" fillId="0" borderId="0" xfId="3" applyNumberFormat="1" applyFont="1" applyFill="1" applyBorder="1"/>
    <xf numFmtId="0" fontId="125" fillId="0" borderId="0" xfId="0" quotePrefix="1" applyFont="1" applyFill="1" applyBorder="1" applyAlignment="1">
      <alignment horizontal="left"/>
    </xf>
    <xf numFmtId="44" fontId="102" fillId="0" borderId="0" xfId="2" applyFont="1" applyFill="1" applyBorder="1"/>
    <xf numFmtId="164" fontId="102" fillId="0" borderId="0" xfId="5" applyNumberFormat="1" applyFont="1" applyFill="1" applyBorder="1" applyAlignment="1">
      <alignment horizontal="left"/>
    </xf>
    <xf numFmtId="0" fontId="152" fillId="0" borderId="0" xfId="0" applyFont="1" applyFill="1" applyAlignment="1">
      <alignment horizontal="left"/>
    </xf>
    <xf numFmtId="0" fontId="152" fillId="0" borderId="0" xfId="0" applyFont="1" applyFill="1"/>
    <xf numFmtId="164" fontId="152" fillId="0" borderId="0" xfId="0" applyNumberFormat="1" applyFont="1" applyFill="1"/>
    <xf numFmtId="164" fontId="102" fillId="0" borderId="0" xfId="0" applyNumberFormat="1" applyFont="1" applyFill="1"/>
    <xf numFmtId="0" fontId="9" fillId="0" borderId="0" xfId="0" applyFont="1" applyFill="1" applyAlignment="1">
      <alignment horizontal="left" indent="2"/>
    </xf>
    <xf numFmtId="164" fontId="116" fillId="0" borderId="0" xfId="0" applyNumberFormat="1" applyFont="1" applyFill="1"/>
    <xf numFmtId="167" fontId="48" fillId="0" borderId="0" xfId="0" applyNumberFormat="1" applyFont="1" applyFill="1" applyAlignment="1">
      <alignment horizontal="right"/>
    </xf>
    <xf numFmtId="164" fontId="146" fillId="0" borderId="0" xfId="0" applyNumberFormat="1" applyFont="1" applyFill="1" applyAlignment="1">
      <alignment horizontal="right" indent="1"/>
    </xf>
    <xf numFmtId="0" fontId="48" fillId="0" borderId="0" xfId="0" applyNumberFormat="1" applyFont="1" applyFill="1" applyAlignment="1">
      <alignment horizontal="right" vertical="center" indent="1"/>
    </xf>
    <xf numFmtId="167" fontId="48" fillId="0" borderId="0" xfId="0" applyNumberFormat="1" applyFont="1" applyFill="1" applyAlignment="1">
      <alignment horizontal="right" indent="1"/>
    </xf>
    <xf numFmtId="0" fontId="100" fillId="0" borderId="1" xfId="0" applyFont="1" applyFill="1" applyBorder="1" applyAlignment="1">
      <alignment horizontal="right"/>
    </xf>
    <xf numFmtId="0" fontId="100" fillId="0" borderId="0" xfId="0" applyFont="1" applyFill="1" applyAlignment="1">
      <alignment horizontal="left" indent="3"/>
    </xf>
    <xf numFmtId="10" fontId="9" fillId="0" borderId="0" xfId="3" applyNumberFormat="1" applyFont="1" applyFill="1" applyAlignment="1">
      <alignment vertical="center"/>
    </xf>
    <xf numFmtId="10" fontId="9" fillId="0" borderId="0" xfId="0" applyNumberFormat="1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10" fontId="9" fillId="0" borderId="1" xfId="3" applyNumberFormat="1" applyFont="1" applyFill="1" applyBorder="1" applyAlignment="1">
      <alignment vertical="center"/>
    </xf>
    <xf numFmtId="10" fontId="9" fillId="0" borderId="1" xfId="0" applyNumberFormat="1" applyFont="1" applyFill="1" applyBorder="1" applyAlignment="1">
      <alignment vertical="center"/>
    </xf>
    <xf numFmtId="0" fontId="153" fillId="0" borderId="0" xfId="2" applyNumberFormat="1" applyFont="1" applyFill="1" applyAlignment="1">
      <alignment vertical="center"/>
    </xf>
    <xf numFmtId="185" fontId="48" fillId="0" borderId="0" xfId="0" applyNumberFormat="1" applyFont="1" applyFill="1" applyAlignment="1">
      <alignment horizontal="right"/>
    </xf>
    <xf numFmtId="0" fontId="146" fillId="0" borderId="0" xfId="0" applyFont="1" applyFill="1" applyAlignment="1">
      <alignment horizontal="left"/>
    </xf>
    <xf numFmtId="0" fontId="48" fillId="0" borderId="0" xfId="0" applyFont="1" applyAlignment="1">
      <alignment vertical="center"/>
    </xf>
    <xf numFmtId="0" fontId="121" fillId="0" borderId="0" xfId="0" applyFont="1"/>
    <xf numFmtId="10" fontId="113" fillId="0" borderId="0" xfId="0" applyNumberFormat="1" applyFont="1" applyFill="1" applyAlignment="1">
      <alignment vertical="center"/>
    </xf>
    <xf numFmtId="10" fontId="113" fillId="0" borderId="0" xfId="0" applyNumberFormat="1" applyFont="1" applyFill="1"/>
    <xf numFmtId="10" fontId="113" fillId="0" borderId="0" xfId="3" applyNumberFormat="1" applyFont="1" applyFill="1"/>
    <xf numFmtId="10" fontId="113" fillId="0" borderId="1" xfId="0" applyNumberFormat="1" applyFont="1" applyFill="1" applyBorder="1"/>
    <xf numFmtId="10" fontId="113" fillId="0" borderId="1" xfId="3" applyNumberFormat="1" applyFont="1" applyFill="1" applyBorder="1"/>
    <xf numFmtId="173" fontId="48" fillId="0" borderId="0" xfId="2387" applyFont="1" applyAlignment="1">
      <alignment vertical="center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vertical="center"/>
    </xf>
    <xf numFmtId="6" fontId="154" fillId="0" borderId="0" xfId="0" applyNumberFormat="1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/>
    </xf>
    <xf numFmtId="43" fontId="29" fillId="0" borderId="0" xfId="0" applyNumberFormat="1" applyFont="1" applyAlignment="1">
      <alignment vertical="center"/>
    </xf>
    <xf numFmtId="6" fontId="154" fillId="0" borderId="0" xfId="0" applyNumberFormat="1" applyFont="1" applyFill="1" applyBorder="1" applyAlignment="1">
      <alignment horizontal="center"/>
    </xf>
    <xf numFmtId="0" fontId="155" fillId="0" borderId="0" xfId="0" applyFont="1" applyFill="1"/>
    <xf numFmtId="0" fontId="9" fillId="60" borderId="0" xfId="0" applyFont="1" applyFill="1" applyAlignment="1"/>
    <xf numFmtId="10" fontId="113" fillId="60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right"/>
    </xf>
    <xf numFmtId="0" fontId="8" fillId="0" borderId="1" xfId="0" quotePrefix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10" fontId="9" fillId="82" borderId="0" xfId="0" applyNumberFormat="1" applyFont="1" applyFill="1" applyAlignment="1">
      <alignment vertical="center"/>
    </xf>
    <xf numFmtId="0" fontId="8" fillId="0" borderId="0" xfId="0" applyFont="1" applyFill="1" applyBorder="1" applyAlignment="1">
      <alignment horizontal="right" vertical="center" indent="1"/>
    </xf>
    <xf numFmtId="0" fontId="154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43" fontId="9" fillId="0" borderId="0" xfId="0" applyNumberFormat="1" applyFont="1" applyFill="1" applyBorder="1"/>
    <xf numFmtId="0" fontId="8" fillId="0" borderId="0" xfId="0" applyFont="1" applyFill="1" applyBorder="1" applyAlignment="1">
      <alignment horizontal="centerContinuous"/>
    </xf>
    <xf numFmtId="164" fontId="9" fillId="0" borderId="0" xfId="1" applyNumberFormat="1" applyFont="1" applyFill="1" applyAlignment="1"/>
    <xf numFmtId="166" fontId="9" fillId="0" borderId="0" xfId="3" applyNumberFormat="1" applyFont="1" applyFill="1" applyAlignment="1"/>
    <xf numFmtId="44" fontId="143" fillId="0" borderId="0" xfId="2" applyFont="1" applyFill="1" applyBorder="1" applyAlignment="1"/>
    <xf numFmtId="44" fontId="151" fillId="0" borderId="0" xfId="2" applyFont="1" applyFill="1" applyBorder="1" applyAlignment="1"/>
    <xf numFmtId="0" fontId="151" fillId="0" borderId="0" xfId="0" applyFont="1" applyFill="1" applyBorder="1" applyAlignment="1"/>
    <xf numFmtId="0" fontId="102" fillId="0" borderId="0" xfId="0" applyFont="1" applyFill="1" applyBorder="1" applyAlignment="1"/>
    <xf numFmtId="164" fontId="102" fillId="0" borderId="0" xfId="0" applyNumberFormat="1" applyFont="1" applyFill="1" applyBorder="1" applyAlignment="1"/>
    <xf numFmtId="165" fontId="151" fillId="0" borderId="0" xfId="2" applyNumberFormat="1" applyFont="1" applyFill="1" applyBorder="1" applyAlignment="1"/>
    <xf numFmtId="164" fontId="151" fillId="0" borderId="0" xfId="1" applyNumberFormat="1" applyFont="1" applyFill="1" applyBorder="1" applyAlignment="1"/>
    <xf numFmtId="5" fontId="102" fillId="0" borderId="0" xfId="0" applyNumberFormat="1" applyFont="1" applyFill="1" applyBorder="1" applyAlignment="1"/>
    <xf numFmtId="0" fontId="60" fillId="0" borderId="0" xfId="0" applyFont="1" applyFill="1" applyBorder="1" applyAlignment="1"/>
    <xf numFmtId="44" fontId="156" fillId="0" borderId="0" xfId="2" applyFont="1" applyFill="1" applyBorder="1" applyAlignment="1"/>
    <xf numFmtId="43" fontId="0" fillId="0" borderId="0" xfId="1" applyNumberFormat="1" applyFont="1"/>
    <xf numFmtId="43" fontId="0" fillId="0" borderId="0" xfId="1" applyNumberFormat="1" applyFont="1" applyFill="1"/>
    <xf numFmtId="43" fontId="0" fillId="0" borderId="1" xfId="1" applyNumberFormat="1" applyFont="1" applyFill="1" applyBorder="1"/>
    <xf numFmtId="43" fontId="0" fillId="0" borderId="1" xfId="1" applyNumberFormat="1" applyFont="1" applyBorder="1"/>
    <xf numFmtId="1" fontId="0" fillId="0" borderId="0" xfId="0" applyNumberFormat="1" applyAlignment="1">
      <alignment horizontal="center"/>
    </xf>
    <xf numFmtId="0" fontId="159" fillId="0" borderId="0" xfId="0" applyFont="1"/>
    <xf numFmtId="43" fontId="159" fillId="0" borderId="0" xfId="0" applyNumberFormat="1" applyFont="1" applyAlignment="1">
      <alignment horizontal="righ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right" wrapText="1"/>
    </xf>
    <xf numFmtId="173" fontId="130" fillId="0" borderId="0" xfId="2387" applyFont="1"/>
    <xf numFmtId="0" fontId="160" fillId="0" borderId="0" xfId="0" applyFont="1" applyFill="1" applyAlignment="1">
      <alignment vertical="center"/>
    </xf>
    <xf numFmtId="0" fontId="161" fillId="0" borderId="0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left" vertical="center" indent="1"/>
    </xf>
    <xf numFmtId="0" fontId="160" fillId="0" borderId="0" xfId="0" applyFont="1" applyFill="1" applyBorder="1" applyAlignment="1">
      <alignment horizontal="left" vertical="center"/>
    </xf>
    <xf numFmtId="165" fontId="160" fillId="0" borderId="0" xfId="2" applyNumberFormat="1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40" fillId="0" borderId="0" xfId="0" applyFont="1" applyAlignment="1">
      <alignment horizontal="right" vertical="center"/>
    </xf>
    <xf numFmtId="44" fontId="140" fillId="0" borderId="0" xfId="2" applyFont="1"/>
    <xf numFmtId="44" fontId="140" fillId="0" borderId="0" xfId="0" applyNumberFormat="1" applyFont="1"/>
    <xf numFmtId="0" fontId="140" fillId="0" borderId="0" xfId="0" applyFont="1" applyAlignment="1">
      <alignment vertical="center"/>
    </xf>
    <xf numFmtId="175" fontId="140" fillId="0" borderId="0" xfId="0" applyNumberFormat="1" applyFont="1"/>
    <xf numFmtId="43" fontId="140" fillId="0" borderId="0" xfId="1" applyFont="1"/>
    <xf numFmtId="44" fontId="140" fillId="0" borderId="0" xfId="2" applyFont="1" applyBorder="1"/>
    <xf numFmtId="43" fontId="140" fillId="0" borderId="0" xfId="2" applyNumberFormat="1" applyFont="1"/>
    <xf numFmtId="43" fontId="140" fillId="0" borderId="0" xfId="0" applyNumberFormat="1" applyFont="1"/>
    <xf numFmtId="43" fontId="140" fillId="0" borderId="0" xfId="2" applyNumberFormat="1" applyFont="1" applyFill="1"/>
    <xf numFmtId="43" fontId="140" fillId="0" borderId="0" xfId="0" applyNumberFormat="1" applyFont="1" applyFill="1"/>
    <xf numFmtId="43" fontId="163" fillId="0" borderId="0" xfId="2" applyNumberFormat="1" applyFont="1" applyFill="1" applyBorder="1"/>
    <xf numFmtId="43" fontId="163" fillId="0" borderId="0" xfId="0" applyNumberFormat="1" applyFont="1" applyFill="1" applyBorder="1"/>
    <xf numFmtId="175" fontId="161" fillId="0" borderId="0" xfId="0" applyNumberFormat="1" applyFont="1" applyFill="1" applyBorder="1" applyAlignment="1">
      <alignment horizontal="right" vertical="center" indent="1"/>
    </xf>
    <xf numFmtId="0" fontId="161" fillId="0" borderId="0" xfId="0" applyFont="1" applyFill="1" applyBorder="1" applyAlignment="1">
      <alignment horizontal="right" vertical="center" indent="1"/>
    </xf>
    <xf numFmtId="43" fontId="160" fillId="0" borderId="0" xfId="1" applyNumberFormat="1" applyFont="1" applyFill="1" applyBorder="1" applyAlignment="1">
      <alignment vertical="center"/>
    </xf>
    <xf numFmtId="43" fontId="162" fillId="0" borderId="0" xfId="1" applyNumberFormat="1" applyFont="1" applyFill="1" applyBorder="1" applyAlignment="1">
      <alignment vertical="center"/>
    </xf>
    <xf numFmtId="43" fontId="160" fillId="0" borderId="0" xfId="2" applyNumberFormat="1" applyFont="1" applyFill="1" applyBorder="1" applyAlignment="1">
      <alignment vertical="center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horizontal="center"/>
    </xf>
    <xf numFmtId="0" fontId="165" fillId="0" borderId="0" xfId="0" applyFont="1" applyAlignment="1">
      <alignment horizontal="right"/>
    </xf>
    <xf numFmtId="164" fontId="165" fillId="0" borderId="0" xfId="0" applyNumberFormat="1" applyFont="1" applyFill="1" applyAlignment="1"/>
    <xf numFmtId="0" fontId="165" fillId="0" borderId="0" xfId="0" applyFont="1" applyFill="1" applyAlignment="1">
      <alignment horizontal="left" vertical="center" indent="1"/>
    </xf>
    <xf numFmtId="0" fontId="164" fillId="0" borderId="0" xfId="0" applyFont="1" applyAlignment="1">
      <alignment horizontal="left" vertical="center" indent="1"/>
    </xf>
    <xf numFmtId="0" fontId="167" fillId="0" borderId="0" xfId="0" applyFont="1"/>
    <xf numFmtId="0" fontId="168" fillId="0" borderId="0" xfId="0" applyFont="1" applyBorder="1" applyAlignment="1">
      <alignment horizontal="left" vertical="center"/>
    </xf>
    <xf numFmtId="0" fontId="168" fillId="0" borderId="0" xfId="0" applyFont="1" applyBorder="1" applyAlignment="1">
      <alignment horizontal="right" vertical="center" indent="1"/>
    </xf>
    <xf numFmtId="0" fontId="169" fillId="0" borderId="0" xfId="0" applyFont="1" applyFill="1" applyBorder="1" applyAlignment="1">
      <alignment horizontal="right" vertical="center" indent="1"/>
    </xf>
    <xf numFmtId="0" fontId="167" fillId="0" borderId="0" xfId="0" applyFont="1" applyAlignment="1">
      <alignment vertical="center"/>
    </xf>
    <xf numFmtId="164" fontId="167" fillId="0" borderId="0" xfId="0" applyNumberFormat="1" applyFont="1" applyAlignment="1">
      <alignment vertical="center"/>
    </xf>
    <xf numFmtId="0" fontId="170" fillId="0" borderId="0" xfId="0" applyFont="1" applyFill="1" applyAlignment="1">
      <alignment horizontal="left" vertical="center" indent="1"/>
    </xf>
    <xf numFmtId="0" fontId="167" fillId="0" borderId="0" xfId="0" applyFont="1" applyAlignment="1">
      <alignment horizontal="left" vertical="center" indent="1"/>
    </xf>
    <xf numFmtId="0" fontId="167" fillId="0" borderId="0" xfId="0" applyFont="1" applyAlignment="1">
      <alignment horizontal="left" vertical="center"/>
    </xf>
    <xf numFmtId="164" fontId="167" fillId="0" borderId="0" xfId="0" applyNumberFormat="1" applyFont="1" applyBorder="1" applyAlignment="1">
      <alignment vertical="center"/>
    </xf>
    <xf numFmtId="164" fontId="167" fillId="0" borderId="1" xfId="0" applyNumberFormat="1" applyFont="1" applyBorder="1" applyAlignment="1">
      <alignment vertical="center"/>
    </xf>
    <xf numFmtId="0" fontId="171" fillId="0" borderId="0" xfId="0" applyFont="1" applyAlignment="1">
      <alignment horizontal="right" vertical="center"/>
    </xf>
    <xf numFmtId="164" fontId="171" fillId="0" borderId="6" xfId="0" applyNumberFormat="1" applyFont="1" applyBorder="1" applyAlignment="1">
      <alignment vertical="center"/>
    </xf>
    <xf numFmtId="0" fontId="167" fillId="0" borderId="0" xfId="0" applyFont="1" applyAlignment="1">
      <alignment horizontal="left" indent="1"/>
    </xf>
    <xf numFmtId="0" fontId="167" fillId="0" borderId="0" xfId="0" applyFont="1" applyAlignment="1">
      <alignment horizontal="right"/>
    </xf>
    <xf numFmtId="164" fontId="167" fillId="0" borderId="0" xfId="0" applyNumberFormat="1" applyFont="1" applyBorder="1"/>
    <xf numFmtId="164" fontId="167" fillId="0" borderId="0" xfId="0" applyNumberFormat="1" applyFont="1"/>
    <xf numFmtId="0" fontId="170" fillId="0" borderId="0" xfId="0" applyFont="1" applyAlignment="1">
      <alignment horizontal="right"/>
    </xf>
    <xf numFmtId="0" fontId="170" fillId="0" borderId="0" xfId="0" applyFont="1" applyFill="1" applyAlignment="1">
      <alignment horizontal="left" indent="1"/>
    </xf>
    <xf numFmtId="0" fontId="167" fillId="0" borderId="0" xfId="0" applyFont="1" applyFill="1"/>
    <xf numFmtId="0" fontId="167" fillId="0" borderId="0" xfId="0" applyFont="1" applyAlignment="1">
      <alignment horizontal="right" vertical="center"/>
    </xf>
    <xf numFmtId="0" fontId="171" fillId="0" borderId="0" xfId="0" applyFont="1" applyAlignment="1">
      <alignment horizontal="right"/>
    </xf>
    <xf numFmtId="164" fontId="171" fillId="0" borderId="0" xfId="0" applyNumberFormat="1" applyFont="1"/>
    <xf numFmtId="164" fontId="171" fillId="0" borderId="4" xfId="0" applyNumberFormat="1" applyFont="1" applyBorder="1" applyAlignment="1">
      <alignment vertical="center"/>
    </xf>
    <xf numFmtId="0" fontId="167" fillId="0" borderId="5" xfId="0" applyFont="1" applyBorder="1"/>
    <xf numFmtId="0" fontId="167" fillId="0" borderId="0" xfId="0" applyFont="1" applyAlignment="1">
      <alignment vertical="center" textRotation="45"/>
    </xf>
    <xf numFmtId="164" fontId="170" fillId="0" borderId="0" xfId="0" applyNumberFormat="1" applyFont="1" applyFill="1"/>
    <xf numFmtId="164" fontId="171" fillId="0" borderId="2" xfId="0" applyNumberFormat="1" applyFont="1" applyBorder="1" applyAlignment="1">
      <alignment vertical="center"/>
    </xf>
    <xf numFmtId="168" fontId="48" fillId="0" borderId="0" xfId="0" applyNumberFormat="1" applyFont="1" applyFill="1" applyAlignment="1">
      <alignment horizontal="center"/>
    </xf>
    <xf numFmtId="164" fontId="173" fillId="0" borderId="0" xfId="2399" applyNumberFormat="1" applyFont="1" applyFill="1"/>
    <xf numFmtId="172" fontId="29" fillId="0" borderId="0" xfId="0" applyNumberFormat="1" applyFont="1"/>
    <xf numFmtId="186" fontId="9" fillId="0" borderId="6" xfId="1" applyNumberFormat="1" applyFont="1" applyBorder="1"/>
    <xf numFmtId="4" fontId="147" fillId="0" borderId="0" xfId="2389" applyNumberFormat="1" applyFont="1" applyFill="1"/>
    <xf numFmtId="43" fontId="173" fillId="0" borderId="0" xfId="1" applyFont="1" applyFill="1"/>
    <xf numFmtId="0" fontId="9" fillId="0" borderId="0" xfId="2389" applyFont="1" applyFill="1" applyAlignment="1">
      <alignment horizontal="left" indent="2"/>
    </xf>
    <xf numFmtId="0" fontId="9" fillId="0" borderId="0" xfId="0" applyFont="1" applyAlignment="1">
      <alignment horizontal="left" indent="2"/>
    </xf>
    <xf numFmtId="0" fontId="9" fillId="0" borderId="0" xfId="2398" applyFont="1" applyAlignment="1">
      <alignment horizontal="left" indent="2"/>
    </xf>
    <xf numFmtId="0" fontId="8" fillId="0" borderId="0" xfId="0" applyFont="1" applyFill="1" applyBorder="1" applyAlignment="1">
      <alignment horizontal="center" vertical="center"/>
    </xf>
    <xf numFmtId="0" fontId="8" fillId="0" borderId="0" xfId="2389" applyFont="1" applyFill="1" applyAlignment="1">
      <alignment horizontal="center"/>
    </xf>
    <xf numFmtId="43" fontId="8" fillId="0" borderId="0" xfId="1" applyFont="1" applyFill="1" applyAlignment="1">
      <alignment horizontal="center"/>
    </xf>
    <xf numFmtId="0" fontId="8" fillId="0" borderId="1" xfId="2389" applyFont="1" applyFill="1" applyBorder="1" applyAlignment="1">
      <alignment horizontal="center"/>
    </xf>
    <xf numFmtId="0" fontId="29" fillId="0" borderId="0" xfId="2389" applyFont="1" applyFill="1" applyAlignment="1">
      <alignment horizontal="right"/>
    </xf>
    <xf numFmtId="44" fontId="29" fillId="0" borderId="0" xfId="2" applyFont="1" applyFill="1" applyAlignment="1">
      <alignment horizontal="right"/>
    </xf>
    <xf numFmtId="43" fontId="9" fillId="0" borderId="0" xfId="1" applyNumberFormat="1" applyFont="1" applyFill="1"/>
    <xf numFmtId="43" fontId="9" fillId="0" borderId="1" xfId="1" applyNumberFormat="1" applyFont="1" applyFill="1" applyBorder="1"/>
    <xf numFmtId="43" fontId="9" fillId="0" borderId="0" xfId="2389" applyNumberFormat="1" applyFont="1" applyFill="1"/>
    <xf numFmtId="10" fontId="9" fillId="0" borderId="0" xfId="2389" applyNumberFormat="1" applyFont="1" applyFill="1" applyAlignment="1">
      <alignment horizontal="center"/>
    </xf>
    <xf numFmtId="0" fontId="9" fillId="0" borderId="0" xfId="2389" applyFont="1" applyFill="1" applyBorder="1" applyAlignment="1">
      <alignment horizontal="center"/>
    </xf>
    <xf numFmtId="10" fontId="9" fillId="0" borderId="0" xfId="2389" applyNumberFormat="1" applyFont="1" applyFill="1" applyBorder="1" applyAlignment="1">
      <alignment horizontal="center"/>
    </xf>
    <xf numFmtId="0" fontId="8" fillId="0" borderId="0" xfId="2389" applyFont="1" applyFill="1" applyAlignment="1">
      <alignment horizontal="right" indent="1"/>
    </xf>
    <xf numFmtId="0" fontId="8" fillId="0" borderId="1" xfId="2389" applyFont="1" applyFill="1" applyBorder="1" applyAlignment="1">
      <alignment horizontal="right" indent="1"/>
    </xf>
    <xf numFmtId="0" fontId="9" fillId="60" borderId="0" xfId="2389" applyFont="1" applyFill="1"/>
    <xf numFmtId="43" fontId="9" fillId="60" borderId="0" xfId="1" applyFont="1" applyFill="1"/>
    <xf numFmtId="0" fontId="93" fillId="0" borderId="0" xfId="2398" applyFont="1" applyAlignment="1">
      <alignment horizontal="center" vertical="center"/>
    </xf>
    <xf numFmtId="0" fontId="9" fillId="0" borderId="0" xfId="2389" applyFont="1" applyFill="1" applyAlignment="1">
      <alignment vertical="center"/>
    </xf>
    <xf numFmtId="17" fontId="93" fillId="0" borderId="0" xfId="2398" quotePrefix="1" applyNumberFormat="1" applyFont="1" applyAlignment="1">
      <alignment horizontal="right" vertical="center" wrapText="1" indent="1"/>
    </xf>
    <xf numFmtId="17" fontId="93" fillId="0" borderId="0" xfId="2398" applyNumberFormat="1" applyFont="1" applyAlignment="1">
      <alignment horizontal="right" vertical="center" indent="1"/>
    </xf>
    <xf numFmtId="43" fontId="9" fillId="0" borderId="0" xfId="2399" applyNumberFormat="1" applyFont="1" applyFill="1"/>
    <xf numFmtId="43" fontId="9" fillId="0" borderId="6" xfId="2400" applyNumberFormat="1" applyFont="1" applyFill="1" applyBorder="1"/>
    <xf numFmtId="43" fontId="173" fillId="0" borderId="0" xfId="1" applyNumberFormat="1" applyFont="1" applyFill="1"/>
    <xf numFmtId="0" fontId="169" fillId="0" borderId="0" xfId="0" applyFont="1" applyFill="1" applyBorder="1" applyAlignment="1">
      <alignment horizontal="right" vertical="center"/>
    </xf>
    <xf numFmtId="0" fontId="144" fillId="60" borderId="0" xfId="2" applyNumberFormat="1" applyFont="1" applyFill="1" applyAlignment="1">
      <alignment horizontal="right" vertical="center"/>
    </xf>
    <xf numFmtId="0" fontId="144" fillId="60" borderId="0" xfId="1" applyNumberFormat="1" applyFont="1" applyFill="1" applyAlignment="1">
      <alignment horizontal="right" vertical="center"/>
    </xf>
    <xf numFmtId="0" fontId="144" fillId="60" borderId="0" xfId="1" applyNumberFormat="1" applyFont="1" applyFill="1" applyAlignment="1">
      <alignment horizontal="right" vertical="center" indent="1"/>
    </xf>
    <xf numFmtId="0" fontId="140" fillId="0" borderId="0" xfId="0" applyFont="1" applyAlignment="1">
      <alignment horizontal="right" vertical="center" indent="4"/>
    </xf>
    <xf numFmtId="0" fontId="140" fillId="0" borderId="0" xfId="0" applyFont="1" applyAlignment="1">
      <alignment horizontal="left" vertical="center"/>
    </xf>
    <xf numFmtId="0" fontId="144" fillId="60" borderId="0" xfId="0" applyNumberFormat="1" applyFont="1" applyFill="1" applyAlignment="1">
      <alignment horizontal="left" vertical="center" indent="1"/>
    </xf>
    <xf numFmtId="0" fontId="140" fillId="0" borderId="0" xfId="0" applyFont="1" applyAlignment="1">
      <alignment horizontal="left" vertical="center" indent="1"/>
    </xf>
    <xf numFmtId="0" fontId="144" fillId="60" borderId="0" xfId="0" applyNumberFormat="1" applyFont="1" applyFill="1" applyAlignment="1">
      <alignment vertical="center"/>
    </xf>
    <xf numFmtId="44" fontId="160" fillId="0" borderId="0" xfId="2" applyNumberFormat="1" applyFont="1" applyFill="1" applyBorder="1" applyAlignment="1">
      <alignment vertical="center"/>
    </xf>
    <xf numFmtId="0" fontId="134" fillId="0" borderId="0" xfId="0" applyFont="1" applyFill="1" applyAlignment="1">
      <alignment vertical="center"/>
    </xf>
    <xf numFmtId="0" fontId="144" fillId="60" borderId="0" xfId="0" applyNumberFormat="1" applyFont="1" applyFill="1" applyAlignment="1">
      <alignment horizontal="left" vertical="center" wrapText="1" indent="1"/>
    </xf>
    <xf numFmtId="0" fontId="140" fillId="0" borderId="0" xfId="0" applyFont="1" applyAlignment="1">
      <alignment horizontal="left" indent="1"/>
    </xf>
    <xf numFmtId="175" fontId="140" fillId="0" borderId="0" xfId="0" applyNumberFormat="1" applyFont="1" applyAlignment="1">
      <alignment horizontal="left" indent="1"/>
    </xf>
    <xf numFmtId="175" fontId="140" fillId="0" borderId="0" xfId="0" applyNumberFormat="1" applyFont="1" applyFill="1" applyAlignment="1">
      <alignment horizontal="left" indent="1"/>
    </xf>
    <xf numFmtId="0" fontId="167" fillId="0" borderId="0" xfId="0" applyNumberFormat="1" applyFont="1" applyFill="1"/>
    <xf numFmtId="0" fontId="174" fillId="0" borderId="0" xfId="0" applyNumberFormat="1" applyFont="1" applyFill="1" applyAlignment="1"/>
    <xf numFmtId="0" fontId="168" fillId="0" borderId="0" xfId="0" applyNumberFormat="1" applyFont="1" applyBorder="1" applyAlignment="1">
      <alignment horizontal="left"/>
    </xf>
    <xf numFmtId="0" fontId="168" fillId="0" borderId="0" xfId="0" applyFont="1" applyBorder="1" applyAlignment="1">
      <alignment horizontal="right" indent="1"/>
    </xf>
    <xf numFmtId="0" fontId="169" fillId="0" borderId="0" xfId="0" applyFont="1" applyFill="1" applyBorder="1" applyAlignment="1">
      <alignment horizontal="right" indent="1"/>
    </xf>
    <xf numFmtId="0" fontId="167" fillId="0" borderId="0" xfId="0" applyNumberFormat="1" applyFont="1" applyFill="1" applyBorder="1" applyAlignment="1">
      <alignment vertical="center"/>
    </xf>
    <xf numFmtId="164" fontId="167" fillId="0" borderId="0" xfId="0" applyNumberFormat="1" applyFont="1" applyFill="1" applyBorder="1" applyAlignment="1">
      <alignment vertical="center"/>
    </xf>
    <xf numFmtId="0" fontId="167" fillId="0" borderId="0" xfId="0" applyFont="1" applyFill="1" applyAlignment="1">
      <alignment vertical="center"/>
    </xf>
    <xf numFmtId="164" fontId="167" fillId="0" borderId="1" xfId="0" applyNumberFormat="1" applyFont="1" applyFill="1" applyBorder="1" applyAlignment="1">
      <alignment vertical="center"/>
    </xf>
    <xf numFmtId="0" fontId="174" fillId="0" borderId="0" xfId="0" applyNumberFormat="1" applyFont="1" applyFill="1" applyBorder="1" applyAlignment="1">
      <alignment vertical="center"/>
    </xf>
    <xf numFmtId="164" fontId="174" fillId="0" borderId="0" xfId="0" applyNumberFormat="1" applyFont="1" applyFill="1" applyBorder="1" applyAlignment="1">
      <alignment vertical="center"/>
    </xf>
    <xf numFmtId="0" fontId="167" fillId="0" borderId="0" xfId="0" applyFont="1" applyFill="1" applyBorder="1" applyAlignment="1">
      <alignment vertical="center"/>
    </xf>
    <xf numFmtId="164" fontId="167" fillId="0" borderId="0" xfId="1" applyNumberFormat="1" applyFont="1" applyFill="1" applyBorder="1" applyAlignment="1">
      <alignment vertical="center"/>
    </xf>
    <xf numFmtId="0" fontId="167" fillId="0" borderId="0" xfId="0" applyNumberFormat="1" applyFont="1" applyFill="1" applyAlignment="1">
      <alignment horizontal="right" vertical="center" indent="1"/>
    </xf>
    <xf numFmtId="43" fontId="167" fillId="0" borderId="0" xfId="1" applyFont="1" applyFill="1" applyAlignment="1">
      <alignment vertical="center"/>
    </xf>
    <xf numFmtId="0" fontId="174" fillId="0" borderId="0" xfId="0" applyNumberFormat="1" applyFont="1" applyFill="1" applyBorder="1" applyAlignment="1">
      <alignment horizontal="right" vertical="center" indent="1"/>
    </xf>
    <xf numFmtId="0" fontId="167" fillId="0" borderId="0" xfId="0" applyFont="1" applyFill="1" applyBorder="1" applyAlignment="1">
      <alignment horizontal="right" vertical="center" indent="1"/>
    </xf>
    <xf numFmtId="0" fontId="167" fillId="0" borderId="0" xfId="0" applyFont="1" applyFill="1" applyAlignment="1">
      <alignment horizontal="right" vertical="center" indent="1"/>
    </xf>
    <xf numFmtId="0" fontId="176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left" vertical="center" indent="1"/>
    </xf>
    <xf numFmtId="0" fontId="8" fillId="0" borderId="0" xfId="0" applyFont="1" applyFill="1" applyAlignment="1">
      <alignment horizontal="left" vertical="center" indent="1"/>
    </xf>
    <xf numFmtId="0" fontId="8" fillId="0" borderId="0" xfId="0" quotePrefix="1" applyFont="1" applyFill="1" applyBorder="1" applyAlignment="1">
      <alignment horizontal="right" vertical="center" indent="1"/>
    </xf>
    <xf numFmtId="0" fontId="9" fillId="0" borderId="0" xfId="0" applyFont="1" applyFill="1" applyAlignment="1">
      <alignment horizontal="left" vertical="center"/>
    </xf>
    <xf numFmtId="10" fontId="9" fillId="0" borderId="0" xfId="0" applyNumberFormat="1" applyFont="1" applyFill="1" applyBorder="1" applyAlignment="1">
      <alignment vertical="center"/>
    </xf>
    <xf numFmtId="167" fontId="154" fillId="0" borderId="0" xfId="0" applyNumberFormat="1" applyFont="1" applyFill="1" applyBorder="1" applyAlignment="1">
      <alignment horizontal="right" indent="1"/>
    </xf>
    <xf numFmtId="167" fontId="154" fillId="0" borderId="0" xfId="0" applyNumberFormat="1" applyFont="1" applyFill="1" applyBorder="1" applyAlignment="1">
      <alignment horizontal="center"/>
    </xf>
    <xf numFmtId="0" fontId="158" fillId="0" borderId="0" xfId="0" applyFont="1" applyAlignment="1">
      <alignment horizontal="right" vertical="center"/>
    </xf>
    <xf numFmtId="0" fontId="177" fillId="0" borderId="0" xfId="0" applyNumberFormat="1" applyFont="1" applyFill="1" applyAlignment="1"/>
    <xf numFmtId="0" fontId="167" fillId="0" borderId="0" xfId="0" applyNumberFormat="1" applyFont="1" applyFill="1" applyBorder="1" applyAlignment="1">
      <alignment horizontal="center" vertical="center"/>
    </xf>
    <xf numFmtId="0" fontId="168" fillId="0" borderId="0" xfId="0" applyNumberFormat="1" applyFont="1" applyBorder="1" applyAlignment="1">
      <alignment horizontal="center"/>
    </xf>
    <xf numFmtId="0" fontId="171" fillId="83" borderId="0" xfId="0" applyFont="1" applyFill="1" applyAlignment="1">
      <alignment horizontal="left" vertical="center"/>
    </xf>
    <xf numFmtId="0" fontId="167" fillId="83" borderId="0" xfId="0" applyFont="1" applyFill="1"/>
    <xf numFmtId="0" fontId="9" fillId="0" borderId="0" xfId="0" quotePrefix="1" applyFont="1" applyFill="1" applyBorder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 indent="1"/>
    </xf>
    <xf numFmtId="164" fontId="171" fillId="0" borderId="0" xfId="1" applyNumberFormat="1" applyFont="1" applyFill="1" applyBorder="1" applyAlignment="1">
      <alignment vertical="center"/>
    </xf>
    <xf numFmtId="164" fontId="178" fillId="0" borderId="0" xfId="0" applyNumberFormat="1" applyFont="1" applyFill="1" applyBorder="1" applyAlignment="1">
      <alignment vertical="center"/>
    </xf>
    <xf numFmtId="41" fontId="9" fillId="0" borderId="0" xfId="0" applyNumberFormat="1" applyFont="1" applyFill="1" applyBorder="1"/>
    <xf numFmtId="41" fontId="9" fillId="0" borderId="1" xfId="0" applyNumberFormat="1" applyFont="1" applyFill="1" applyBorder="1"/>
    <xf numFmtId="42" fontId="9" fillId="0" borderId="0" xfId="0" applyNumberFormat="1" applyFont="1" applyFill="1"/>
    <xf numFmtId="42" fontId="9" fillId="0" borderId="0" xfId="0" applyNumberFormat="1" applyFont="1" applyFill="1" applyBorder="1"/>
    <xf numFmtId="41" fontId="9" fillId="0" borderId="0" xfId="1" applyNumberFormat="1" applyFont="1" applyFill="1" applyBorder="1" applyAlignment="1">
      <alignment vertical="center"/>
    </xf>
    <xf numFmtId="41" fontId="9" fillId="0" borderId="0" xfId="1" applyNumberFormat="1" applyFont="1" applyFill="1" applyBorder="1"/>
    <xf numFmtId="42" fontId="9" fillId="0" borderId="0" xfId="1" applyNumberFormat="1" applyFont="1" applyFill="1" applyBorder="1" applyAlignment="1">
      <alignment vertical="center"/>
    </xf>
    <xf numFmtId="42" fontId="8" fillId="0" borderId="2" xfId="0" applyNumberFormat="1" applyFont="1" applyFill="1" applyBorder="1" applyAlignment="1">
      <alignment vertical="center"/>
    </xf>
    <xf numFmtId="0" fontId="129" fillId="0" borderId="0" xfId="0" applyFont="1" applyFill="1" applyAlignment="1">
      <alignment horizontal="left" vertical="center" indent="1"/>
    </xf>
    <xf numFmtId="42" fontId="8" fillId="0" borderId="2" xfId="1" applyNumberFormat="1" applyFont="1" applyFill="1" applyBorder="1" applyAlignment="1">
      <alignment vertical="center"/>
    </xf>
    <xf numFmtId="0" fontId="29" fillId="0" borderId="0" xfId="0" applyFont="1" applyFill="1" applyAlignment="1">
      <alignment horizontal="left"/>
    </xf>
    <xf numFmtId="0" fontId="29" fillId="0" borderId="0" xfId="0" applyFont="1" applyFill="1" applyAlignment="1"/>
    <xf numFmtId="42" fontId="138" fillId="0" borderId="0" xfId="0" applyNumberFormat="1" applyFont="1" applyFill="1"/>
    <xf numFmtId="0" fontId="144" fillId="60" borderId="0" xfId="1" applyNumberFormat="1" applyFont="1" applyFill="1" applyAlignment="1">
      <alignment horizontal="right" vertical="center" wrapText="1"/>
    </xf>
    <xf numFmtId="43" fontId="140" fillId="0" borderId="0" xfId="2" applyNumberFormat="1" applyFont="1" applyBorder="1"/>
    <xf numFmtId="175" fontId="179" fillId="0" borderId="0" xfId="0" quotePrefix="1" applyNumberFormat="1" applyFont="1" applyFill="1" applyBorder="1" applyAlignment="1">
      <alignment horizontal="left" vertical="center" indent="1"/>
    </xf>
    <xf numFmtId="175" fontId="179" fillId="0" borderId="0" xfId="0" quotePrefix="1" applyNumberFormat="1" applyFont="1" applyFill="1" applyBorder="1" applyAlignment="1">
      <alignment vertical="center"/>
    </xf>
    <xf numFmtId="44" fontId="140" fillId="84" borderId="0" xfId="0" applyNumberFormat="1" applyFont="1" applyFill="1"/>
    <xf numFmtId="43" fontId="180" fillId="0" borderId="0" xfId="0" applyNumberFormat="1" applyFont="1" applyFill="1"/>
    <xf numFmtId="43" fontId="180" fillId="0" borderId="0" xfId="0" applyNumberFormat="1" applyFont="1"/>
    <xf numFmtId="0" fontId="180" fillId="78" borderId="0" xfId="0" applyFont="1" applyFill="1" applyAlignment="1">
      <alignment vertical="center"/>
    </xf>
    <xf numFmtId="0" fontId="180" fillId="80" borderId="0" xfId="0" applyFont="1" applyFill="1" applyAlignment="1">
      <alignment vertical="center"/>
    </xf>
    <xf numFmtId="0" fontId="181" fillId="80" borderId="0" xfId="0" quotePrefix="1" applyFont="1" applyFill="1" applyAlignment="1">
      <alignment vertical="center"/>
    </xf>
    <xf numFmtId="0" fontId="180" fillId="0" borderId="0" xfId="0" applyFont="1" applyAlignment="1">
      <alignment vertical="center"/>
    </xf>
    <xf numFmtId="0" fontId="182" fillId="0" borderId="0" xfId="0" applyFont="1" applyAlignment="1">
      <alignment vertical="center"/>
    </xf>
    <xf numFmtId="43" fontId="7" fillId="0" borderId="0" xfId="1" applyNumberFormat="1" applyFont="1"/>
    <xf numFmtId="43" fontId="7" fillId="0" borderId="1" xfId="1" applyNumberFormat="1" applyFont="1" applyBorder="1"/>
    <xf numFmtId="44" fontId="183" fillId="0" borderId="0" xfId="2" applyFont="1" applyFill="1" applyBorder="1"/>
    <xf numFmtId="0" fontId="129" fillId="0" borderId="0" xfId="2398" applyFont="1" applyAlignment="1">
      <alignment horizontal="center"/>
    </xf>
    <xf numFmtId="17" fontId="129" fillId="0" borderId="0" xfId="2398" quotePrefix="1" applyNumberFormat="1" applyFont="1" applyAlignment="1">
      <alignment horizontal="right" wrapText="1" indent="1"/>
    </xf>
    <xf numFmtId="17" fontId="129" fillId="0" borderId="0" xfId="2398" applyNumberFormat="1" applyFont="1" applyAlignment="1">
      <alignment horizontal="right" indent="1"/>
    </xf>
    <xf numFmtId="164" fontId="9" fillId="0" borderId="1" xfId="2399" applyNumberFormat="1" applyFont="1" applyFill="1" applyBorder="1"/>
    <xf numFmtId="0" fontId="183" fillId="0" borderId="0" xfId="2389" applyFont="1" applyFill="1"/>
    <xf numFmtId="0" fontId="8" fillId="79" borderId="0" xfId="2389" applyFont="1" applyFill="1"/>
    <xf numFmtId="0" fontId="8" fillId="79" borderId="0" xfId="2389" applyFont="1" applyFill="1" applyAlignment="1">
      <alignment horizontal="right"/>
    </xf>
    <xf numFmtId="0" fontId="48" fillId="0" borderId="0" xfId="2387" applyNumberFormat="1" applyFont="1" applyAlignment="1">
      <alignment horizontal="right" indent="1"/>
    </xf>
    <xf numFmtId="0" fontId="29" fillId="0" borderId="0" xfId="1" applyNumberFormat="1" applyFont="1" applyFill="1"/>
    <xf numFmtId="0" fontId="48" fillId="0" borderId="0" xfId="2387" applyNumberFormat="1" applyFont="1" applyFill="1"/>
    <xf numFmtId="0" fontId="8" fillId="79" borderId="0" xfId="2389" applyFont="1" applyFill="1" applyAlignment="1">
      <alignment horizontal="left"/>
    </xf>
    <xf numFmtId="0" fontId="100" fillId="0" borderId="0" xfId="0" applyFont="1" applyFill="1" applyAlignment="1">
      <alignment vertical="center"/>
    </xf>
    <xf numFmtId="43" fontId="29" fillId="0" borderId="0" xfId="2" applyNumberFormat="1" applyFont="1" applyFill="1"/>
    <xf numFmtId="0" fontId="48" fillId="0" borderId="0" xfId="0" applyFont="1" applyFill="1" applyAlignment="1">
      <alignment horizontal="center" vertical="center"/>
    </xf>
    <xf numFmtId="0" fontId="48" fillId="0" borderId="1" xfId="0" quotePrefix="1" applyFont="1" applyFill="1" applyBorder="1" applyAlignment="1">
      <alignment horizontal="center"/>
    </xf>
    <xf numFmtId="0" fontId="147" fillId="0" borderId="0" xfId="0" applyFont="1" applyFill="1"/>
    <xf numFmtId="43" fontId="48" fillId="0" borderId="0" xfId="1" applyFont="1" applyFill="1" applyAlignment="1">
      <alignment vertical="center"/>
    </xf>
    <xf numFmtId="164" fontId="48" fillId="0" borderId="2" xfId="0" applyNumberFormat="1" applyFont="1" applyFill="1" applyBorder="1"/>
    <xf numFmtId="43" fontId="116" fillId="0" borderId="0" xfId="0" applyNumberFormat="1" applyFont="1" applyFill="1"/>
    <xf numFmtId="5" fontId="140" fillId="0" borderId="0" xfId="0" applyNumberFormat="1" applyFont="1" applyFill="1" applyAlignment="1">
      <alignment horizontal="right"/>
    </xf>
    <xf numFmtId="5" fontId="140" fillId="0" borderId="0" xfId="0" applyNumberFormat="1" applyFont="1" applyFill="1"/>
    <xf numFmtId="0" fontId="140" fillId="0" borderId="0" xfId="0" applyFont="1" applyFill="1" applyAlignment="1">
      <alignment horizontal="right"/>
    </xf>
    <xf numFmtId="0" fontId="140" fillId="0" borderId="0" xfId="0" applyFont="1" applyFill="1" applyBorder="1" applyAlignment="1">
      <alignment horizontal="right"/>
    </xf>
    <xf numFmtId="0" fontId="140" fillId="0" borderId="0" xfId="0" applyFont="1" applyFill="1" applyBorder="1"/>
    <xf numFmtId="43" fontId="140" fillId="0" borderId="0" xfId="1" applyNumberFormat="1" applyFont="1" applyFill="1"/>
    <xf numFmtId="0" fontId="29" fillId="0" borderId="0" xfId="2387" applyNumberFormat="1" applyFont="1"/>
    <xf numFmtId="173" fontId="146" fillId="0" borderId="0" xfId="2387" applyFont="1"/>
    <xf numFmtId="0" fontId="146" fillId="0" borderId="0" xfId="2387" applyNumberFormat="1" applyFont="1"/>
    <xf numFmtId="173" fontId="9" fillId="0" borderId="2" xfId="2387" applyFont="1" applyBorder="1" applyAlignment="1">
      <alignment horizontal="center"/>
    </xf>
    <xf numFmtId="173" fontId="9" fillId="0" borderId="2" xfId="2387" quotePrefix="1" applyFont="1" applyFill="1" applyBorder="1" applyAlignment="1">
      <alignment horizontal="center"/>
    </xf>
    <xf numFmtId="173" fontId="29" fillId="0" borderId="2" xfId="2394" quotePrefix="1" applyFont="1" applyFill="1" applyBorder="1" applyAlignment="1">
      <alignment horizontal="center" vertical="center"/>
    </xf>
    <xf numFmtId="0" fontId="146" fillId="0" borderId="0" xfId="2387" applyNumberFormat="1" applyFont="1" applyAlignment="1">
      <alignment horizontal="right"/>
    </xf>
    <xf numFmtId="41" fontId="146" fillId="0" borderId="0" xfId="2387" applyNumberFormat="1" applyFont="1"/>
    <xf numFmtId="164" fontId="187" fillId="0" borderId="0" xfId="1" applyNumberFormat="1" applyFont="1" applyFill="1"/>
    <xf numFmtId="173" fontId="187" fillId="0" borderId="0" xfId="2387" applyFont="1" applyFill="1"/>
    <xf numFmtId="173" fontId="187" fillId="0" borderId="0" xfId="2387" applyFont="1"/>
    <xf numFmtId="176" fontId="8" fillId="0" borderId="4" xfId="2387" quotePrefix="1" applyNumberFormat="1" applyFont="1" applyFill="1" applyBorder="1" applyAlignment="1">
      <alignment vertical="center"/>
    </xf>
    <xf numFmtId="173" fontId="146" fillId="0" borderId="0" xfId="2387" applyFont="1" applyAlignment="1">
      <alignment horizontal="center"/>
    </xf>
    <xf numFmtId="164" fontId="8" fillId="0" borderId="6" xfId="2391" applyNumberFormat="1" applyFont="1" applyBorder="1" applyAlignment="1">
      <alignment horizontal="left" vertical="center"/>
    </xf>
    <xf numFmtId="0" fontId="9" fillId="0" borderId="0" xfId="2389" applyFont="1" applyBorder="1" applyAlignment="1">
      <alignment horizontal="center"/>
    </xf>
    <xf numFmtId="0" fontId="9" fillId="0" borderId="0" xfId="2390" applyFont="1" applyBorder="1"/>
    <xf numFmtId="0" fontId="9" fillId="0" borderId="0" xfId="2390" applyFont="1" applyFill="1" applyBorder="1"/>
    <xf numFmtId="0" fontId="9" fillId="0" borderId="0" xfId="2389" applyFont="1" applyBorder="1" applyAlignment="1">
      <alignment horizontal="center" vertical="center"/>
    </xf>
    <xf numFmtId="5" fontId="9" fillId="0" borderId="6" xfId="2391" applyNumberFormat="1" applyFont="1" applyBorder="1" applyAlignment="1">
      <alignment vertical="center"/>
    </xf>
    <xf numFmtId="10" fontId="9" fillId="0" borderId="6" xfId="2392" applyNumberFormat="1" applyFont="1" applyBorder="1" applyAlignment="1">
      <alignment vertical="center"/>
    </xf>
    <xf numFmtId="164" fontId="9" fillId="0" borderId="6" xfId="2391" applyNumberFormat="1" applyFont="1" applyBorder="1" applyAlignment="1">
      <alignment vertical="center"/>
    </xf>
    <xf numFmtId="164" fontId="8" fillId="0" borderId="0" xfId="2391" applyNumberFormat="1" applyFont="1" applyBorder="1" applyAlignment="1">
      <alignment horizontal="center" wrapText="1"/>
    </xf>
    <xf numFmtId="173" fontId="146" fillId="0" borderId="0" xfId="2387" applyFont="1" applyFill="1"/>
    <xf numFmtId="7" fontId="9" fillId="0" borderId="0" xfId="2391" applyNumberFormat="1" applyFont="1" applyAlignment="1">
      <alignment vertical="center"/>
    </xf>
    <xf numFmtId="7" fontId="9" fillId="0" borderId="0" xfId="2391" applyNumberFormat="1" applyFont="1" applyFill="1" applyAlignment="1">
      <alignment vertical="center"/>
    </xf>
    <xf numFmtId="0" fontId="9" fillId="0" borderId="0" xfId="2390" applyFont="1" applyAlignment="1">
      <alignment vertical="center"/>
    </xf>
    <xf numFmtId="0" fontId="29" fillId="0" borderId="0" xfId="2" applyNumberFormat="1" applyFont="1" applyFill="1"/>
    <xf numFmtId="0" fontId="124" fillId="0" borderId="0" xfId="1" applyNumberFormat="1" applyFont="1" applyFill="1"/>
    <xf numFmtId="0" fontId="124" fillId="0" borderId="0" xfId="2387" applyNumberFormat="1" applyFont="1" applyFill="1"/>
    <xf numFmtId="173" fontId="9" fillId="0" borderId="0" xfId="2387" applyFont="1" applyFill="1" applyAlignment="1"/>
    <xf numFmtId="173" fontId="9" fillId="0" borderId="0" xfId="2387" applyFont="1" applyAlignment="1"/>
    <xf numFmtId="0" fontId="120" fillId="0" borderId="0" xfId="2389" applyFont="1" applyFill="1" applyAlignment="1">
      <alignment horizontal="center"/>
    </xf>
    <xf numFmtId="164" fontId="167" fillId="0" borderId="0" xfId="1" applyNumberFormat="1" applyFont="1" applyFill="1" applyBorder="1" applyAlignment="1"/>
    <xf numFmtId="0" fontId="174" fillId="0" borderId="0" xfId="0" applyNumberFormat="1" applyFont="1" applyFill="1" applyBorder="1" applyAlignment="1">
      <alignment horizontal="right" indent="1"/>
    </xf>
    <xf numFmtId="164" fontId="171" fillId="0" borderId="0" xfId="1" applyNumberFormat="1" applyFont="1" applyFill="1" applyBorder="1" applyAlignment="1"/>
    <xf numFmtId="0" fontId="9" fillId="0" borderId="0" xfId="2389" applyFont="1" applyFill="1" applyAlignment="1">
      <alignment horizontal="right"/>
    </xf>
    <xf numFmtId="43" fontId="173" fillId="0" borderId="0" xfId="2" applyNumberFormat="1" applyFont="1" applyFill="1"/>
    <xf numFmtId="43" fontId="183" fillId="0" borderId="0" xfId="2" applyNumberFormat="1" applyFont="1" applyFill="1" applyBorder="1"/>
    <xf numFmtId="44" fontId="9" fillId="0" borderId="0" xfId="2389" applyNumberFormat="1" applyFont="1" applyFill="1" applyBorder="1"/>
    <xf numFmtId="43" fontId="183" fillId="0" borderId="0" xfId="2389" applyNumberFormat="1" applyFont="1" applyFill="1" applyBorder="1"/>
    <xf numFmtId="44" fontId="183" fillId="0" borderId="0" xfId="2389" applyNumberFormat="1" applyFont="1" applyFill="1" applyBorder="1"/>
    <xf numFmtId="0" fontId="8" fillId="0" borderId="0" xfId="2389" applyFont="1" applyFill="1" applyBorder="1" applyAlignment="1">
      <alignment horizontal="right"/>
    </xf>
    <xf numFmtId="43" fontId="8" fillId="0" borderId="0" xfId="1" applyFont="1" applyFill="1" applyBorder="1" applyAlignment="1">
      <alignment horizontal="right"/>
    </xf>
    <xf numFmtId="0" fontId="186" fillId="0" borderId="0" xfId="2389" applyFont="1" applyFill="1"/>
    <xf numFmtId="164" fontId="29" fillId="0" borderId="0" xfId="2389" applyNumberFormat="1" applyFont="1" applyFill="1" applyAlignment="1">
      <alignment horizontal="center"/>
    </xf>
    <xf numFmtId="0" fontId="120" fillId="0" borderId="0" xfId="2389" applyFont="1" applyFill="1" applyBorder="1" applyAlignment="1">
      <alignment horizontal="center"/>
    </xf>
    <xf numFmtId="4" fontId="184" fillId="0" borderId="0" xfId="2389" applyNumberFormat="1" applyFont="1" applyFill="1"/>
    <xf numFmtId="0" fontId="184" fillId="0" borderId="0" xfId="2389" applyFont="1" applyFill="1"/>
    <xf numFmtId="0" fontId="189" fillId="0" borderId="0" xfId="2389" applyFont="1" applyFill="1" applyAlignment="1">
      <alignment horizontal="right"/>
    </xf>
    <xf numFmtId="0" fontId="29" fillId="0" borderId="0" xfId="0" applyFont="1" applyFill="1" applyAlignment="1">
      <alignment horizontal="left" indent="1"/>
    </xf>
    <xf numFmtId="0" fontId="29" fillId="0" borderId="0" xfId="2389" applyFont="1" applyFill="1"/>
    <xf numFmtId="43" fontId="29" fillId="0" borderId="0" xfId="1" applyFont="1" applyFill="1" applyAlignment="1">
      <alignment vertical="center"/>
    </xf>
    <xf numFmtId="0" fontId="48" fillId="0" borderId="0" xfId="2389" applyFont="1" applyFill="1" applyAlignment="1">
      <alignment horizontal="right" vertical="center" indent="1"/>
    </xf>
    <xf numFmtId="0" fontId="184" fillId="0" borderId="0" xfId="2389" applyFont="1" applyFill="1" applyAlignment="1">
      <alignment horizontal="left" vertical="center" indent="1"/>
    </xf>
    <xf numFmtId="0" fontId="160" fillId="80" borderId="0" xfId="0" applyFont="1" applyFill="1" applyAlignment="1">
      <alignment vertical="top"/>
    </xf>
    <xf numFmtId="0" fontId="180" fillId="82" borderId="0" xfId="0" applyFont="1" applyFill="1" applyAlignment="1">
      <alignment vertical="center"/>
    </xf>
    <xf numFmtId="173" fontId="29" fillId="0" borderId="0" xfId="2387" applyFont="1" applyAlignment="1">
      <alignment vertical="center"/>
    </xf>
    <xf numFmtId="173" fontId="130" fillId="0" borderId="0" xfId="2387" applyFont="1" applyAlignment="1">
      <alignment vertical="center"/>
    </xf>
    <xf numFmtId="0" fontId="8" fillId="0" borderId="0" xfId="2389" applyFont="1" applyAlignment="1">
      <alignment horizontal="center"/>
    </xf>
    <xf numFmtId="0" fontId="8" fillId="59" borderId="0" xfId="2388" applyFont="1" applyFill="1" applyAlignment="1">
      <alignment horizontal="center" vertical="center"/>
    </xf>
    <xf numFmtId="0" fontId="9" fillId="59" borderId="0" xfId="2388" applyFont="1" applyFill="1" applyAlignment="1">
      <alignment horizontal="centerContinuous"/>
    </xf>
    <xf numFmtId="0" fontId="153" fillId="59" borderId="0" xfId="2388" applyFont="1" applyFill="1"/>
    <xf numFmtId="173" fontId="9" fillId="0" borderId="0" xfId="2387" applyFont="1" applyFill="1" applyAlignment="1">
      <alignment horizontal="centerContinuous"/>
    </xf>
    <xf numFmtId="173" fontId="9" fillId="0" borderId="0" xfId="2387" applyFont="1" applyAlignment="1">
      <alignment horizontal="centerContinuous"/>
    </xf>
    <xf numFmtId="173" fontId="8" fillId="0" borderId="0" xfId="2387" applyFont="1" applyFill="1" applyAlignment="1">
      <alignment horizontal="centerContinuous"/>
    </xf>
    <xf numFmtId="174" fontId="8" fillId="0" borderId="0" xfId="2387" quotePrefix="1" applyNumberFormat="1" applyFont="1" applyAlignment="1">
      <alignment horizontal="centerContinuous"/>
    </xf>
    <xf numFmtId="173" fontId="8" fillId="0" borderId="1" xfId="2387" applyFont="1" applyFill="1" applyBorder="1" applyAlignment="1">
      <alignment horizontal="center" vertical="center"/>
    </xf>
    <xf numFmtId="173" fontId="9" fillId="0" borderId="2" xfId="2387" applyFont="1" applyFill="1" applyBorder="1" applyAlignment="1">
      <alignment horizontal="center" vertical="center"/>
    </xf>
    <xf numFmtId="173" fontId="9" fillId="0" borderId="2" xfId="2387" quotePrefix="1" applyFont="1" applyFill="1" applyBorder="1" applyAlignment="1">
      <alignment horizontal="center" vertical="center"/>
    </xf>
    <xf numFmtId="173" fontId="9" fillId="0" borderId="2" xfId="2387" quotePrefix="1" applyFont="1" applyFill="1" applyBorder="1" applyAlignment="1">
      <alignment horizontal="right" vertical="center" indent="1"/>
    </xf>
    <xf numFmtId="173" fontId="9" fillId="0" borderId="2" xfId="2387" applyFont="1" applyFill="1" applyBorder="1" applyAlignment="1">
      <alignment horizontal="right" vertical="center" indent="1"/>
    </xf>
    <xf numFmtId="176" fontId="9" fillId="0" borderId="6" xfId="2387" quotePrefix="1" applyNumberFormat="1" applyFont="1" applyFill="1" applyBorder="1"/>
    <xf numFmtId="43" fontId="9" fillId="0" borderId="0" xfId="1" applyFont="1"/>
    <xf numFmtId="192" fontId="113" fillId="0" borderId="0" xfId="2387" quotePrefix="1" applyNumberFormat="1" applyFont="1" applyFill="1"/>
    <xf numFmtId="192" fontId="9" fillId="0" borderId="0" xfId="2387" quotePrefix="1" applyNumberFormat="1" applyFont="1" applyFill="1"/>
    <xf numFmtId="192" fontId="9" fillId="0" borderId="0" xfId="2387" quotePrefix="1" applyNumberFormat="1" applyFont="1" applyFill="1" applyBorder="1"/>
    <xf numFmtId="192" fontId="113" fillId="0" borderId="1" xfId="2387" quotePrefix="1" applyNumberFormat="1" applyFont="1" applyFill="1" applyBorder="1"/>
    <xf numFmtId="192" fontId="9" fillId="0" borderId="1" xfId="2387" quotePrefix="1" applyNumberFormat="1" applyFont="1" applyFill="1" applyBorder="1"/>
    <xf numFmtId="173" fontId="9" fillId="0" borderId="0" xfId="2387" applyFont="1" applyFill="1" applyAlignment="1">
      <alignment horizontal="left"/>
    </xf>
    <xf numFmtId="0" fontId="8" fillId="0" borderId="0" xfId="2389" applyFont="1" applyAlignment="1">
      <alignment horizontal="centerContinuous"/>
    </xf>
    <xf numFmtId="0" fontId="8" fillId="0" borderId="0" xfId="2389" quotePrefix="1" applyFont="1" applyAlignment="1">
      <alignment horizontal="centerContinuous"/>
    </xf>
    <xf numFmtId="164" fontId="8" fillId="0" borderId="1" xfId="2391" applyNumberFormat="1" applyFont="1" applyBorder="1" applyAlignment="1">
      <alignment horizontal="center" wrapText="1"/>
    </xf>
    <xf numFmtId="164" fontId="8" fillId="0" borderId="1" xfId="2391" applyNumberFormat="1" applyFont="1" applyFill="1" applyBorder="1" applyAlignment="1">
      <alignment horizontal="right" wrapText="1"/>
    </xf>
    <xf numFmtId="164" fontId="8" fillId="0" borderId="1" xfId="2391" applyNumberFormat="1" applyFont="1" applyBorder="1" applyAlignment="1">
      <alignment horizontal="right" wrapText="1"/>
    </xf>
    <xf numFmtId="164" fontId="8" fillId="0" borderId="1" xfId="2391" quotePrefix="1" applyNumberFormat="1" applyFont="1" applyBorder="1" applyAlignment="1">
      <alignment horizontal="right" wrapText="1"/>
    </xf>
    <xf numFmtId="164" fontId="8" fillId="0" borderId="1" xfId="2391" quotePrefix="1" applyNumberFormat="1" applyFont="1" applyFill="1" applyBorder="1" applyAlignment="1">
      <alignment horizontal="right" wrapText="1"/>
    </xf>
    <xf numFmtId="164" fontId="9" fillId="0" borderId="0" xfId="2391" applyNumberFormat="1" applyFont="1" applyAlignment="1">
      <alignment horizontal="center"/>
    </xf>
    <xf numFmtId="164" fontId="8" fillId="0" borderId="0" xfId="2391" quotePrefix="1" applyNumberFormat="1" applyFont="1" applyAlignment="1">
      <alignment horizontal="center" wrapText="1"/>
    </xf>
    <xf numFmtId="164" fontId="8" fillId="0" borderId="0" xfId="2391" applyNumberFormat="1" applyFont="1" applyAlignment="1">
      <alignment horizontal="center" wrapText="1"/>
    </xf>
    <xf numFmtId="0" fontId="8" fillId="0" borderId="0" xfId="2389" applyFont="1" applyAlignment="1">
      <alignment horizontal="left" vertical="top"/>
    </xf>
    <xf numFmtId="164" fontId="8" fillId="0" borderId="0" xfId="2391" quotePrefix="1" applyNumberFormat="1" applyFont="1" applyFill="1" applyAlignment="1">
      <alignment horizontal="center" wrapText="1"/>
    </xf>
    <xf numFmtId="0" fontId="9" fillId="0" borderId="0" xfId="2389" applyFont="1" applyAlignment="1">
      <alignment horizontal="center" vertical="center"/>
    </xf>
    <xf numFmtId="0" fontId="9" fillId="0" borderId="0" xfId="2391" applyNumberFormat="1" applyFont="1" applyAlignment="1">
      <alignment horizontal="left" vertical="center" indent="1"/>
    </xf>
    <xf numFmtId="5" fontId="9" fillId="0" borderId="0" xfId="5" applyNumberFormat="1" applyFont="1" applyFill="1" applyAlignment="1">
      <alignment vertical="center"/>
    </xf>
    <xf numFmtId="10" fontId="9" fillId="0" borderId="0" xfId="2392" applyNumberFormat="1" applyFont="1" applyBorder="1" applyAlignment="1">
      <alignment vertical="center"/>
    </xf>
    <xf numFmtId="5" fontId="9" fillId="0" borderId="0" xfId="2391" applyNumberFormat="1" applyFont="1" applyAlignment="1">
      <alignment vertical="center"/>
    </xf>
    <xf numFmtId="172" fontId="9" fillId="0" borderId="0" xfId="2391" applyNumberFormat="1" applyFont="1" applyFill="1" applyAlignment="1">
      <alignment vertical="center"/>
    </xf>
    <xf numFmtId="0" fontId="9" fillId="0" borderId="1" xfId="2391" applyNumberFormat="1" applyFont="1" applyBorder="1" applyAlignment="1">
      <alignment horizontal="left" vertical="center" indent="1"/>
    </xf>
    <xf numFmtId="5" fontId="9" fillId="0" borderId="0" xfId="5" applyNumberFormat="1" applyFont="1" applyFill="1" applyBorder="1" applyAlignment="1">
      <alignment vertical="center"/>
    </xf>
    <xf numFmtId="5" fontId="9" fillId="0" borderId="0" xfId="2391" applyNumberFormat="1" applyFont="1" applyFill="1" applyBorder="1" applyAlignment="1">
      <alignment vertical="center"/>
    </xf>
    <xf numFmtId="172" fontId="9" fillId="0" borderId="0" xfId="2391" applyNumberFormat="1" applyFont="1" applyFill="1" applyBorder="1" applyAlignment="1">
      <alignment vertical="center"/>
    </xf>
    <xf numFmtId="164" fontId="8" fillId="0" borderId="0" xfId="2391" applyNumberFormat="1" applyFont="1" applyBorder="1" applyAlignment="1">
      <alignment horizontal="left" vertical="center"/>
    </xf>
    <xf numFmtId="5" fontId="113" fillId="0" borderId="6" xfId="2391" applyNumberFormat="1" applyFont="1" applyBorder="1" applyAlignment="1">
      <alignment vertical="center"/>
    </xf>
    <xf numFmtId="164" fontId="9" fillId="0" borderId="0" xfId="2391" applyNumberFormat="1" applyFont="1" applyBorder="1" applyAlignment="1">
      <alignment vertical="center"/>
    </xf>
    <xf numFmtId="7" fontId="9" fillId="0" borderId="0" xfId="2391" applyNumberFormat="1" applyFont="1" applyBorder="1" applyAlignment="1">
      <alignment vertical="center"/>
    </xf>
    <xf numFmtId="0" fontId="190" fillId="0" borderId="0" xfId="2390" applyFont="1" applyFill="1"/>
    <xf numFmtId="7" fontId="9" fillId="0" borderId="0" xfId="2390" applyNumberFormat="1" applyFont="1" applyAlignment="1"/>
    <xf numFmtId="164" fontId="8" fillId="0" borderId="0" xfId="2391" applyNumberFormat="1" applyFont="1" applyFill="1" applyAlignment="1">
      <alignment horizontal="center" wrapText="1"/>
    </xf>
    <xf numFmtId="7" fontId="9" fillId="0" borderId="0" xfId="2391" applyNumberFormat="1" applyFont="1" applyAlignment="1">
      <alignment horizontal="center" wrapText="1"/>
    </xf>
    <xf numFmtId="0" fontId="9" fillId="0" borderId="0" xfId="2391" applyNumberFormat="1" applyFont="1" applyBorder="1" applyAlignment="1">
      <alignment horizontal="left" vertical="center" indent="1"/>
    </xf>
    <xf numFmtId="173" fontId="48" fillId="0" borderId="0" xfId="2387" applyFont="1" applyFill="1" applyAlignment="1">
      <alignment horizontal="centerContinuous"/>
    </xf>
    <xf numFmtId="173" fontId="48" fillId="0" borderId="0" xfId="2387" applyFont="1" applyAlignment="1">
      <alignment horizontal="centerContinuous"/>
    </xf>
    <xf numFmtId="173" fontId="48" fillId="0" borderId="0" xfId="2387" applyFont="1" applyFill="1" applyAlignment="1">
      <alignment horizontal="center"/>
    </xf>
    <xf numFmtId="173" fontId="48" fillId="0" borderId="0" xfId="2387" quotePrefix="1" applyFont="1" applyFill="1" applyBorder="1" applyAlignment="1">
      <alignment horizontal="center"/>
    </xf>
    <xf numFmtId="0" fontId="154" fillId="0" borderId="0" xfId="2387" applyNumberFormat="1" applyFont="1" applyFill="1" applyAlignment="1">
      <alignment horizontal="center"/>
    </xf>
    <xf numFmtId="0" fontId="29" fillId="0" borderId="1" xfId="2387" quotePrefix="1" applyNumberFormat="1" applyFont="1" applyFill="1" applyBorder="1" applyAlignment="1">
      <alignment horizontal="center"/>
    </xf>
    <xf numFmtId="175" fontId="29" fillId="0" borderId="0" xfId="2387" applyNumberFormat="1" applyFont="1" applyFill="1" applyAlignment="1">
      <alignment horizontal="center"/>
    </xf>
    <xf numFmtId="176" fontId="191" fillId="0" borderId="0" xfId="2387" quotePrefix="1" applyNumberFormat="1" applyFont="1" applyFill="1"/>
    <xf numFmtId="176" fontId="29" fillId="0" borderId="0" xfId="2387" quotePrefix="1" applyNumberFormat="1" applyFont="1" applyFill="1" applyAlignment="1">
      <alignment horizontal="right" indent="1"/>
    </xf>
    <xf numFmtId="176" fontId="29" fillId="0" borderId="0" xfId="2387" quotePrefix="1" applyNumberFormat="1" applyFont="1" applyFill="1" applyAlignment="1">
      <alignment horizontal="right"/>
    </xf>
    <xf numFmtId="0" fontId="186" fillId="0" borderId="0" xfId="2387" applyNumberFormat="1" applyFont="1" applyAlignment="1">
      <alignment vertical="top"/>
    </xf>
    <xf numFmtId="176" fontId="29" fillId="0" borderId="0" xfId="2387" applyNumberFormat="1" applyFont="1" applyFill="1"/>
    <xf numFmtId="176" fontId="29" fillId="0" borderId="0" xfId="2387" quotePrefix="1" applyNumberFormat="1" applyFont="1" applyFill="1"/>
    <xf numFmtId="10" fontId="29" fillId="0" borderId="0" xfId="3" quotePrefix="1" applyNumberFormat="1" applyFont="1" applyFill="1"/>
    <xf numFmtId="0" fontId="155" fillId="0" borderId="0" xfId="2387" applyNumberFormat="1" applyFont="1" applyAlignment="1">
      <alignment vertical="center"/>
    </xf>
    <xf numFmtId="175" fontId="29" fillId="0" borderId="0" xfId="2387" applyNumberFormat="1" applyFont="1" applyFill="1" applyAlignment="1">
      <alignment horizontal="center" vertical="center"/>
    </xf>
    <xf numFmtId="42" fontId="191" fillId="0" borderId="0" xfId="2387" quotePrefix="1" applyNumberFormat="1" applyFont="1" applyFill="1" applyAlignment="1">
      <alignment vertical="center"/>
    </xf>
    <xf numFmtId="42" fontId="29" fillId="0" borderId="0" xfId="2387" quotePrefix="1" applyNumberFormat="1" applyFont="1" applyFill="1" applyAlignment="1">
      <alignment vertical="center"/>
    </xf>
    <xf numFmtId="10" fontId="191" fillId="0" borderId="0" xfId="3" quotePrefix="1" applyNumberFormat="1" applyFont="1" applyFill="1" applyAlignment="1">
      <alignment vertical="center"/>
    </xf>
    <xf numFmtId="176" fontId="29" fillId="0" borderId="0" xfId="2387" quotePrefix="1" applyNumberFormat="1" applyFont="1" applyFill="1" applyAlignment="1">
      <alignment vertical="center"/>
    </xf>
    <xf numFmtId="176" fontId="191" fillId="0" borderId="0" xfId="2387" quotePrefix="1" applyNumberFormat="1" applyFont="1" applyFill="1" applyAlignment="1">
      <alignment vertical="center"/>
    </xf>
    <xf numFmtId="3" fontId="29" fillId="0" borderId="0" xfId="2387" applyNumberFormat="1" applyFont="1" applyAlignment="1">
      <alignment vertical="center"/>
    </xf>
    <xf numFmtId="41" fontId="29" fillId="0" borderId="0" xfId="2387" applyNumberFormat="1" applyFont="1" applyAlignment="1">
      <alignment vertical="center"/>
    </xf>
    <xf numFmtId="41" fontId="191" fillId="0" borderId="0" xfId="2387" quotePrefix="1" applyNumberFormat="1" applyFont="1" applyFill="1" applyAlignment="1">
      <alignment vertical="center"/>
    </xf>
    <xf numFmtId="41" fontId="29" fillId="0" borderId="0" xfId="2387" quotePrefix="1" applyNumberFormat="1" applyFont="1" applyFill="1" applyAlignment="1">
      <alignment vertical="center"/>
    </xf>
    <xf numFmtId="175" fontId="29" fillId="0" borderId="1" xfId="2387" applyNumberFormat="1" applyFont="1" applyFill="1" applyBorder="1" applyAlignment="1">
      <alignment horizontal="center" vertical="center"/>
    </xf>
    <xf numFmtId="41" fontId="191" fillId="0" borderId="1" xfId="2387" quotePrefix="1" applyNumberFormat="1" applyFont="1" applyFill="1" applyBorder="1" applyAlignment="1">
      <alignment vertical="center"/>
    </xf>
    <xf numFmtId="41" fontId="29" fillId="0" borderId="1" xfId="2387" quotePrefix="1" applyNumberFormat="1" applyFont="1" applyFill="1" applyBorder="1" applyAlignment="1">
      <alignment vertical="center"/>
    </xf>
    <xf numFmtId="10" fontId="191" fillId="0" borderId="1" xfId="3" quotePrefix="1" applyNumberFormat="1" applyFont="1" applyFill="1" applyBorder="1" applyAlignment="1">
      <alignment vertical="center"/>
    </xf>
    <xf numFmtId="175" fontId="29" fillId="0" borderId="0" xfId="2387" applyNumberFormat="1" applyFont="1" applyFill="1" applyAlignment="1">
      <alignment vertical="center"/>
    </xf>
    <xf numFmtId="176" fontId="154" fillId="0" borderId="4" xfId="2387" quotePrefix="1" applyNumberFormat="1" applyFont="1" applyFill="1" applyBorder="1" applyAlignment="1">
      <alignment vertical="center"/>
    </xf>
    <xf numFmtId="176" fontId="154" fillId="0" borderId="4" xfId="2387" applyNumberFormat="1" applyFont="1" applyFill="1" applyBorder="1" applyAlignment="1">
      <alignment vertical="center"/>
    </xf>
    <xf numFmtId="177" fontId="48" fillId="0" borderId="0" xfId="2387" quotePrefix="1" applyNumberFormat="1" applyFont="1" applyFill="1"/>
    <xf numFmtId="178" fontId="48" fillId="0" borderId="0" xfId="3" quotePrefix="1" applyNumberFormat="1" applyFont="1" applyFill="1"/>
    <xf numFmtId="44" fontId="48" fillId="0" borderId="0" xfId="2387" quotePrefix="1" applyNumberFormat="1" applyFont="1" applyFill="1"/>
    <xf numFmtId="173" fontId="48" fillId="0" borderId="0" xfId="2387" applyFont="1" applyAlignment="1">
      <alignment horizontal="left" indent="1"/>
    </xf>
    <xf numFmtId="1" fontId="48" fillId="0" borderId="0" xfId="2387" applyNumberFormat="1" applyFont="1"/>
    <xf numFmtId="0" fontId="8" fillId="0" borderId="0" xfId="0" applyNumberFormat="1" applyFont="1" applyFill="1" applyAlignment="1">
      <alignment horizontal="centerContinuous"/>
    </xf>
    <xf numFmtId="0" fontId="9" fillId="0" borderId="0" xfId="2387" applyNumberFormat="1" applyFont="1" applyFill="1" applyAlignment="1">
      <alignment horizontal="centerContinuous"/>
    </xf>
    <xf numFmtId="0" fontId="8" fillId="0" borderId="0" xfId="2387" applyNumberFormat="1" applyFont="1" applyFill="1" applyAlignment="1">
      <alignment horizontal="centerContinuous"/>
    </xf>
    <xf numFmtId="0" fontId="29" fillId="0" borderId="0" xfId="2387" applyNumberFormat="1" applyFont="1" applyFill="1" applyAlignment="1">
      <alignment horizontal="centerContinuous"/>
    </xf>
    <xf numFmtId="0" fontId="8" fillId="0" borderId="0" xfId="2387" quotePrefix="1" applyNumberFormat="1" applyFont="1" applyAlignment="1">
      <alignment horizontal="centerContinuous"/>
    </xf>
    <xf numFmtId="0" fontId="48" fillId="0" borderId="0" xfId="2387" applyNumberFormat="1" applyFont="1"/>
    <xf numFmtId="0" fontId="48" fillId="0" borderId="0" xfId="2387" applyNumberFormat="1" applyFont="1" applyFill="1" applyAlignment="1">
      <alignment horizontal="left"/>
    </xf>
    <xf numFmtId="0" fontId="48" fillId="0" borderId="0" xfId="2387" applyNumberFormat="1" applyFont="1" applyAlignment="1">
      <alignment horizontal="center"/>
    </xf>
    <xf numFmtId="0" fontId="48" fillId="0" borderId="0" xfId="2387" applyNumberFormat="1" applyFont="1" applyFill="1" applyAlignment="1">
      <alignment horizontal="center"/>
    </xf>
    <xf numFmtId="173" fontId="147" fillId="0" borderId="0" xfId="2387" applyFont="1" applyAlignment="1">
      <alignment horizontal="left" vertical="center"/>
    </xf>
    <xf numFmtId="0" fontId="146" fillId="0" borderId="0" xfId="2387" applyNumberFormat="1" applyFont="1" applyAlignment="1">
      <alignment horizontal="center"/>
    </xf>
    <xf numFmtId="0" fontId="8" fillId="0" borderId="1" xfId="2387" applyNumberFormat="1" applyFont="1" applyFill="1" applyBorder="1" applyAlignment="1">
      <alignment horizontal="center"/>
    </xf>
    <xf numFmtId="0" fontId="9" fillId="0" borderId="1" xfId="2387" quotePrefix="1" applyNumberFormat="1" applyFont="1" applyFill="1" applyBorder="1" applyAlignment="1">
      <alignment horizontal="center"/>
    </xf>
    <xf numFmtId="0" fontId="146" fillId="0" borderId="0" xfId="2387" quotePrefix="1" applyNumberFormat="1" applyFont="1" applyFill="1" applyAlignment="1">
      <alignment horizontal="left"/>
    </xf>
    <xf numFmtId="0" fontId="146" fillId="0" borderId="0" xfId="2387" applyNumberFormat="1" applyFont="1" applyFill="1"/>
    <xf numFmtId="0" fontId="154" fillId="0" borderId="0" xfId="2387" applyNumberFormat="1" applyFont="1" applyAlignment="1">
      <alignment vertical="center"/>
    </xf>
    <xf numFmtId="0" fontId="154" fillId="0" borderId="0" xfId="2387" applyNumberFormat="1" applyFont="1" applyFill="1" applyAlignment="1">
      <alignment horizontal="center" vertical="center"/>
    </xf>
    <xf numFmtId="0" fontId="154" fillId="0" borderId="0" xfId="2387" applyNumberFormat="1" applyFont="1" applyAlignment="1">
      <alignment horizontal="center" vertical="center"/>
    </xf>
    <xf numFmtId="0" fontId="147" fillId="0" borderId="0" xfId="2387" quotePrefix="1" applyNumberFormat="1" applyFont="1" applyAlignment="1">
      <alignment horizontal="left" vertical="center"/>
    </xf>
    <xf numFmtId="0" fontId="146" fillId="0" borderId="0" xfId="2387" applyNumberFormat="1" applyFont="1" applyAlignment="1">
      <alignment vertical="center"/>
    </xf>
    <xf numFmtId="0" fontId="147" fillId="0" borderId="0" xfId="2387" quotePrefix="1" applyNumberFormat="1" applyFont="1" applyAlignment="1">
      <alignment vertical="center"/>
    </xf>
    <xf numFmtId="0" fontId="154" fillId="0" borderId="1" xfId="2387" applyNumberFormat="1" applyFont="1" applyBorder="1" applyAlignment="1">
      <alignment horizontal="center" vertical="center"/>
    </xf>
    <xf numFmtId="0" fontId="154" fillId="0" borderId="1" xfId="2387" quotePrefix="1" applyNumberFormat="1" applyFont="1" applyFill="1" applyBorder="1" applyAlignment="1">
      <alignment horizontal="center" vertical="center"/>
    </xf>
    <xf numFmtId="0" fontId="154" fillId="0" borderId="1" xfId="2387" applyNumberFormat="1" applyFont="1" applyFill="1" applyBorder="1" applyAlignment="1">
      <alignment horizontal="center" vertical="center"/>
    </xf>
    <xf numFmtId="0" fontId="147" fillId="0" borderId="0" xfId="2387" applyNumberFormat="1" applyFont="1" applyBorder="1" applyAlignment="1">
      <alignment horizontal="left" vertical="center"/>
    </xf>
    <xf numFmtId="0" fontId="192" fillId="0" borderId="0" xfId="2387" applyNumberFormat="1" applyFont="1" applyBorder="1" applyAlignment="1">
      <alignment vertical="center"/>
    </xf>
    <xf numFmtId="0" fontId="9" fillId="0" borderId="1" xfId="2387" applyNumberFormat="1" applyFont="1" applyBorder="1" applyAlignment="1">
      <alignment horizontal="center"/>
    </xf>
    <xf numFmtId="0" fontId="48" fillId="0" borderId="2" xfId="2394" quotePrefix="1" applyNumberFormat="1" applyFont="1" applyFill="1" applyBorder="1" applyAlignment="1"/>
    <xf numFmtId="0" fontId="48" fillId="0" borderId="2" xfId="2394" quotePrefix="1" applyNumberFormat="1" applyFont="1" applyFill="1" applyBorder="1" applyAlignment="1">
      <alignment horizontal="right"/>
    </xf>
    <xf numFmtId="0" fontId="185" fillId="0" borderId="0" xfId="2387" applyNumberFormat="1" applyFont="1" applyAlignment="1">
      <alignment horizontal="center"/>
    </xf>
    <xf numFmtId="0" fontId="146" fillId="0" borderId="0" xfId="2387" applyNumberFormat="1" applyFont="1" applyAlignment="1"/>
    <xf numFmtId="173" fontId="193" fillId="0" borderId="0" xfId="2387" applyFont="1" applyAlignment="1">
      <alignment horizontal="center" vertical="center"/>
    </xf>
    <xf numFmtId="175" fontId="9" fillId="0" borderId="0" xfId="2387" applyNumberFormat="1" applyFont="1" applyFill="1" applyAlignment="1">
      <alignment horizontal="center" vertical="center"/>
    </xf>
    <xf numFmtId="188" fontId="113" fillId="0" borderId="0" xfId="2387" quotePrefix="1" applyNumberFormat="1" applyFont="1" applyFill="1" applyAlignment="1">
      <alignment vertical="center"/>
    </xf>
    <xf numFmtId="193" fontId="9" fillId="0" borderId="0" xfId="2387" quotePrefix="1" applyNumberFormat="1" applyFont="1" applyFill="1" applyAlignment="1">
      <alignment vertical="center"/>
    </xf>
    <xf numFmtId="188" fontId="9" fillId="0" borderId="0" xfId="2387" quotePrefix="1" applyNumberFormat="1" applyFont="1" applyFill="1" applyAlignment="1">
      <alignment vertical="center"/>
    </xf>
    <xf numFmtId="173" fontId="185" fillId="0" borderId="0" xfId="2387" applyFont="1" applyAlignment="1"/>
    <xf numFmtId="188" fontId="113" fillId="0" borderId="0" xfId="2387" quotePrefix="1" applyNumberFormat="1" applyFont="1" applyFill="1" applyAlignment="1"/>
    <xf numFmtId="188" fontId="9" fillId="0" borderId="0" xfId="2387" quotePrefix="1" applyNumberFormat="1" applyFont="1" applyFill="1" applyAlignment="1"/>
    <xf numFmtId="41" fontId="146" fillId="0" borderId="0" xfId="2387" applyNumberFormat="1" applyFont="1" applyAlignment="1"/>
    <xf numFmtId="41" fontId="194" fillId="0" borderId="0" xfId="2387" applyNumberFormat="1" applyFont="1" applyAlignment="1"/>
    <xf numFmtId="176" fontId="113" fillId="0" borderId="0" xfId="2387" applyNumberFormat="1" applyFont="1" applyFill="1"/>
    <xf numFmtId="188" fontId="9" fillId="0" borderId="0" xfId="2387" applyNumberFormat="1" applyFont="1" applyFill="1"/>
    <xf numFmtId="41" fontId="194" fillId="0" borderId="0" xfId="2387" applyNumberFormat="1" applyFont="1" applyAlignment="1">
      <alignment vertical="center"/>
    </xf>
    <xf numFmtId="189" fontId="113" fillId="0" borderId="0" xfId="2387" quotePrefix="1" applyNumberFormat="1" applyFont="1" applyFill="1" applyAlignment="1">
      <alignment vertical="center"/>
    </xf>
    <xf numFmtId="189" fontId="9" fillId="0" borderId="0" xfId="2387" quotePrefix="1" applyNumberFormat="1" applyFont="1" applyFill="1" applyAlignment="1">
      <alignment vertical="center"/>
    </xf>
    <xf numFmtId="41" fontId="146" fillId="0" borderId="0" xfId="2387" applyNumberFormat="1" applyFont="1" applyAlignment="1">
      <alignment vertical="center"/>
    </xf>
    <xf numFmtId="187" fontId="9" fillId="0" borderId="0" xfId="2387" quotePrefix="1" applyNumberFormat="1" applyFont="1" applyFill="1" applyAlignment="1">
      <alignment vertical="center"/>
    </xf>
    <xf numFmtId="188" fontId="9" fillId="0" borderId="0" xfId="1" applyNumberFormat="1" applyFont="1" applyFill="1"/>
    <xf numFmtId="0" fontId="147" fillId="0" borderId="0" xfId="2387" quotePrefix="1" applyNumberFormat="1" applyFont="1"/>
    <xf numFmtId="173" fontId="29" fillId="0" borderId="0" xfId="2387" applyFont="1" applyAlignment="1">
      <alignment horizontal="left" indent="1"/>
    </xf>
    <xf numFmtId="0" fontId="147" fillId="0" borderId="0" xfId="2387" quotePrefix="1" applyNumberFormat="1" applyFont="1" applyAlignment="1">
      <alignment horizontal="right"/>
    </xf>
    <xf numFmtId="173" fontId="8" fillId="0" borderId="0" xfId="2387" applyFont="1" applyAlignment="1">
      <alignment horizontal="center" vertical="center"/>
    </xf>
    <xf numFmtId="173" fontId="8" fillId="0" borderId="0" xfId="2387" applyFont="1" applyAlignment="1">
      <alignment horizontal="centerContinuous"/>
    </xf>
    <xf numFmtId="173" fontId="9" fillId="0" borderId="1" xfId="2387" quotePrefix="1" applyFont="1" applyFill="1" applyBorder="1" applyAlignment="1">
      <alignment horizontal="center" vertical="center"/>
    </xf>
    <xf numFmtId="173" fontId="8" fillId="0" borderId="0" xfId="2387" applyFont="1" applyAlignment="1">
      <alignment vertical="center"/>
    </xf>
    <xf numFmtId="173" fontId="8" fillId="0" borderId="0" xfId="2387" applyFont="1" applyFill="1" applyAlignment="1">
      <alignment horizontal="center" vertical="center"/>
    </xf>
    <xf numFmtId="173" fontId="8" fillId="0" borderId="1" xfId="2387" applyFont="1" applyBorder="1" applyAlignment="1">
      <alignment horizontal="center" vertical="center"/>
    </xf>
    <xf numFmtId="5" fontId="113" fillId="0" borderId="0" xfId="2387" quotePrefix="1" applyNumberFormat="1" applyFont="1" applyFill="1" applyAlignment="1">
      <alignment horizontal="center" vertical="center"/>
    </xf>
    <xf numFmtId="5" fontId="113" fillId="0" borderId="0" xfId="2387" applyNumberFormat="1" applyFont="1" applyFill="1" applyAlignment="1">
      <alignment horizontal="center" vertical="center"/>
    </xf>
    <xf numFmtId="5" fontId="9" fillId="0" borderId="0" xfId="2387" quotePrefix="1" applyNumberFormat="1" applyFont="1" applyFill="1" applyAlignment="1">
      <alignment horizontal="center" vertical="center"/>
    </xf>
    <xf numFmtId="37" fontId="113" fillId="0" borderId="0" xfId="2387" quotePrefix="1" applyNumberFormat="1" applyFont="1" applyFill="1" applyAlignment="1">
      <alignment horizontal="center" vertical="center"/>
    </xf>
    <xf numFmtId="37" fontId="113" fillId="0" borderId="0" xfId="2387" applyNumberFormat="1" applyFont="1" applyFill="1" applyAlignment="1">
      <alignment horizontal="center" vertical="center"/>
    </xf>
    <xf numFmtId="37" fontId="9" fillId="0" borderId="0" xfId="2387" quotePrefix="1" applyNumberFormat="1" applyFont="1" applyFill="1" applyBorder="1" applyAlignment="1">
      <alignment horizontal="center" vertical="center"/>
    </xf>
    <xf numFmtId="175" fontId="9" fillId="0" borderId="0" xfId="2387" applyNumberFormat="1" applyFont="1" applyFill="1" applyBorder="1" applyAlignment="1">
      <alignment horizontal="center" vertical="center"/>
    </xf>
    <xf numFmtId="37" fontId="9" fillId="0" borderId="1" xfId="2387" quotePrefix="1" applyNumberFormat="1" applyFont="1" applyFill="1" applyBorder="1" applyAlignment="1">
      <alignment horizontal="center" vertical="center"/>
    </xf>
    <xf numFmtId="175" fontId="154" fillId="0" borderId="0" xfId="2387" applyNumberFormat="1" applyFont="1" applyFill="1" applyBorder="1" applyAlignment="1">
      <alignment horizontal="center" vertical="center"/>
    </xf>
    <xf numFmtId="5" fontId="8" fillId="0" borderId="4" xfId="2387" quotePrefix="1" applyNumberFormat="1" applyFont="1" applyFill="1" applyBorder="1" applyAlignment="1">
      <alignment horizontal="center" vertical="center"/>
    </xf>
    <xf numFmtId="5" fontId="120" fillId="0" borderId="4" xfId="2387" quotePrefix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59" borderId="0" xfId="2388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93" fillId="0" borderId="0" xfId="0" applyFont="1" applyFill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/>
    </xf>
    <xf numFmtId="167" fontId="9" fillId="0" borderId="0" xfId="0" applyNumberFormat="1" applyFont="1" applyFill="1" applyBorder="1" applyAlignment="1">
      <alignment horizontal="right" indent="1"/>
    </xf>
    <xf numFmtId="0" fontId="129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42" fontId="8" fillId="0" borderId="6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42" fontId="8" fillId="0" borderId="0" xfId="1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42" fontId="8" fillId="0" borderId="0" xfId="0" applyNumberFormat="1" applyFont="1" applyFill="1" applyBorder="1" applyAlignment="1">
      <alignment vertical="center"/>
    </xf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/>
    </xf>
    <xf numFmtId="0" fontId="106" fillId="0" borderId="0" xfId="0" quotePrefix="1" applyFont="1" applyFill="1" applyBorder="1" applyAlignment="1">
      <alignment horizontal="right"/>
    </xf>
    <xf numFmtId="44" fontId="106" fillId="0" borderId="0" xfId="2" applyFont="1" applyFill="1" applyBorder="1" applyAlignment="1"/>
    <xf numFmtId="0" fontId="9" fillId="0" borderId="0" xfId="0" quotePrefix="1" applyFont="1" applyFill="1" applyBorder="1" applyAlignment="1">
      <alignment horizontal="left"/>
    </xf>
    <xf numFmtId="44" fontId="9" fillId="0" borderId="0" xfId="2" applyFont="1" applyFill="1" applyBorder="1" applyAlignment="1"/>
    <xf numFmtId="0" fontId="106" fillId="0" borderId="0" xfId="0" applyFont="1" applyFill="1" applyBorder="1" applyAlignment="1"/>
    <xf numFmtId="0" fontId="9" fillId="0" borderId="0" xfId="0" applyFont="1" applyFill="1" applyBorder="1" applyAlignment="1"/>
    <xf numFmtId="164" fontId="9" fillId="0" borderId="0" xfId="0" applyNumberFormat="1" applyFont="1" applyFill="1" applyBorder="1" applyAlignment="1"/>
    <xf numFmtId="44" fontId="106" fillId="0" borderId="0" xfId="2" applyFont="1" applyFill="1" applyBorder="1" applyAlignment="1">
      <alignment horizontal="right"/>
    </xf>
    <xf numFmtId="165" fontId="106" fillId="0" borderId="0" xfId="2" applyNumberFormat="1" applyFont="1" applyFill="1" applyBorder="1" applyAlignment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164" fontId="106" fillId="0" borderId="0" xfId="1" applyNumberFormat="1" applyFont="1" applyFill="1" applyBorder="1" applyAlignment="1"/>
    <xf numFmtId="5" fontId="9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quotePrefix="1" applyFont="1" applyFill="1" applyBorder="1" applyAlignment="1">
      <alignment horizontal="left"/>
    </xf>
    <xf numFmtId="0" fontId="93" fillId="0" borderId="0" xfId="0" applyFont="1" applyFill="1" applyBorder="1" applyAlignment="1">
      <alignment horizontal="center"/>
    </xf>
    <xf numFmtId="0" fontId="93" fillId="0" borderId="0" xfId="0" quotePrefix="1" applyFont="1" applyFill="1" applyBorder="1" applyAlignment="1">
      <alignment horizontal="center"/>
    </xf>
    <xf numFmtId="167" fontId="8" fillId="0" borderId="0" xfId="0" applyNumberFormat="1" applyFont="1" applyFill="1" applyBorder="1" applyAlignment="1">
      <alignment horizontal="center"/>
    </xf>
    <xf numFmtId="0" fontId="93" fillId="0" borderId="0" xfId="0" applyFont="1" applyFill="1" applyBorder="1" applyAlignment="1">
      <alignment horizontal="left"/>
    </xf>
    <xf numFmtId="10" fontId="9" fillId="0" borderId="0" xfId="0" applyNumberFormat="1" applyFont="1" applyFill="1" applyBorder="1"/>
    <xf numFmtId="164" fontId="9" fillId="0" borderId="0" xfId="0" applyNumberFormat="1" applyFont="1" applyFill="1" applyBorder="1"/>
    <xf numFmtId="166" fontId="9" fillId="0" borderId="0" xfId="3" applyNumberFormat="1" applyFont="1" applyFill="1" applyBorder="1"/>
    <xf numFmtId="0" fontId="93" fillId="0" borderId="0" xfId="0" quotePrefix="1" applyFont="1" applyFill="1" applyBorder="1" applyAlignment="1">
      <alignment horizontal="left"/>
    </xf>
    <xf numFmtId="164" fontId="9" fillId="0" borderId="0" xfId="5" applyNumberFormat="1" applyFont="1" applyFill="1" applyBorder="1" applyAlignment="1">
      <alignment horizontal="left"/>
    </xf>
    <xf numFmtId="0" fontId="183" fillId="0" borderId="0" xfId="0" applyFont="1" applyFill="1" applyAlignment="1">
      <alignment horizontal="left"/>
    </xf>
    <xf numFmtId="0" fontId="183" fillId="0" borderId="0" xfId="0" applyFont="1" applyFill="1"/>
    <xf numFmtId="164" fontId="183" fillId="0" borderId="0" xfId="0" applyNumberFormat="1" applyFont="1" applyFill="1"/>
    <xf numFmtId="164" fontId="9" fillId="0" borderId="0" xfId="0" applyNumberFormat="1" applyFont="1" applyFill="1"/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8" fillId="60" borderId="0" xfId="0" applyNumberFormat="1" applyFont="1" applyFill="1" applyAlignment="1">
      <alignment vertical="center"/>
    </xf>
    <xf numFmtId="0" fontId="9" fillId="0" borderId="0" xfId="0" applyFont="1" applyFill="1" applyAlignment="1">
      <alignment horizontal="left" indent="1"/>
    </xf>
    <xf numFmtId="0" fontId="8" fillId="0" borderId="1" xfId="0" applyFont="1" applyFill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8" fillId="0" borderId="0" xfId="0" applyFont="1" applyFill="1" applyAlignment="1"/>
    <xf numFmtId="165" fontId="9" fillId="0" borderId="0" xfId="2" applyNumberFormat="1" applyFont="1" applyFill="1" applyBorder="1"/>
    <xf numFmtId="0" fontId="8" fillId="0" borderId="5" xfId="0" applyFont="1" applyFill="1" applyBorder="1" applyAlignment="1"/>
    <xf numFmtId="175" fontId="8" fillId="0" borderId="5" xfId="0" applyNumberFormat="1" applyFont="1" applyFill="1" applyBorder="1" applyAlignment="1">
      <alignment horizontal="right" indent="1"/>
    </xf>
    <xf numFmtId="43" fontId="9" fillId="0" borderId="0" xfId="0" applyNumberFormat="1" applyFont="1" applyFill="1"/>
    <xf numFmtId="0" fontId="106" fillId="0" borderId="0" xfId="0" applyFont="1" applyFill="1" applyBorder="1"/>
    <xf numFmtId="0" fontId="92" fillId="0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8" fillId="0" borderId="0" xfId="2404" applyFont="1" applyFill="1" applyBorder="1" applyAlignment="1">
      <alignment horizontal="center" vertical="center"/>
    </xf>
    <xf numFmtId="165" fontId="9" fillId="0" borderId="0" xfId="2" applyNumberFormat="1" applyFont="1" applyFill="1" applyAlignment="1">
      <alignment vertical="center"/>
    </xf>
    <xf numFmtId="42" fontId="9" fillId="0" borderId="0" xfId="2" applyNumberFormat="1" applyFont="1" applyFill="1" applyAlignment="1"/>
    <xf numFmtId="0" fontId="8" fillId="0" borderId="0" xfId="0" applyFont="1" applyAlignment="1"/>
    <xf numFmtId="0" fontId="195" fillId="0" borderId="0" xfId="2404" applyFont="1" applyAlignment="1">
      <alignment horizontal="center" vertical="center"/>
    </xf>
    <xf numFmtId="0" fontId="195" fillId="0" borderId="0" xfId="2404" applyFont="1" applyAlignment="1">
      <alignment horizontal="right" vertical="center" indent="1"/>
    </xf>
    <xf numFmtId="0" fontId="195" fillId="0" borderId="0" xfId="0" applyNumberFormat="1" applyFont="1" applyBorder="1" applyAlignment="1">
      <alignment horizontal="center" vertical="center"/>
    </xf>
    <xf numFmtId="0" fontId="195" fillId="0" borderId="0" xfId="0" applyNumberFormat="1" applyFont="1" applyBorder="1" applyAlignment="1">
      <alignment horizontal="right" vertical="center" indent="1"/>
    </xf>
    <xf numFmtId="175" fontId="195" fillId="0" borderId="0" xfId="0" applyNumberFormat="1" applyFont="1" applyBorder="1" applyAlignment="1">
      <alignment horizontal="right" vertical="center" indent="1"/>
    </xf>
    <xf numFmtId="0" fontId="9" fillId="0" borderId="0" xfId="0" applyFont="1" applyAlignment="1">
      <alignment horizontal="left" vertical="center"/>
    </xf>
    <xf numFmtId="0" fontId="9" fillId="0" borderId="0" xfId="2404" applyFont="1" applyFill="1" applyBorder="1" applyAlignment="1">
      <alignment horizontal="right" vertical="center" indent="1"/>
    </xf>
    <xf numFmtId="42" fontId="9" fillId="0" borderId="0" xfId="2" applyNumberFormat="1" applyFont="1" applyFill="1" applyBorder="1" applyAlignment="1">
      <alignment horizontal="center" vertical="center"/>
    </xf>
    <xf numFmtId="41" fontId="9" fillId="0" borderId="0" xfId="2" applyNumberFormat="1" applyFont="1" applyFill="1" applyBorder="1" applyAlignment="1">
      <alignment horizontal="center" vertical="center"/>
    </xf>
    <xf numFmtId="0" fontId="9" fillId="0" borderId="1" xfId="2404" applyFont="1" applyFill="1" applyBorder="1" applyAlignment="1">
      <alignment horizontal="right" vertical="center" indent="1"/>
    </xf>
    <xf numFmtId="41" fontId="9" fillId="0" borderId="1" xfId="0" applyNumberFormat="1" applyFont="1" applyFill="1" applyBorder="1" applyAlignment="1">
      <alignment vertical="center"/>
    </xf>
    <xf numFmtId="41" fontId="9" fillId="0" borderId="1" xfId="2" applyNumberFormat="1" applyFont="1" applyFill="1" applyBorder="1" applyAlignment="1">
      <alignment vertical="center"/>
    </xf>
    <xf numFmtId="0" fontId="9" fillId="0" borderId="0" xfId="0" applyFont="1" applyAlignment="1"/>
    <xf numFmtId="0" fontId="9" fillId="0" borderId="6" xfId="2404" applyFont="1" applyFill="1" applyBorder="1" applyAlignment="1">
      <alignment horizontal="right" vertical="center" indent="1"/>
    </xf>
    <xf numFmtId="42" fontId="9" fillId="0" borderId="6" xfId="2" applyNumberFormat="1" applyFont="1" applyFill="1" applyBorder="1" applyAlignment="1">
      <alignment vertical="center"/>
    </xf>
    <xf numFmtId="41" fontId="9" fillId="0" borderId="6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vertical="center"/>
    </xf>
    <xf numFmtId="0" fontId="8" fillId="0" borderId="0" xfId="2404" applyFont="1" applyFill="1" applyBorder="1" applyAlignment="1">
      <alignment vertical="center"/>
    </xf>
    <xf numFmtId="0" fontId="8" fillId="0" borderId="0" xfId="2404" applyFont="1" applyFill="1" applyBorder="1" applyAlignment="1">
      <alignment horizontal="right" vertical="center" indent="1"/>
    </xf>
    <xf numFmtId="42" fontId="9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vertical="center"/>
    </xf>
    <xf numFmtId="0" fontId="8" fillId="0" borderId="1" xfId="2404" applyFont="1" applyFill="1" applyBorder="1" applyAlignment="1">
      <alignment horizontal="right" vertical="center" indent="1"/>
    </xf>
    <xf numFmtId="0" fontId="9" fillId="0" borderId="0" xfId="0" applyFont="1" applyFill="1" applyBorder="1" applyAlignment="1">
      <alignment horizontal="right" vertical="center" indent="1"/>
    </xf>
    <xf numFmtId="17" fontId="9" fillId="0" borderId="0" xfId="0" applyNumberFormat="1" applyFont="1" applyAlignment="1">
      <alignment horizontal="left"/>
    </xf>
    <xf numFmtId="0" fontId="195" fillId="0" borderId="0" xfId="2404" applyFont="1" applyBorder="1" applyAlignment="1">
      <alignment horizontal="right" vertical="center" indent="1"/>
    </xf>
    <xf numFmtId="0" fontId="9" fillId="0" borderId="0" xfId="0" applyNumberFormat="1" applyFont="1" applyBorder="1" applyAlignment="1">
      <alignment horizontal="center" vertical="center"/>
    </xf>
    <xf numFmtId="175" fontId="195" fillId="0" borderId="0" xfId="0" applyNumberFormat="1" applyFont="1" applyBorder="1" applyAlignment="1">
      <alignment horizontal="right" vertical="center"/>
    </xf>
    <xf numFmtId="41" fontId="9" fillId="0" borderId="5" xfId="2" applyNumberFormat="1" applyFont="1" applyFill="1" applyBorder="1" applyAlignment="1">
      <alignment vertical="center"/>
    </xf>
    <xf numFmtId="0" fontId="9" fillId="0" borderId="0" xfId="0" applyNumberFormat="1" applyFont="1" applyBorder="1" applyAlignment="1">
      <alignment horizontal="right" vertical="center" indent="1"/>
    </xf>
    <xf numFmtId="0" fontId="9" fillId="0" borderId="0" xfId="2404" applyFont="1" applyFill="1" applyBorder="1" applyAlignment="1">
      <alignment horizontal="center" vertical="center"/>
    </xf>
    <xf numFmtId="0" fontId="9" fillId="0" borderId="0" xfId="2404" applyFont="1" applyFill="1" applyBorder="1" applyAlignment="1">
      <alignment horizontal="right" vertical="top" indent="1"/>
    </xf>
    <xf numFmtId="41" fontId="9" fillId="0" borderId="0" xfId="2" applyNumberFormat="1" applyFont="1" applyFill="1" applyBorder="1" applyAlignment="1">
      <alignment vertical="top"/>
    </xf>
    <xf numFmtId="0" fontId="9" fillId="0" borderId="0" xfId="2404" applyFont="1" applyFill="1" applyBorder="1" applyAlignment="1">
      <alignment horizontal="right" indent="1"/>
    </xf>
    <xf numFmtId="41" fontId="9" fillId="0" borderId="0" xfId="2" applyNumberFormat="1" applyFont="1" applyFill="1" applyAlignment="1"/>
    <xf numFmtId="43" fontId="9" fillId="0" borderId="0" xfId="2" applyNumberFormat="1" applyFont="1" applyFill="1" applyAlignment="1"/>
    <xf numFmtId="165" fontId="9" fillId="0" borderId="0" xfId="2" applyNumberFormat="1" applyFont="1" applyFill="1" applyAlignment="1">
      <alignment horizontal="right" vertical="top" indent="1"/>
    </xf>
    <xf numFmtId="0" fontId="154" fillId="0" borderId="0" xfId="0" applyFont="1" applyFill="1" applyAlignment="1">
      <alignment horizontal="center"/>
    </xf>
    <xf numFmtId="0" fontId="92" fillId="0" borderId="0" xfId="0" quotePrefix="1" applyFont="1" applyAlignment="1">
      <alignment horizontal="center"/>
    </xf>
    <xf numFmtId="0" fontId="154" fillId="0" borderId="0" xfId="0" quotePrefix="1" applyFont="1" applyAlignment="1">
      <alignment horizontal="center"/>
    </xf>
    <xf numFmtId="0" fontId="48" fillId="0" borderId="0" xfId="0" applyFont="1" applyFill="1" applyAlignment="1">
      <alignment horizontal="center" wrapText="1"/>
    </xf>
    <xf numFmtId="0" fontId="48" fillId="0" borderId="1" xfId="0" applyFont="1" applyFill="1" applyBorder="1" applyAlignment="1">
      <alignment horizontal="center"/>
    </xf>
    <xf numFmtId="164" fontId="116" fillId="0" borderId="0" xfId="1" applyNumberFormat="1" applyFont="1"/>
    <xf numFmtId="0" fontId="196" fillId="0" borderId="0" xfId="0" applyFont="1" applyFill="1" applyAlignment="1">
      <alignment horizontal="center"/>
    </xf>
    <xf numFmtId="167" fontId="48" fillId="0" borderId="0" xfId="0" applyNumberFormat="1" applyFont="1" applyFill="1" applyAlignment="1">
      <alignment horizontal="right" vertical="center" indent="1"/>
    </xf>
    <xf numFmtId="190" fontId="48" fillId="0" borderId="0" xfId="0" applyNumberFormat="1" applyFont="1" applyFill="1" applyAlignment="1">
      <alignment horizontal="right" indent="1"/>
    </xf>
    <xf numFmtId="164" fontId="48" fillId="0" borderId="0" xfId="0" applyNumberFormat="1" applyFont="1" applyFill="1" applyAlignment="1">
      <alignment horizontal="right" indent="1"/>
    </xf>
    <xf numFmtId="0" fontId="48" fillId="0" borderId="1" xfId="0" applyFont="1" applyFill="1" applyBorder="1" applyAlignment="1">
      <alignment horizontal="centerContinuous"/>
    </xf>
    <xf numFmtId="191" fontId="48" fillId="0" borderId="0" xfId="0" applyNumberFormat="1" applyFont="1" applyFill="1" applyAlignment="1">
      <alignment horizontal="right" indent="1"/>
    </xf>
    <xf numFmtId="0" fontId="48" fillId="0" borderId="0" xfId="0" quotePrefix="1" applyFont="1" applyFill="1" applyAlignment="1"/>
    <xf numFmtId="1" fontId="48" fillId="0" borderId="16" xfId="0" applyNumberFormat="1" applyFont="1" applyFill="1" applyBorder="1" applyAlignment="1"/>
    <xf numFmtId="1" fontId="48" fillId="0" borderId="2" xfId="0" applyNumberFormat="1" applyFont="1" applyFill="1" applyBorder="1" applyAlignment="1"/>
    <xf numFmtId="1" fontId="48" fillId="0" borderId="17" xfId="0" applyNumberFormat="1" applyFont="1" applyFill="1" applyBorder="1" applyAlignment="1"/>
    <xf numFmtId="0" fontId="48" fillId="0" borderId="16" xfId="0" applyFont="1" applyFill="1" applyBorder="1" applyAlignment="1"/>
    <xf numFmtId="0" fontId="48" fillId="0" borderId="2" xfId="0" applyFont="1" applyFill="1" applyBorder="1" applyAlignment="1"/>
    <xf numFmtId="0" fontId="48" fillId="0" borderId="17" xfId="0" applyFont="1" applyFill="1" applyBorder="1" applyAlignment="1"/>
    <xf numFmtId="0" fontId="48" fillId="0" borderId="2" xfId="0" applyFont="1" applyFill="1" applyBorder="1" applyAlignment="1">
      <alignment horizontal="right"/>
    </xf>
    <xf numFmtId="1" fontId="48" fillId="0" borderId="2" xfId="0" applyNumberFormat="1" applyFont="1" applyFill="1" applyBorder="1" applyAlignment="1">
      <alignment horizontal="right"/>
    </xf>
    <xf numFmtId="0" fontId="100" fillId="83" borderId="0" xfId="0" applyFont="1" applyFill="1" applyAlignment="1">
      <alignment horizontal="left" vertical="center"/>
    </xf>
    <xf numFmtId="0" fontId="48" fillId="0" borderId="0" xfId="0" applyFont="1"/>
    <xf numFmtId="0" fontId="197" fillId="0" borderId="0" xfId="0" applyFont="1" applyBorder="1" applyAlignment="1">
      <alignment horizontal="left" vertical="center"/>
    </xf>
    <xf numFmtId="0" fontId="197" fillId="0" borderId="0" xfId="0" applyFont="1" applyBorder="1" applyAlignment="1">
      <alignment horizontal="right" vertical="center" indent="1"/>
    </xf>
    <xf numFmtId="0" fontId="198" fillId="0" borderId="0" xfId="0" applyFont="1" applyFill="1" applyBorder="1" applyAlignment="1">
      <alignment horizontal="right" vertical="center"/>
    </xf>
    <xf numFmtId="164" fontId="48" fillId="0" borderId="0" xfId="0" applyNumberFormat="1" applyFont="1" applyAlignment="1">
      <alignment vertical="center"/>
    </xf>
    <xf numFmtId="0" fontId="184" fillId="0" borderId="0" xfId="0" applyFont="1" applyFill="1" applyAlignment="1">
      <alignment horizontal="left" vertical="center" indent="1"/>
    </xf>
    <xf numFmtId="0" fontId="48" fillId="0" borderId="0" xfId="0" applyFont="1" applyAlignment="1">
      <alignment horizontal="left" vertical="center" indent="1"/>
    </xf>
    <xf numFmtId="0" fontId="100" fillId="0" borderId="0" xfId="0" applyFont="1" applyAlignment="1">
      <alignment horizontal="right" vertical="center"/>
    </xf>
    <xf numFmtId="164" fontId="100" fillId="0" borderId="6" xfId="0" applyNumberFormat="1" applyFont="1" applyBorder="1" applyAlignment="1">
      <alignment vertical="center"/>
    </xf>
    <xf numFmtId="0" fontId="48" fillId="0" borderId="0" xfId="0" applyFont="1" applyAlignment="1">
      <alignment horizontal="left" indent="1"/>
    </xf>
    <xf numFmtId="0" fontId="48" fillId="0" borderId="0" xfId="0" applyFont="1" applyAlignment="1">
      <alignment horizontal="right"/>
    </xf>
    <xf numFmtId="164" fontId="48" fillId="0" borderId="0" xfId="0" applyNumberFormat="1" applyFont="1" applyBorder="1"/>
    <xf numFmtId="164" fontId="48" fillId="0" borderId="0" xfId="0" applyNumberFormat="1" applyFont="1"/>
    <xf numFmtId="0" fontId="184" fillId="0" borderId="0" xfId="0" applyFont="1" applyAlignment="1">
      <alignment horizontal="right"/>
    </xf>
    <xf numFmtId="164" fontId="184" fillId="0" borderId="0" xfId="0" applyNumberFormat="1" applyFont="1" applyFill="1" applyAlignment="1"/>
    <xf numFmtId="0" fontId="184" fillId="0" borderId="0" xfId="0" applyFont="1" applyFill="1" applyAlignment="1">
      <alignment horizontal="left" indent="1"/>
    </xf>
    <xf numFmtId="0" fontId="48" fillId="0" borderId="0" xfId="0" applyFont="1" applyAlignment="1">
      <alignment horizontal="left" vertical="center"/>
    </xf>
    <xf numFmtId="164" fontId="48" fillId="0" borderId="0" xfId="0" applyNumberFormat="1" applyFont="1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100" fillId="0" borderId="0" xfId="0" applyFont="1" applyAlignment="1">
      <alignment horizontal="right"/>
    </xf>
    <xf numFmtId="164" fontId="100" fillId="0" borderId="0" xfId="0" applyNumberFormat="1" applyFont="1"/>
    <xf numFmtId="164" fontId="100" fillId="0" borderId="4" xfId="0" applyNumberFormat="1" applyFont="1" applyBorder="1" applyAlignment="1">
      <alignment vertical="center"/>
    </xf>
    <xf numFmtId="0" fontId="29" fillId="0" borderId="0" xfId="0" applyNumberFormat="1" applyFont="1" applyFill="1"/>
    <xf numFmtId="0" fontId="150" fillId="0" borderId="0" xfId="0" applyNumberFormat="1" applyFont="1" applyFill="1" applyAlignment="1"/>
    <xf numFmtId="0" fontId="176" fillId="0" borderId="0" xfId="0" applyNumberFormat="1" applyFont="1" applyBorder="1" applyAlignment="1">
      <alignment horizontal="left"/>
    </xf>
    <xf numFmtId="0" fontId="176" fillId="0" borderId="0" xfId="0" applyFont="1" applyBorder="1" applyAlignment="1">
      <alignment horizontal="right" indent="1"/>
    </xf>
    <xf numFmtId="0" fontId="199" fillId="0" borderId="0" xfId="0" applyFont="1" applyFill="1" applyBorder="1" applyAlignment="1">
      <alignment horizontal="right" indent="1"/>
    </xf>
    <xf numFmtId="0" fontId="29" fillId="0" borderId="0" xfId="0" applyNumberFormat="1" applyFont="1" applyFill="1" applyBorder="1" applyAlignment="1">
      <alignment vertical="center"/>
    </xf>
    <xf numFmtId="164" fontId="201" fillId="0" borderId="0" xfId="0" applyNumberFormat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vertical="center"/>
    </xf>
    <xf numFmtId="164" fontId="201" fillId="0" borderId="1" xfId="0" applyNumberFormat="1" applyFont="1" applyFill="1" applyBorder="1" applyAlignment="1">
      <alignment vertical="center"/>
    </xf>
    <xf numFmtId="164" fontId="29" fillId="0" borderId="1" xfId="0" applyNumberFormat="1" applyFont="1" applyFill="1" applyBorder="1" applyAlignment="1">
      <alignment vertical="center"/>
    </xf>
    <xf numFmtId="0" fontId="150" fillId="0" borderId="0" xfId="0" applyNumberFormat="1" applyFont="1" applyFill="1" applyBorder="1" applyAlignment="1">
      <alignment vertical="center"/>
    </xf>
    <xf numFmtId="0" fontId="150" fillId="0" borderId="0" xfId="0" applyNumberFormat="1" applyFont="1" applyFill="1" applyBorder="1" applyAlignment="1">
      <alignment horizontal="right" vertical="center"/>
    </xf>
    <xf numFmtId="164" fontId="150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50" fillId="0" borderId="0" xfId="0" applyNumberFormat="1" applyFont="1" applyFill="1" applyBorder="1" applyAlignment="1">
      <alignment horizontal="center" vertical="center"/>
    </xf>
    <xf numFmtId="164" fontId="201" fillId="0" borderId="0" xfId="1" applyNumberFormat="1" applyFont="1" applyFill="1" applyBorder="1" applyAlignment="1">
      <alignment vertical="center"/>
    </xf>
    <xf numFmtId="164" fontId="29" fillId="0" borderId="0" xfId="1" applyNumberFormat="1" applyFont="1" applyFill="1" applyBorder="1" applyAlignment="1">
      <alignment vertical="center"/>
    </xf>
    <xf numFmtId="0" fontId="29" fillId="0" borderId="0" xfId="0" applyNumberFormat="1" applyFont="1" applyFill="1" applyAlignment="1">
      <alignment horizontal="right" vertical="center" indent="1"/>
    </xf>
    <xf numFmtId="0" fontId="150" fillId="79" borderId="0" xfId="0" applyNumberFormat="1" applyFont="1" applyFill="1" applyBorder="1" applyAlignment="1">
      <alignment horizontal="right" vertical="center"/>
    </xf>
    <xf numFmtId="164" fontId="124" fillId="79" borderId="0" xfId="0" applyNumberFormat="1" applyFont="1" applyFill="1" applyBorder="1" applyAlignment="1">
      <alignment vertical="center"/>
    </xf>
    <xf numFmtId="164" fontId="150" fillId="79" borderId="0" xfId="0" applyNumberFormat="1" applyFont="1" applyFill="1" applyBorder="1" applyAlignment="1">
      <alignment vertical="center"/>
    </xf>
    <xf numFmtId="0" fontId="150" fillId="79" borderId="0" xfId="0" applyNumberFormat="1" applyFont="1" applyFill="1" applyBorder="1" applyAlignment="1">
      <alignment horizontal="center" vertical="center"/>
    </xf>
    <xf numFmtId="164" fontId="29" fillId="79" borderId="0" xfId="1" applyNumberFormat="1" applyFont="1" applyFill="1" applyBorder="1" applyAlignment="1">
      <alignment vertical="center"/>
    </xf>
    <xf numFmtId="164" fontId="154" fillId="79" borderId="0" xfId="1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29" fillId="0" borderId="0" xfId="0" applyFont="1" applyFill="1" applyBorder="1" applyAlignment="1">
      <alignment horizontal="left" vertical="center"/>
    </xf>
    <xf numFmtId="175" fontId="129" fillId="0" borderId="0" xfId="0" applyNumberFormat="1" applyFont="1" applyFill="1" applyBorder="1" applyAlignment="1">
      <alignment horizontal="right" vertical="center" indent="1"/>
    </xf>
    <xf numFmtId="0" fontId="129" fillId="0" borderId="0" xfId="0" applyFont="1" applyFill="1" applyBorder="1" applyAlignment="1">
      <alignment horizontal="right" vertical="center" indent="1"/>
    </xf>
    <xf numFmtId="43" fontId="9" fillId="0" borderId="0" xfId="1" applyNumberFormat="1" applyFont="1" applyFill="1" applyBorder="1" applyAlignment="1">
      <alignment vertical="center"/>
    </xf>
    <xf numFmtId="43" fontId="203" fillId="0" borderId="0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44" fontId="9" fillId="0" borderId="0" xfId="2" applyNumberFormat="1" applyFont="1" applyFill="1" applyBorder="1" applyAlignment="1">
      <alignment vertical="center"/>
    </xf>
    <xf numFmtId="0" fontId="9" fillId="0" borderId="0" xfId="0" applyFont="1" applyAlignment="1">
      <alignment horizontal="left" vertical="center" indent="1"/>
    </xf>
    <xf numFmtId="0" fontId="9" fillId="0" borderId="0" xfId="0" applyFont="1" applyAlignment="1">
      <alignment horizontal="left" indent="1"/>
    </xf>
    <xf numFmtId="175" fontId="9" fillId="0" borderId="0" xfId="0" applyNumberFormat="1" applyFont="1" applyAlignment="1">
      <alignment horizontal="left" indent="1"/>
    </xf>
    <xf numFmtId="43" fontId="9" fillId="0" borderId="0" xfId="2" applyNumberFormat="1" applyFont="1"/>
    <xf numFmtId="175" fontId="9" fillId="0" borderId="0" xfId="0" applyNumberFormat="1" applyFont="1" applyFill="1" applyAlignment="1">
      <alignment horizontal="left" indent="1"/>
    </xf>
    <xf numFmtId="43" fontId="9" fillId="0" borderId="0" xfId="2" applyNumberFormat="1" applyFont="1" applyFill="1"/>
    <xf numFmtId="43" fontId="203" fillId="0" borderId="0" xfId="2" applyNumberFormat="1" applyFont="1" applyFill="1" applyBorder="1"/>
    <xf numFmtId="43" fontId="203" fillId="0" borderId="0" xfId="0" applyNumberFormat="1" applyFont="1" applyFill="1" applyBorder="1"/>
    <xf numFmtId="0" fontId="9" fillId="0" borderId="0" xfId="1" applyNumberFormat="1" applyFont="1" applyFill="1" applyAlignment="1">
      <alignment horizontal="right"/>
    </xf>
    <xf numFmtId="0" fontId="9" fillId="0" borderId="0" xfId="0" applyFont="1" applyAlignment="1">
      <alignment horizontal="right" vertical="center"/>
    </xf>
    <xf numFmtId="175" fontId="9" fillId="0" borderId="0" xfId="0" applyNumberFormat="1" applyFont="1"/>
    <xf numFmtId="44" fontId="9" fillId="0" borderId="0" xfId="2" applyFont="1" applyBorder="1"/>
    <xf numFmtId="10" fontId="9" fillId="0" borderId="0" xfId="0" applyNumberFormat="1" applyFont="1" applyBorder="1"/>
    <xf numFmtId="7" fontId="9" fillId="0" borderId="0" xfId="2" applyNumberFormat="1" applyFont="1" applyBorder="1"/>
    <xf numFmtId="44" fontId="9" fillId="0" borderId="0" xfId="2" applyFont="1"/>
    <xf numFmtId="44" fontId="9" fillId="0" borderId="0" xfId="0" applyNumberFormat="1" applyFont="1"/>
    <xf numFmtId="0" fontId="8" fillId="59" borderId="0" xfId="2388" applyFont="1" applyFill="1" applyAlignment="1">
      <alignment horizontal="center"/>
    </xf>
    <xf numFmtId="0" fontId="8" fillId="59" borderId="0" xfId="2388" applyFont="1" applyFill="1" applyAlignment="1">
      <alignment horizontal="center" vertical="center"/>
    </xf>
    <xf numFmtId="173" fontId="8" fillId="0" borderId="6" xfId="2387" applyFont="1" applyFill="1" applyBorder="1" applyAlignment="1">
      <alignment horizontal="right" vertical="center" wrapText="1"/>
    </xf>
    <xf numFmtId="173" fontId="8" fillId="0" borderId="0" xfId="2387" applyFont="1" applyFill="1" applyAlignment="1">
      <alignment horizontal="right" vertical="center" wrapText="1"/>
    </xf>
    <xf numFmtId="173" fontId="8" fillId="0" borderId="1" xfId="2387" applyFont="1" applyFill="1" applyBorder="1" applyAlignment="1">
      <alignment horizontal="right" vertical="center" wrapText="1"/>
    </xf>
    <xf numFmtId="173" fontId="8" fillId="0" borderId="0" xfId="2387" applyFont="1" applyFill="1" applyAlignment="1">
      <alignment horizontal="center" vertical="center" wrapText="1"/>
    </xf>
    <xf numFmtId="173" fontId="8" fillId="0" borderId="1" xfId="2387" applyFont="1" applyFill="1" applyBorder="1" applyAlignment="1">
      <alignment horizontal="center" vertical="center" wrapText="1"/>
    </xf>
    <xf numFmtId="173" fontId="8" fillId="0" borderId="0" xfId="2387" applyFont="1" applyFill="1" applyBorder="1" applyAlignment="1">
      <alignment horizontal="right" vertical="center" wrapText="1"/>
    </xf>
    <xf numFmtId="173" fontId="154" fillId="0" borderId="0" xfId="2387" applyFont="1" applyFill="1" applyAlignment="1">
      <alignment horizontal="center" vertical="center" wrapText="1"/>
    </xf>
    <xf numFmtId="173" fontId="154" fillId="0" borderId="1" xfId="2387" applyFont="1" applyFill="1" applyBorder="1" applyAlignment="1">
      <alignment horizontal="center" vertical="center" wrapText="1"/>
    </xf>
    <xf numFmtId="173" fontId="154" fillId="0" borderId="6" xfId="2387" applyFont="1" applyBorder="1" applyAlignment="1">
      <alignment horizontal="center" vertical="center" wrapText="1"/>
    </xf>
    <xf numFmtId="173" fontId="154" fillId="0" borderId="0" xfId="2387" applyFont="1" applyBorder="1" applyAlignment="1">
      <alignment horizontal="center" vertical="center" wrapText="1"/>
    </xf>
    <xf numFmtId="173" fontId="154" fillId="0" borderId="1" xfId="2387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9" fillId="0" borderId="0" xfId="2404" applyNumberFormat="1" applyFont="1" applyFill="1" applyBorder="1" applyAlignment="1">
      <alignment horizontal="center" vertical="center"/>
    </xf>
    <xf numFmtId="10" fontId="9" fillId="0" borderId="0" xfId="3" applyNumberFormat="1" applyFont="1" applyFill="1" applyBorder="1" applyAlignment="1">
      <alignment horizontal="center" vertical="center"/>
    </xf>
    <xf numFmtId="0" fontId="9" fillId="0" borderId="0" xfId="2404" applyFont="1" applyFill="1" applyBorder="1" applyAlignment="1">
      <alignment horizontal="right" vertical="center" indent="1"/>
    </xf>
    <xf numFmtId="0" fontId="9" fillId="0" borderId="1" xfId="2404" applyFont="1" applyFill="1" applyBorder="1" applyAlignment="1">
      <alignment horizontal="right" vertical="center" indent="1"/>
    </xf>
    <xf numFmtId="0" fontId="9" fillId="0" borderId="0" xfId="2404" applyFont="1" applyFill="1" applyBorder="1" applyAlignment="1">
      <alignment horizontal="center" vertical="center"/>
    </xf>
    <xf numFmtId="0" fontId="9" fillId="0" borderId="6" xfId="2404" applyFont="1" applyFill="1" applyBorder="1" applyAlignment="1">
      <alignment horizontal="right" vertical="center" indent="1"/>
    </xf>
    <xf numFmtId="0" fontId="8" fillId="0" borderId="6" xfId="2404" applyFont="1" applyFill="1" applyBorder="1" applyAlignment="1">
      <alignment horizontal="center" vertical="center"/>
    </xf>
    <xf numFmtId="0" fontId="8" fillId="0" borderId="1" xfId="2404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/>
    </xf>
    <xf numFmtId="0" fontId="8" fillId="0" borderId="0" xfId="2389" applyFont="1" applyFill="1" applyAlignment="1">
      <alignment horizontal="center"/>
    </xf>
    <xf numFmtId="0" fontId="8" fillId="0" borderId="0" xfId="2389" quotePrefix="1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2" fillId="0" borderId="0" xfId="0" applyFont="1" applyFill="1" applyAlignment="1">
      <alignment horizontal="center"/>
    </xf>
    <xf numFmtId="0" fontId="167" fillId="0" borderId="0" xfId="0" applyFont="1" applyAlignment="1">
      <alignment horizontal="center" vertical="center" textRotation="45"/>
    </xf>
    <xf numFmtId="0" fontId="166" fillId="60" borderId="48" xfId="0" applyFont="1" applyFill="1" applyBorder="1" applyAlignment="1">
      <alignment horizontal="center" vertical="center"/>
    </xf>
    <xf numFmtId="0" fontId="166" fillId="60" borderId="49" xfId="0" applyFont="1" applyFill="1" applyBorder="1" applyAlignment="1">
      <alignment horizontal="center" vertical="center"/>
    </xf>
    <xf numFmtId="0" fontId="172" fillId="0" borderId="0" xfId="0" applyFont="1" applyBorder="1" applyAlignment="1">
      <alignment horizontal="center" vertical="center"/>
    </xf>
    <xf numFmtId="0" fontId="120" fillId="0" borderId="0" xfId="2389" applyFont="1" applyFill="1" applyAlignment="1">
      <alignment horizontal="center"/>
    </xf>
    <xf numFmtId="0" fontId="120" fillId="0" borderId="0" xfId="2389" quotePrefix="1" applyFont="1" applyFill="1" applyAlignment="1">
      <alignment horizontal="center"/>
    </xf>
    <xf numFmtId="0" fontId="14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3" fontId="8" fillId="0" borderId="0" xfId="2387" applyFont="1" applyAlignment="1">
      <alignment horizontal="center" vertical="center"/>
    </xf>
    <xf numFmtId="0" fontId="8" fillId="0" borderId="0" xfId="2387" applyNumberFormat="1" applyFont="1" applyAlignment="1">
      <alignment horizontal="center" vertical="center"/>
    </xf>
    <xf numFmtId="0" fontId="94" fillId="0" borderId="0" xfId="0" quotePrefix="1" applyFont="1" applyFill="1" applyBorder="1" applyAlignment="1">
      <alignment horizontal="center" vertical="center"/>
    </xf>
    <xf numFmtId="0" fontId="97" fillId="0" borderId="0" xfId="0" applyFont="1" applyFill="1" applyAlignment="1">
      <alignment horizontal="left" wrapText="1"/>
    </xf>
    <xf numFmtId="0" fontId="128" fillId="0" borderId="0" xfId="2396" applyFont="1" applyAlignment="1">
      <alignment horizontal="center"/>
    </xf>
    <xf numFmtId="0" fontId="120" fillId="0" borderId="0" xfId="0" applyFont="1" applyAlignment="1">
      <alignment horizontal="center"/>
    </xf>
    <xf numFmtId="0" fontId="120" fillId="0" borderId="0" xfId="0" quotePrefix="1" applyFont="1" applyAlignment="1">
      <alignment horizontal="center"/>
    </xf>
    <xf numFmtId="0" fontId="118" fillId="60" borderId="0" xfId="0" applyFont="1" applyFill="1" applyAlignment="1">
      <alignment horizontal="center"/>
    </xf>
    <xf numFmtId="0" fontId="118" fillId="60" borderId="0" xfId="0" applyFont="1" applyFill="1" applyAlignment="1">
      <alignment horizontal="center" vertical="center" wrapText="1"/>
    </xf>
    <xf numFmtId="0" fontId="94" fillId="60" borderId="16" xfId="0" applyFont="1" applyFill="1" applyBorder="1" applyAlignment="1">
      <alignment horizontal="center"/>
    </xf>
    <xf numFmtId="0" fontId="94" fillId="60" borderId="2" xfId="0" applyFont="1" applyFill="1" applyBorder="1" applyAlignment="1">
      <alignment horizontal="center"/>
    </xf>
    <xf numFmtId="0" fontId="94" fillId="60" borderId="17" xfId="0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"/>
    </xf>
    <xf numFmtId="0" fontId="94" fillId="0" borderId="2" xfId="0" applyFont="1" applyFill="1" applyBorder="1" applyAlignment="1">
      <alignment horizontal="center"/>
    </xf>
    <xf numFmtId="0" fontId="94" fillId="0" borderId="17" xfId="0" applyFont="1" applyFill="1" applyBorder="1" applyAlignment="1">
      <alignment horizontal="center"/>
    </xf>
    <xf numFmtId="0" fontId="97" fillId="61" borderId="16" xfId="0" applyFont="1" applyFill="1" applyBorder="1" applyAlignment="1">
      <alignment horizontal="center"/>
    </xf>
    <xf numFmtId="0" fontId="97" fillId="61" borderId="2" xfId="0" applyFont="1" applyFill="1" applyBorder="1" applyAlignment="1">
      <alignment horizontal="center"/>
    </xf>
    <xf numFmtId="0" fontId="97" fillId="61" borderId="17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</cellXfs>
  <cellStyles count="2407">
    <cellStyle name="20% - Accent1 10" xfId="12" xr:uid="{00000000-0005-0000-0000-000000000000}"/>
    <cellStyle name="20% - Accent1 11" xfId="13" xr:uid="{00000000-0005-0000-0000-000001000000}"/>
    <cellStyle name="20% - Accent1 12" xfId="14" xr:uid="{00000000-0005-0000-0000-000002000000}"/>
    <cellStyle name="20% - Accent1 13" xfId="15" xr:uid="{00000000-0005-0000-0000-000003000000}"/>
    <cellStyle name="20% - Accent1 14" xfId="16" xr:uid="{00000000-0005-0000-0000-000004000000}"/>
    <cellStyle name="20% - Accent1 15" xfId="17" xr:uid="{00000000-0005-0000-0000-000005000000}"/>
    <cellStyle name="20% - Accent1 15 2" xfId="18" xr:uid="{00000000-0005-0000-0000-000006000000}"/>
    <cellStyle name="20% - Accent1 15 3" xfId="19" xr:uid="{00000000-0005-0000-0000-000007000000}"/>
    <cellStyle name="20% - Accent1 15 4" xfId="20" xr:uid="{00000000-0005-0000-0000-000008000000}"/>
    <cellStyle name="20% - Accent1 15 5" xfId="21" xr:uid="{00000000-0005-0000-0000-000009000000}"/>
    <cellStyle name="20% - Accent1 16" xfId="22" xr:uid="{00000000-0005-0000-0000-00000A000000}"/>
    <cellStyle name="20% - Accent1 16 2" xfId="23" xr:uid="{00000000-0005-0000-0000-00000B000000}"/>
    <cellStyle name="20% - Accent1 16 3" xfId="24" xr:uid="{00000000-0005-0000-0000-00000C000000}"/>
    <cellStyle name="20% - Accent1 16 4" xfId="25" xr:uid="{00000000-0005-0000-0000-00000D000000}"/>
    <cellStyle name="20% - Accent1 16 5" xfId="26" xr:uid="{00000000-0005-0000-0000-00000E000000}"/>
    <cellStyle name="20% - Accent1 17" xfId="27" xr:uid="{00000000-0005-0000-0000-00000F000000}"/>
    <cellStyle name="20% - Accent1 17 2" xfId="28" xr:uid="{00000000-0005-0000-0000-000010000000}"/>
    <cellStyle name="20% - Accent1 17 3" xfId="29" xr:uid="{00000000-0005-0000-0000-000011000000}"/>
    <cellStyle name="20% - Accent1 17 4" xfId="30" xr:uid="{00000000-0005-0000-0000-000012000000}"/>
    <cellStyle name="20% - Accent1 17 5" xfId="31" xr:uid="{00000000-0005-0000-0000-000013000000}"/>
    <cellStyle name="20% - Accent1 18" xfId="32" xr:uid="{00000000-0005-0000-0000-000014000000}"/>
    <cellStyle name="20% - Accent1 19" xfId="33" xr:uid="{00000000-0005-0000-0000-000015000000}"/>
    <cellStyle name="20% - Accent1 2" xfId="34" xr:uid="{00000000-0005-0000-0000-000016000000}"/>
    <cellStyle name="20% - Accent1 2 10" xfId="35" xr:uid="{00000000-0005-0000-0000-000017000000}"/>
    <cellStyle name="20% - Accent1 2 2" xfId="36" xr:uid="{00000000-0005-0000-0000-000018000000}"/>
    <cellStyle name="20% - Accent1 2 2 2" xfId="37" xr:uid="{00000000-0005-0000-0000-000019000000}"/>
    <cellStyle name="20% - Accent1 2 2 2 2" xfId="38" xr:uid="{00000000-0005-0000-0000-00001A000000}"/>
    <cellStyle name="20% - Accent1 2 2 2 2 2" xfId="39" xr:uid="{00000000-0005-0000-0000-00001B000000}"/>
    <cellStyle name="20% - Accent1 2 2 2 2 3" xfId="40" xr:uid="{00000000-0005-0000-0000-00001C000000}"/>
    <cellStyle name="20% - Accent1 2 2 2 3" xfId="41" xr:uid="{00000000-0005-0000-0000-00001D000000}"/>
    <cellStyle name="20% - Accent1 2 2 2 4" xfId="42" xr:uid="{00000000-0005-0000-0000-00001E000000}"/>
    <cellStyle name="20% - Accent1 2 2 2 5" xfId="43" xr:uid="{00000000-0005-0000-0000-00001F000000}"/>
    <cellStyle name="20% - Accent1 2 2 2 6" xfId="44" xr:uid="{00000000-0005-0000-0000-000020000000}"/>
    <cellStyle name="20% - Accent1 2 2 3" xfId="45" xr:uid="{00000000-0005-0000-0000-000021000000}"/>
    <cellStyle name="20% - Accent1 2 2 4" xfId="46" xr:uid="{00000000-0005-0000-0000-000022000000}"/>
    <cellStyle name="20% - Accent1 2 2 5" xfId="47" xr:uid="{00000000-0005-0000-0000-000023000000}"/>
    <cellStyle name="20% - Accent1 2 2 6" xfId="48" xr:uid="{00000000-0005-0000-0000-000024000000}"/>
    <cellStyle name="20% - Accent1 2 3" xfId="49" xr:uid="{00000000-0005-0000-0000-000025000000}"/>
    <cellStyle name="20% - Accent1 2 4" xfId="50" xr:uid="{00000000-0005-0000-0000-000026000000}"/>
    <cellStyle name="20% - Accent1 2 5" xfId="51" xr:uid="{00000000-0005-0000-0000-000027000000}"/>
    <cellStyle name="20% - Accent1 2 6" xfId="52" xr:uid="{00000000-0005-0000-0000-000028000000}"/>
    <cellStyle name="20% - Accent1 2 7" xfId="53" xr:uid="{00000000-0005-0000-0000-000029000000}"/>
    <cellStyle name="20% - Accent1 2 8" xfId="54" xr:uid="{00000000-0005-0000-0000-00002A000000}"/>
    <cellStyle name="20% - Accent1 2 9" xfId="55" xr:uid="{00000000-0005-0000-0000-00002B000000}"/>
    <cellStyle name="20% - Accent1 20" xfId="56" xr:uid="{00000000-0005-0000-0000-00002C000000}"/>
    <cellStyle name="20% - Accent1 21" xfId="57" xr:uid="{00000000-0005-0000-0000-00002D000000}"/>
    <cellStyle name="20% - Accent1 22" xfId="58" xr:uid="{00000000-0005-0000-0000-00002E000000}"/>
    <cellStyle name="20% - Accent1 23" xfId="59" xr:uid="{00000000-0005-0000-0000-00002F000000}"/>
    <cellStyle name="20% - Accent1 24" xfId="60" xr:uid="{00000000-0005-0000-0000-000030000000}"/>
    <cellStyle name="20% - Accent1 25" xfId="61" xr:uid="{00000000-0005-0000-0000-000031000000}"/>
    <cellStyle name="20% - Accent1 26" xfId="62" xr:uid="{00000000-0005-0000-0000-000032000000}"/>
    <cellStyle name="20% - Accent1 27" xfId="63" xr:uid="{00000000-0005-0000-0000-000033000000}"/>
    <cellStyle name="20% - Accent1 28" xfId="64" xr:uid="{00000000-0005-0000-0000-000034000000}"/>
    <cellStyle name="20% - Accent1 29" xfId="65" xr:uid="{00000000-0005-0000-0000-000035000000}"/>
    <cellStyle name="20% - Accent1 3" xfId="66" xr:uid="{00000000-0005-0000-0000-000036000000}"/>
    <cellStyle name="20% - Accent1 30" xfId="67" xr:uid="{00000000-0005-0000-0000-000037000000}"/>
    <cellStyle name="20% - Accent1 31" xfId="68" xr:uid="{00000000-0005-0000-0000-000038000000}"/>
    <cellStyle name="20% - Accent1 32" xfId="69" xr:uid="{00000000-0005-0000-0000-000039000000}"/>
    <cellStyle name="20% - Accent1 33" xfId="70" xr:uid="{00000000-0005-0000-0000-00003A000000}"/>
    <cellStyle name="20% - Accent1 34" xfId="71" xr:uid="{00000000-0005-0000-0000-00003B000000}"/>
    <cellStyle name="20% - Accent1 35" xfId="72" xr:uid="{00000000-0005-0000-0000-00003C000000}"/>
    <cellStyle name="20% - Accent1 36" xfId="73" xr:uid="{00000000-0005-0000-0000-00003D000000}"/>
    <cellStyle name="20% - Accent1 4" xfId="74" xr:uid="{00000000-0005-0000-0000-00003E000000}"/>
    <cellStyle name="20% - Accent1 5" xfId="75" xr:uid="{00000000-0005-0000-0000-00003F000000}"/>
    <cellStyle name="20% - Accent1 6" xfId="76" xr:uid="{00000000-0005-0000-0000-000040000000}"/>
    <cellStyle name="20% - Accent1 7" xfId="77" xr:uid="{00000000-0005-0000-0000-000041000000}"/>
    <cellStyle name="20% - Accent1 8" xfId="78" xr:uid="{00000000-0005-0000-0000-000042000000}"/>
    <cellStyle name="20% - Accent1 9" xfId="79" xr:uid="{00000000-0005-0000-0000-000043000000}"/>
    <cellStyle name="20% - Accent2 10" xfId="80" xr:uid="{00000000-0005-0000-0000-000044000000}"/>
    <cellStyle name="20% - Accent2 11" xfId="81" xr:uid="{00000000-0005-0000-0000-000045000000}"/>
    <cellStyle name="20% - Accent2 12" xfId="82" xr:uid="{00000000-0005-0000-0000-000046000000}"/>
    <cellStyle name="20% - Accent2 13" xfId="83" xr:uid="{00000000-0005-0000-0000-000047000000}"/>
    <cellStyle name="20% - Accent2 14" xfId="84" xr:uid="{00000000-0005-0000-0000-000048000000}"/>
    <cellStyle name="20% - Accent2 15" xfId="85" xr:uid="{00000000-0005-0000-0000-000049000000}"/>
    <cellStyle name="20% - Accent2 15 2" xfId="86" xr:uid="{00000000-0005-0000-0000-00004A000000}"/>
    <cellStyle name="20% - Accent2 15 3" xfId="87" xr:uid="{00000000-0005-0000-0000-00004B000000}"/>
    <cellStyle name="20% - Accent2 15 4" xfId="88" xr:uid="{00000000-0005-0000-0000-00004C000000}"/>
    <cellStyle name="20% - Accent2 15 5" xfId="89" xr:uid="{00000000-0005-0000-0000-00004D000000}"/>
    <cellStyle name="20% - Accent2 16" xfId="90" xr:uid="{00000000-0005-0000-0000-00004E000000}"/>
    <cellStyle name="20% - Accent2 16 2" xfId="91" xr:uid="{00000000-0005-0000-0000-00004F000000}"/>
    <cellStyle name="20% - Accent2 16 3" xfId="92" xr:uid="{00000000-0005-0000-0000-000050000000}"/>
    <cellStyle name="20% - Accent2 16 4" xfId="93" xr:uid="{00000000-0005-0000-0000-000051000000}"/>
    <cellStyle name="20% - Accent2 16 5" xfId="94" xr:uid="{00000000-0005-0000-0000-000052000000}"/>
    <cellStyle name="20% - Accent2 17" xfId="95" xr:uid="{00000000-0005-0000-0000-000053000000}"/>
    <cellStyle name="20% - Accent2 17 2" xfId="96" xr:uid="{00000000-0005-0000-0000-000054000000}"/>
    <cellStyle name="20% - Accent2 17 3" xfId="97" xr:uid="{00000000-0005-0000-0000-000055000000}"/>
    <cellStyle name="20% - Accent2 17 4" xfId="98" xr:uid="{00000000-0005-0000-0000-000056000000}"/>
    <cellStyle name="20% - Accent2 17 5" xfId="99" xr:uid="{00000000-0005-0000-0000-000057000000}"/>
    <cellStyle name="20% - Accent2 18" xfId="100" xr:uid="{00000000-0005-0000-0000-000058000000}"/>
    <cellStyle name="20% - Accent2 19" xfId="101" xr:uid="{00000000-0005-0000-0000-000059000000}"/>
    <cellStyle name="20% - Accent2 2" xfId="102" xr:uid="{00000000-0005-0000-0000-00005A000000}"/>
    <cellStyle name="20% - Accent2 2 10" xfId="103" xr:uid="{00000000-0005-0000-0000-00005B000000}"/>
    <cellStyle name="20% - Accent2 2 2" xfId="104" xr:uid="{00000000-0005-0000-0000-00005C000000}"/>
    <cellStyle name="20% - Accent2 2 2 2" xfId="105" xr:uid="{00000000-0005-0000-0000-00005D000000}"/>
    <cellStyle name="20% - Accent2 2 2 2 2" xfId="106" xr:uid="{00000000-0005-0000-0000-00005E000000}"/>
    <cellStyle name="20% - Accent2 2 2 2 2 2" xfId="107" xr:uid="{00000000-0005-0000-0000-00005F000000}"/>
    <cellStyle name="20% - Accent2 2 2 2 2 3" xfId="108" xr:uid="{00000000-0005-0000-0000-000060000000}"/>
    <cellStyle name="20% - Accent2 2 2 2 3" xfId="109" xr:uid="{00000000-0005-0000-0000-000061000000}"/>
    <cellStyle name="20% - Accent2 2 2 2 4" xfId="110" xr:uid="{00000000-0005-0000-0000-000062000000}"/>
    <cellStyle name="20% - Accent2 2 2 2 5" xfId="111" xr:uid="{00000000-0005-0000-0000-000063000000}"/>
    <cellStyle name="20% - Accent2 2 2 2 6" xfId="112" xr:uid="{00000000-0005-0000-0000-000064000000}"/>
    <cellStyle name="20% - Accent2 2 2 3" xfId="113" xr:uid="{00000000-0005-0000-0000-000065000000}"/>
    <cellStyle name="20% - Accent2 2 2 4" xfId="114" xr:uid="{00000000-0005-0000-0000-000066000000}"/>
    <cellStyle name="20% - Accent2 2 2 5" xfId="115" xr:uid="{00000000-0005-0000-0000-000067000000}"/>
    <cellStyle name="20% - Accent2 2 2 6" xfId="116" xr:uid="{00000000-0005-0000-0000-000068000000}"/>
    <cellStyle name="20% - Accent2 2 3" xfId="117" xr:uid="{00000000-0005-0000-0000-000069000000}"/>
    <cellStyle name="20% - Accent2 2 4" xfId="118" xr:uid="{00000000-0005-0000-0000-00006A000000}"/>
    <cellStyle name="20% - Accent2 2 5" xfId="119" xr:uid="{00000000-0005-0000-0000-00006B000000}"/>
    <cellStyle name="20% - Accent2 2 6" xfId="120" xr:uid="{00000000-0005-0000-0000-00006C000000}"/>
    <cellStyle name="20% - Accent2 2 7" xfId="121" xr:uid="{00000000-0005-0000-0000-00006D000000}"/>
    <cellStyle name="20% - Accent2 2 8" xfId="122" xr:uid="{00000000-0005-0000-0000-00006E000000}"/>
    <cellStyle name="20% - Accent2 2 9" xfId="123" xr:uid="{00000000-0005-0000-0000-00006F000000}"/>
    <cellStyle name="20% - Accent2 20" xfId="124" xr:uid="{00000000-0005-0000-0000-000070000000}"/>
    <cellStyle name="20% - Accent2 21" xfId="125" xr:uid="{00000000-0005-0000-0000-000071000000}"/>
    <cellStyle name="20% - Accent2 22" xfId="126" xr:uid="{00000000-0005-0000-0000-000072000000}"/>
    <cellStyle name="20% - Accent2 23" xfId="127" xr:uid="{00000000-0005-0000-0000-000073000000}"/>
    <cellStyle name="20% - Accent2 24" xfId="128" xr:uid="{00000000-0005-0000-0000-000074000000}"/>
    <cellStyle name="20% - Accent2 25" xfId="129" xr:uid="{00000000-0005-0000-0000-000075000000}"/>
    <cellStyle name="20% - Accent2 26" xfId="130" xr:uid="{00000000-0005-0000-0000-000076000000}"/>
    <cellStyle name="20% - Accent2 27" xfId="131" xr:uid="{00000000-0005-0000-0000-000077000000}"/>
    <cellStyle name="20% - Accent2 28" xfId="132" xr:uid="{00000000-0005-0000-0000-000078000000}"/>
    <cellStyle name="20% - Accent2 29" xfId="133" xr:uid="{00000000-0005-0000-0000-000079000000}"/>
    <cellStyle name="20% - Accent2 3" xfId="134" xr:uid="{00000000-0005-0000-0000-00007A000000}"/>
    <cellStyle name="20% - Accent2 30" xfId="135" xr:uid="{00000000-0005-0000-0000-00007B000000}"/>
    <cellStyle name="20% - Accent2 31" xfId="136" xr:uid="{00000000-0005-0000-0000-00007C000000}"/>
    <cellStyle name="20% - Accent2 32" xfId="137" xr:uid="{00000000-0005-0000-0000-00007D000000}"/>
    <cellStyle name="20% - Accent2 33" xfId="138" xr:uid="{00000000-0005-0000-0000-00007E000000}"/>
    <cellStyle name="20% - Accent2 34" xfId="139" xr:uid="{00000000-0005-0000-0000-00007F000000}"/>
    <cellStyle name="20% - Accent2 35" xfId="140" xr:uid="{00000000-0005-0000-0000-000080000000}"/>
    <cellStyle name="20% - Accent2 36" xfId="141" xr:uid="{00000000-0005-0000-0000-000081000000}"/>
    <cellStyle name="20% - Accent2 4" xfId="142" xr:uid="{00000000-0005-0000-0000-000082000000}"/>
    <cellStyle name="20% - Accent2 5" xfId="143" xr:uid="{00000000-0005-0000-0000-000083000000}"/>
    <cellStyle name="20% - Accent2 6" xfId="144" xr:uid="{00000000-0005-0000-0000-000084000000}"/>
    <cellStyle name="20% - Accent2 7" xfId="145" xr:uid="{00000000-0005-0000-0000-000085000000}"/>
    <cellStyle name="20% - Accent2 8" xfId="146" xr:uid="{00000000-0005-0000-0000-000086000000}"/>
    <cellStyle name="20% - Accent2 9" xfId="147" xr:uid="{00000000-0005-0000-0000-000087000000}"/>
    <cellStyle name="20% - Accent3 10" xfId="148" xr:uid="{00000000-0005-0000-0000-000088000000}"/>
    <cellStyle name="20% - Accent3 11" xfId="149" xr:uid="{00000000-0005-0000-0000-000089000000}"/>
    <cellStyle name="20% - Accent3 12" xfId="150" xr:uid="{00000000-0005-0000-0000-00008A000000}"/>
    <cellStyle name="20% - Accent3 13" xfId="151" xr:uid="{00000000-0005-0000-0000-00008B000000}"/>
    <cellStyle name="20% - Accent3 14" xfId="152" xr:uid="{00000000-0005-0000-0000-00008C000000}"/>
    <cellStyle name="20% - Accent3 15" xfId="153" xr:uid="{00000000-0005-0000-0000-00008D000000}"/>
    <cellStyle name="20% - Accent3 15 2" xfId="154" xr:uid="{00000000-0005-0000-0000-00008E000000}"/>
    <cellStyle name="20% - Accent3 15 3" xfId="155" xr:uid="{00000000-0005-0000-0000-00008F000000}"/>
    <cellStyle name="20% - Accent3 15 4" xfId="156" xr:uid="{00000000-0005-0000-0000-000090000000}"/>
    <cellStyle name="20% - Accent3 15 5" xfId="157" xr:uid="{00000000-0005-0000-0000-000091000000}"/>
    <cellStyle name="20% - Accent3 16" xfId="158" xr:uid="{00000000-0005-0000-0000-000092000000}"/>
    <cellStyle name="20% - Accent3 16 2" xfId="159" xr:uid="{00000000-0005-0000-0000-000093000000}"/>
    <cellStyle name="20% - Accent3 16 3" xfId="160" xr:uid="{00000000-0005-0000-0000-000094000000}"/>
    <cellStyle name="20% - Accent3 16 4" xfId="161" xr:uid="{00000000-0005-0000-0000-000095000000}"/>
    <cellStyle name="20% - Accent3 16 5" xfId="162" xr:uid="{00000000-0005-0000-0000-000096000000}"/>
    <cellStyle name="20% - Accent3 17" xfId="163" xr:uid="{00000000-0005-0000-0000-000097000000}"/>
    <cellStyle name="20% - Accent3 17 2" xfId="164" xr:uid="{00000000-0005-0000-0000-000098000000}"/>
    <cellStyle name="20% - Accent3 17 3" xfId="165" xr:uid="{00000000-0005-0000-0000-000099000000}"/>
    <cellStyle name="20% - Accent3 17 4" xfId="166" xr:uid="{00000000-0005-0000-0000-00009A000000}"/>
    <cellStyle name="20% - Accent3 17 5" xfId="167" xr:uid="{00000000-0005-0000-0000-00009B000000}"/>
    <cellStyle name="20% - Accent3 18" xfId="168" xr:uid="{00000000-0005-0000-0000-00009C000000}"/>
    <cellStyle name="20% - Accent3 19" xfId="169" xr:uid="{00000000-0005-0000-0000-00009D000000}"/>
    <cellStyle name="20% - Accent3 2" xfId="170" xr:uid="{00000000-0005-0000-0000-00009E000000}"/>
    <cellStyle name="20% - Accent3 2 10" xfId="171" xr:uid="{00000000-0005-0000-0000-00009F000000}"/>
    <cellStyle name="20% - Accent3 2 2" xfId="172" xr:uid="{00000000-0005-0000-0000-0000A0000000}"/>
    <cellStyle name="20% - Accent3 2 2 2" xfId="173" xr:uid="{00000000-0005-0000-0000-0000A1000000}"/>
    <cellStyle name="20% - Accent3 2 2 2 2" xfId="174" xr:uid="{00000000-0005-0000-0000-0000A2000000}"/>
    <cellStyle name="20% - Accent3 2 2 2 2 2" xfId="175" xr:uid="{00000000-0005-0000-0000-0000A3000000}"/>
    <cellStyle name="20% - Accent3 2 2 2 2 3" xfId="176" xr:uid="{00000000-0005-0000-0000-0000A4000000}"/>
    <cellStyle name="20% - Accent3 2 2 2 3" xfId="177" xr:uid="{00000000-0005-0000-0000-0000A5000000}"/>
    <cellStyle name="20% - Accent3 2 2 2 4" xfId="178" xr:uid="{00000000-0005-0000-0000-0000A6000000}"/>
    <cellStyle name="20% - Accent3 2 2 2 5" xfId="179" xr:uid="{00000000-0005-0000-0000-0000A7000000}"/>
    <cellStyle name="20% - Accent3 2 2 2 6" xfId="180" xr:uid="{00000000-0005-0000-0000-0000A8000000}"/>
    <cellStyle name="20% - Accent3 2 2 3" xfId="181" xr:uid="{00000000-0005-0000-0000-0000A9000000}"/>
    <cellStyle name="20% - Accent3 2 2 4" xfId="182" xr:uid="{00000000-0005-0000-0000-0000AA000000}"/>
    <cellStyle name="20% - Accent3 2 2 5" xfId="183" xr:uid="{00000000-0005-0000-0000-0000AB000000}"/>
    <cellStyle name="20% - Accent3 2 2 6" xfId="184" xr:uid="{00000000-0005-0000-0000-0000AC000000}"/>
    <cellStyle name="20% - Accent3 2 3" xfId="185" xr:uid="{00000000-0005-0000-0000-0000AD000000}"/>
    <cellStyle name="20% - Accent3 2 4" xfId="186" xr:uid="{00000000-0005-0000-0000-0000AE000000}"/>
    <cellStyle name="20% - Accent3 2 5" xfId="187" xr:uid="{00000000-0005-0000-0000-0000AF000000}"/>
    <cellStyle name="20% - Accent3 2 6" xfId="188" xr:uid="{00000000-0005-0000-0000-0000B0000000}"/>
    <cellStyle name="20% - Accent3 2 7" xfId="189" xr:uid="{00000000-0005-0000-0000-0000B1000000}"/>
    <cellStyle name="20% - Accent3 2 8" xfId="190" xr:uid="{00000000-0005-0000-0000-0000B2000000}"/>
    <cellStyle name="20% - Accent3 2 9" xfId="191" xr:uid="{00000000-0005-0000-0000-0000B3000000}"/>
    <cellStyle name="20% - Accent3 20" xfId="192" xr:uid="{00000000-0005-0000-0000-0000B4000000}"/>
    <cellStyle name="20% - Accent3 21" xfId="193" xr:uid="{00000000-0005-0000-0000-0000B5000000}"/>
    <cellStyle name="20% - Accent3 22" xfId="194" xr:uid="{00000000-0005-0000-0000-0000B6000000}"/>
    <cellStyle name="20% - Accent3 23" xfId="195" xr:uid="{00000000-0005-0000-0000-0000B7000000}"/>
    <cellStyle name="20% - Accent3 24" xfId="196" xr:uid="{00000000-0005-0000-0000-0000B8000000}"/>
    <cellStyle name="20% - Accent3 25" xfId="197" xr:uid="{00000000-0005-0000-0000-0000B9000000}"/>
    <cellStyle name="20% - Accent3 26" xfId="198" xr:uid="{00000000-0005-0000-0000-0000BA000000}"/>
    <cellStyle name="20% - Accent3 27" xfId="199" xr:uid="{00000000-0005-0000-0000-0000BB000000}"/>
    <cellStyle name="20% - Accent3 28" xfId="200" xr:uid="{00000000-0005-0000-0000-0000BC000000}"/>
    <cellStyle name="20% - Accent3 29" xfId="201" xr:uid="{00000000-0005-0000-0000-0000BD000000}"/>
    <cellStyle name="20% - Accent3 3" xfId="202" xr:uid="{00000000-0005-0000-0000-0000BE000000}"/>
    <cellStyle name="20% - Accent3 30" xfId="203" xr:uid="{00000000-0005-0000-0000-0000BF000000}"/>
    <cellStyle name="20% - Accent3 31" xfId="204" xr:uid="{00000000-0005-0000-0000-0000C0000000}"/>
    <cellStyle name="20% - Accent3 32" xfId="205" xr:uid="{00000000-0005-0000-0000-0000C1000000}"/>
    <cellStyle name="20% - Accent3 33" xfId="206" xr:uid="{00000000-0005-0000-0000-0000C2000000}"/>
    <cellStyle name="20% - Accent3 34" xfId="207" xr:uid="{00000000-0005-0000-0000-0000C3000000}"/>
    <cellStyle name="20% - Accent3 35" xfId="208" xr:uid="{00000000-0005-0000-0000-0000C4000000}"/>
    <cellStyle name="20% - Accent3 36" xfId="209" xr:uid="{00000000-0005-0000-0000-0000C5000000}"/>
    <cellStyle name="20% - Accent3 4" xfId="210" xr:uid="{00000000-0005-0000-0000-0000C6000000}"/>
    <cellStyle name="20% - Accent3 5" xfId="211" xr:uid="{00000000-0005-0000-0000-0000C7000000}"/>
    <cellStyle name="20% - Accent3 6" xfId="212" xr:uid="{00000000-0005-0000-0000-0000C8000000}"/>
    <cellStyle name="20% - Accent3 7" xfId="213" xr:uid="{00000000-0005-0000-0000-0000C9000000}"/>
    <cellStyle name="20% - Accent3 8" xfId="214" xr:uid="{00000000-0005-0000-0000-0000CA000000}"/>
    <cellStyle name="20% - Accent3 9" xfId="215" xr:uid="{00000000-0005-0000-0000-0000CB000000}"/>
    <cellStyle name="20% - Accent4 10" xfId="216" xr:uid="{00000000-0005-0000-0000-0000CC000000}"/>
    <cellStyle name="20% - Accent4 11" xfId="217" xr:uid="{00000000-0005-0000-0000-0000CD000000}"/>
    <cellStyle name="20% - Accent4 12" xfId="218" xr:uid="{00000000-0005-0000-0000-0000CE000000}"/>
    <cellStyle name="20% - Accent4 13" xfId="219" xr:uid="{00000000-0005-0000-0000-0000CF000000}"/>
    <cellStyle name="20% - Accent4 14" xfId="220" xr:uid="{00000000-0005-0000-0000-0000D0000000}"/>
    <cellStyle name="20% - Accent4 15" xfId="221" xr:uid="{00000000-0005-0000-0000-0000D1000000}"/>
    <cellStyle name="20% - Accent4 15 2" xfId="222" xr:uid="{00000000-0005-0000-0000-0000D2000000}"/>
    <cellStyle name="20% - Accent4 15 3" xfId="223" xr:uid="{00000000-0005-0000-0000-0000D3000000}"/>
    <cellStyle name="20% - Accent4 15 4" xfId="224" xr:uid="{00000000-0005-0000-0000-0000D4000000}"/>
    <cellStyle name="20% - Accent4 15 5" xfId="225" xr:uid="{00000000-0005-0000-0000-0000D5000000}"/>
    <cellStyle name="20% - Accent4 16" xfId="226" xr:uid="{00000000-0005-0000-0000-0000D6000000}"/>
    <cellStyle name="20% - Accent4 16 2" xfId="227" xr:uid="{00000000-0005-0000-0000-0000D7000000}"/>
    <cellStyle name="20% - Accent4 16 3" xfId="228" xr:uid="{00000000-0005-0000-0000-0000D8000000}"/>
    <cellStyle name="20% - Accent4 16 4" xfId="229" xr:uid="{00000000-0005-0000-0000-0000D9000000}"/>
    <cellStyle name="20% - Accent4 16 5" xfId="230" xr:uid="{00000000-0005-0000-0000-0000DA000000}"/>
    <cellStyle name="20% - Accent4 17" xfId="231" xr:uid="{00000000-0005-0000-0000-0000DB000000}"/>
    <cellStyle name="20% - Accent4 17 2" xfId="232" xr:uid="{00000000-0005-0000-0000-0000DC000000}"/>
    <cellStyle name="20% - Accent4 17 3" xfId="233" xr:uid="{00000000-0005-0000-0000-0000DD000000}"/>
    <cellStyle name="20% - Accent4 17 4" xfId="234" xr:uid="{00000000-0005-0000-0000-0000DE000000}"/>
    <cellStyle name="20% - Accent4 17 5" xfId="235" xr:uid="{00000000-0005-0000-0000-0000DF000000}"/>
    <cellStyle name="20% - Accent4 18" xfId="236" xr:uid="{00000000-0005-0000-0000-0000E0000000}"/>
    <cellStyle name="20% - Accent4 19" xfId="237" xr:uid="{00000000-0005-0000-0000-0000E1000000}"/>
    <cellStyle name="20% - Accent4 2" xfId="238" xr:uid="{00000000-0005-0000-0000-0000E2000000}"/>
    <cellStyle name="20% - Accent4 2 10" xfId="239" xr:uid="{00000000-0005-0000-0000-0000E3000000}"/>
    <cellStyle name="20% - Accent4 2 2" xfId="240" xr:uid="{00000000-0005-0000-0000-0000E4000000}"/>
    <cellStyle name="20% - Accent4 2 2 2" xfId="241" xr:uid="{00000000-0005-0000-0000-0000E5000000}"/>
    <cellStyle name="20% - Accent4 2 2 2 2" xfId="242" xr:uid="{00000000-0005-0000-0000-0000E6000000}"/>
    <cellStyle name="20% - Accent4 2 2 2 2 2" xfId="243" xr:uid="{00000000-0005-0000-0000-0000E7000000}"/>
    <cellStyle name="20% - Accent4 2 2 2 2 3" xfId="244" xr:uid="{00000000-0005-0000-0000-0000E8000000}"/>
    <cellStyle name="20% - Accent4 2 2 2 3" xfId="245" xr:uid="{00000000-0005-0000-0000-0000E9000000}"/>
    <cellStyle name="20% - Accent4 2 2 2 4" xfId="246" xr:uid="{00000000-0005-0000-0000-0000EA000000}"/>
    <cellStyle name="20% - Accent4 2 2 2 5" xfId="247" xr:uid="{00000000-0005-0000-0000-0000EB000000}"/>
    <cellStyle name="20% - Accent4 2 2 2 6" xfId="248" xr:uid="{00000000-0005-0000-0000-0000EC000000}"/>
    <cellStyle name="20% - Accent4 2 2 3" xfId="249" xr:uid="{00000000-0005-0000-0000-0000ED000000}"/>
    <cellStyle name="20% - Accent4 2 2 4" xfId="250" xr:uid="{00000000-0005-0000-0000-0000EE000000}"/>
    <cellStyle name="20% - Accent4 2 2 5" xfId="251" xr:uid="{00000000-0005-0000-0000-0000EF000000}"/>
    <cellStyle name="20% - Accent4 2 2 6" xfId="252" xr:uid="{00000000-0005-0000-0000-0000F0000000}"/>
    <cellStyle name="20% - Accent4 2 3" xfId="253" xr:uid="{00000000-0005-0000-0000-0000F1000000}"/>
    <cellStyle name="20% - Accent4 2 4" xfId="254" xr:uid="{00000000-0005-0000-0000-0000F2000000}"/>
    <cellStyle name="20% - Accent4 2 5" xfId="255" xr:uid="{00000000-0005-0000-0000-0000F3000000}"/>
    <cellStyle name="20% - Accent4 2 6" xfId="256" xr:uid="{00000000-0005-0000-0000-0000F4000000}"/>
    <cellStyle name="20% - Accent4 2 7" xfId="257" xr:uid="{00000000-0005-0000-0000-0000F5000000}"/>
    <cellStyle name="20% - Accent4 2 8" xfId="258" xr:uid="{00000000-0005-0000-0000-0000F6000000}"/>
    <cellStyle name="20% - Accent4 2 9" xfId="259" xr:uid="{00000000-0005-0000-0000-0000F7000000}"/>
    <cellStyle name="20% - Accent4 20" xfId="260" xr:uid="{00000000-0005-0000-0000-0000F8000000}"/>
    <cellStyle name="20% - Accent4 21" xfId="261" xr:uid="{00000000-0005-0000-0000-0000F9000000}"/>
    <cellStyle name="20% - Accent4 22" xfId="262" xr:uid="{00000000-0005-0000-0000-0000FA000000}"/>
    <cellStyle name="20% - Accent4 23" xfId="263" xr:uid="{00000000-0005-0000-0000-0000FB000000}"/>
    <cellStyle name="20% - Accent4 24" xfId="264" xr:uid="{00000000-0005-0000-0000-0000FC000000}"/>
    <cellStyle name="20% - Accent4 25" xfId="265" xr:uid="{00000000-0005-0000-0000-0000FD000000}"/>
    <cellStyle name="20% - Accent4 26" xfId="266" xr:uid="{00000000-0005-0000-0000-0000FE000000}"/>
    <cellStyle name="20% - Accent4 27" xfId="267" xr:uid="{00000000-0005-0000-0000-0000FF000000}"/>
    <cellStyle name="20% - Accent4 28" xfId="268" xr:uid="{00000000-0005-0000-0000-000000010000}"/>
    <cellStyle name="20% - Accent4 29" xfId="269" xr:uid="{00000000-0005-0000-0000-000001010000}"/>
    <cellStyle name="20% - Accent4 3" xfId="270" xr:uid="{00000000-0005-0000-0000-000002010000}"/>
    <cellStyle name="20% - Accent4 30" xfId="271" xr:uid="{00000000-0005-0000-0000-000003010000}"/>
    <cellStyle name="20% - Accent4 31" xfId="272" xr:uid="{00000000-0005-0000-0000-000004010000}"/>
    <cellStyle name="20% - Accent4 32" xfId="273" xr:uid="{00000000-0005-0000-0000-000005010000}"/>
    <cellStyle name="20% - Accent4 33" xfId="274" xr:uid="{00000000-0005-0000-0000-000006010000}"/>
    <cellStyle name="20% - Accent4 34" xfId="275" xr:uid="{00000000-0005-0000-0000-000007010000}"/>
    <cellStyle name="20% - Accent4 35" xfId="276" xr:uid="{00000000-0005-0000-0000-000008010000}"/>
    <cellStyle name="20% - Accent4 36" xfId="277" xr:uid="{00000000-0005-0000-0000-000009010000}"/>
    <cellStyle name="20% - Accent4 4" xfId="278" xr:uid="{00000000-0005-0000-0000-00000A010000}"/>
    <cellStyle name="20% - Accent4 5" xfId="279" xr:uid="{00000000-0005-0000-0000-00000B010000}"/>
    <cellStyle name="20% - Accent4 6" xfId="280" xr:uid="{00000000-0005-0000-0000-00000C010000}"/>
    <cellStyle name="20% - Accent4 7" xfId="281" xr:uid="{00000000-0005-0000-0000-00000D010000}"/>
    <cellStyle name="20% - Accent4 8" xfId="282" xr:uid="{00000000-0005-0000-0000-00000E010000}"/>
    <cellStyle name="20% - Accent4 9" xfId="283" xr:uid="{00000000-0005-0000-0000-00000F010000}"/>
    <cellStyle name="20% - Accent5 10" xfId="284" xr:uid="{00000000-0005-0000-0000-000010010000}"/>
    <cellStyle name="20% - Accent5 11" xfId="285" xr:uid="{00000000-0005-0000-0000-000011010000}"/>
    <cellStyle name="20% - Accent5 12" xfId="286" xr:uid="{00000000-0005-0000-0000-000012010000}"/>
    <cellStyle name="20% - Accent5 13" xfId="287" xr:uid="{00000000-0005-0000-0000-000013010000}"/>
    <cellStyle name="20% - Accent5 14" xfId="288" xr:uid="{00000000-0005-0000-0000-000014010000}"/>
    <cellStyle name="20% - Accent5 15" xfId="289" xr:uid="{00000000-0005-0000-0000-000015010000}"/>
    <cellStyle name="20% - Accent5 15 2" xfId="290" xr:uid="{00000000-0005-0000-0000-000016010000}"/>
    <cellStyle name="20% - Accent5 15 3" xfId="291" xr:uid="{00000000-0005-0000-0000-000017010000}"/>
    <cellStyle name="20% - Accent5 15 4" xfId="292" xr:uid="{00000000-0005-0000-0000-000018010000}"/>
    <cellStyle name="20% - Accent5 15 5" xfId="293" xr:uid="{00000000-0005-0000-0000-000019010000}"/>
    <cellStyle name="20% - Accent5 16" xfId="294" xr:uid="{00000000-0005-0000-0000-00001A010000}"/>
    <cellStyle name="20% - Accent5 16 2" xfId="295" xr:uid="{00000000-0005-0000-0000-00001B010000}"/>
    <cellStyle name="20% - Accent5 16 3" xfId="296" xr:uid="{00000000-0005-0000-0000-00001C010000}"/>
    <cellStyle name="20% - Accent5 16 4" xfId="297" xr:uid="{00000000-0005-0000-0000-00001D010000}"/>
    <cellStyle name="20% - Accent5 16 5" xfId="298" xr:uid="{00000000-0005-0000-0000-00001E010000}"/>
    <cellStyle name="20% - Accent5 17" xfId="299" xr:uid="{00000000-0005-0000-0000-00001F010000}"/>
    <cellStyle name="20% - Accent5 17 2" xfId="300" xr:uid="{00000000-0005-0000-0000-000020010000}"/>
    <cellStyle name="20% - Accent5 17 3" xfId="301" xr:uid="{00000000-0005-0000-0000-000021010000}"/>
    <cellStyle name="20% - Accent5 17 4" xfId="302" xr:uid="{00000000-0005-0000-0000-000022010000}"/>
    <cellStyle name="20% - Accent5 17 5" xfId="303" xr:uid="{00000000-0005-0000-0000-000023010000}"/>
    <cellStyle name="20% - Accent5 18" xfId="304" xr:uid="{00000000-0005-0000-0000-000024010000}"/>
    <cellStyle name="20% - Accent5 19" xfId="305" xr:uid="{00000000-0005-0000-0000-000025010000}"/>
    <cellStyle name="20% - Accent5 2" xfId="306" xr:uid="{00000000-0005-0000-0000-000026010000}"/>
    <cellStyle name="20% - Accent5 2 10" xfId="307" xr:uid="{00000000-0005-0000-0000-000027010000}"/>
    <cellStyle name="20% - Accent5 2 2" xfId="308" xr:uid="{00000000-0005-0000-0000-000028010000}"/>
    <cellStyle name="20% - Accent5 2 2 2" xfId="309" xr:uid="{00000000-0005-0000-0000-000029010000}"/>
    <cellStyle name="20% - Accent5 2 2 2 2" xfId="310" xr:uid="{00000000-0005-0000-0000-00002A010000}"/>
    <cellStyle name="20% - Accent5 2 2 2 2 2" xfId="311" xr:uid="{00000000-0005-0000-0000-00002B010000}"/>
    <cellStyle name="20% - Accent5 2 2 2 2 3" xfId="312" xr:uid="{00000000-0005-0000-0000-00002C010000}"/>
    <cellStyle name="20% - Accent5 2 2 2 3" xfId="313" xr:uid="{00000000-0005-0000-0000-00002D010000}"/>
    <cellStyle name="20% - Accent5 2 2 2 4" xfId="314" xr:uid="{00000000-0005-0000-0000-00002E010000}"/>
    <cellStyle name="20% - Accent5 2 2 2 5" xfId="315" xr:uid="{00000000-0005-0000-0000-00002F010000}"/>
    <cellStyle name="20% - Accent5 2 2 2 6" xfId="316" xr:uid="{00000000-0005-0000-0000-000030010000}"/>
    <cellStyle name="20% - Accent5 2 2 3" xfId="317" xr:uid="{00000000-0005-0000-0000-000031010000}"/>
    <cellStyle name="20% - Accent5 2 2 4" xfId="318" xr:uid="{00000000-0005-0000-0000-000032010000}"/>
    <cellStyle name="20% - Accent5 2 2 5" xfId="319" xr:uid="{00000000-0005-0000-0000-000033010000}"/>
    <cellStyle name="20% - Accent5 2 2 6" xfId="320" xr:uid="{00000000-0005-0000-0000-000034010000}"/>
    <cellStyle name="20% - Accent5 2 3" xfId="321" xr:uid="{00000000-0005-0000-0000-000035010000}"/>
    <cellStyle name="20% - Accent5 2 4" xfId="322" xr:uid="{00000000-0005-0000-0000-000036010000}"/>
    <cellStyle name="20% - Accent5 2 5" xfId="323" xr:uid="{00000000-0005-0000-0000-000037010000}"/>
    <cellStyle name="20% - Accent5 2 6" xfId="324" xr:uid="{00000000-0005-0000-0000-000038010000}"/>
    <cellStyle name="20% - Accent5 2 7" xfId="325" xr:uid="{00000000-0005-0000-0000-000039010000}"/>
    <cellStyle name="20% - Accent5 2 8" xfId="326" xr:uid="{00000000-0005-0000-0000-00003A010000}"/>
    <cellStyle name="20% - Accent5 2 9" xfId="327" xr:uid="{00000000-0005-0000-0000-00003B010000}"/>
    <cellStyle name="20% - Accent5 20" xfId="328" xr:uid="{00000000-0005-0000-0000-00003C010000}"/>
    <cellStyle name="20% - Accent5 21" xfId="329" xr:uid="{00000000-0005-0000-0000-00003D010000}"/>
    <cellStyle name="20% - Accent5 22" xfId="330" xr:uid="{00000000-0005-0000-0000-00003E010000}"/>
    <cellStyle name="20% - Accent5 23" xfId="331" xr:uid="{00000000-0005-0000-0000-00003F010000}"/>
    <cellStyle name="20% - Accent5 24" xfId="332" xr:uid="{00000000-0005-0000-0000-000040010000}"/>
    <cellStyle name="20% - Accent5 25" xfId="333" xr:uid="{00000000-0005-0000-0000-000041010000}"/>
    <cellStyle name="20% - Accent5 26" xfId="334" xr:uid="{00000000-0005-0000-0000-000042010000}"/>
    <cellStyle name="20% - Accent5 27" xfId="335" xr:uid="{00000000-0005-0000-0000-000043010000}"/>
    <cellStyle name="20% - Accent5 28" xfId="336" xr:uid="{00000000-0005-0000-0000-000044010000}"/>
    <cellStyle name="20% - Accent5 29" xfId="337" xr:uid="{00000000-0005-0000-0000-000045010000}"/>
    <cellStyle name="20% - Accent5 3" xfId="338" xr:uid="{00000000-0005-0000-0000-000046010000}"/>
    <cellStyle name="20% - Accent5 30" xfId="339" xr:uid="{00000000-0005-0000-0000-000047010000}"/>
    <cellStyle name="20% - Accent5 31" xfId="340" xr:uid="{00000000-0005-0000-0000-000048010000}"/>
    <cellStyle name="20% - Accent5 32" xfId="341" xr:uid="{00000000-0005-0000-0000-000049010000}"/>
    <cellStyle name="20% - Accent5 33" xfId="342" xr:uid="{00000000-0005-0000-0000-00004A010000}"/>
    <cellStyle name="20% - Accent5 34" xfId="343" xr:uid="{00000000-0005-0000-0000-00004B010000}"/>
    <cellStyle name="20% - Accent5 35" xfId="344" xr:uid="{00000000-0005-0000-0000-00004C010000}"/>
    <cellStyle name="20% - Accent5 36" xfId="345" xr:uid="{00000000-0005-0000-0000-00004D010000}"/>
    <cellStyle name="20% - Accent5 4" xfId="346" xr:uid="{00000000-0005-0000-0000-00004E010000}"/>
    <cellStyle name="20% - Accent5 5" xfId="347" xr:uid="{00000000-0005-0000-0000-00004F010000}"/>
    <cellStyle name="20% - Accent5 6" xfId="348" xr:uid="{00000000-0005-0000-0000-000050010000}"/>
    <cellStyle name="20% - Accent5 7" xfId="349" xr:uid="{00000000-0005-0000-0000-000051010000}"/>
    <cellStyle name="20% - Accent5 8" xfId="350" xr:uid="{00000000-0005-0000-0000-000052010000}"/>
    <cellStyle name="20% - Accent5 9" xfId="351" xr:uid="{00000000-0005-0000-0000-000053010000}"/>
    <cellStyle name="20% - Accent6 10" xfId="352" xr:uid="{00000000-0005-0000-0000-000054010000}"/>
    <cellStyle name="20% - Accent6 11" xfId="353" xr:uid="{00000000-0005-0000-0000-000055010000}"/>
    <cellStyle name="20% - Accent6 12" xfId="354" xr:uid="{00000000-0005-0000-0000-000056010000}"/>
    <cellStyle name="20% - Accent6 13" xfId="355" xr:uid="{00000000-0005-0000-0000-000057010000}"/>
    <cellStyle name="20% - Accent6 14" xfId="356" xr:uid="{00000000-0005-0000-0000-000058010000}"/>
    <cellStyle name="20% - Accent6 15" xfId="357" xr:uid="{00000000-0005-0000-0000-000059010000}"/>
    <cellStyle name="20% - Accent6 15 2" xfId="358" xr:uid="{00000000-0005-0000-0000-00005A010000}"/>
    <cellStyle name="20% - Accent6 15 3" xfId="359" xr:uid="{00000000-0005-0000-0000-00005B010000}"/>
    <cellStyle name="20% - Accent6 15 4" xfId="360" xr:uid="{00000000-0005-0000-0000-00005C010000}"/>
    <cellStyle name="20% - Accent6 15 5" xfId="361" xr:uid="{00000000-0005-0000-0000-00005D010000}"/>
    <cellStyle name="20% - Accent6 16" xfId="362" xr:uid="{00000000-0005-0000-0000-00005E010000}"/>
    <cellStyle name="20% - Accent6 16 2" xfId="363" xr:uid="{00000000-0005-0000-0000-00005F010000}"/>
    <cellStyle name="20% - Accent6 16 3" xfId="364" xr:uid="{00000000-0005-0000-0000-000060010000}"/>
    <cellStyle name="20% - Accent6 16 4" xfId="365" xr:uid="{00000000-0005-0000-0000-000061010000}"/>
    <cellStyle name="20% - Accent6 16 5" xfId="366" xr:uid="{00000000-0005-0000-0000-000062010000}"/>
    <cellStyle name="20% - Accent6 17" xfId="367" xr:uid="{00000000-0005-0000-0000-000063010000}"/>
    <cellStyle name="20% - Accent6 17 2" xfId="368" xr:uid="{00000000-0005-0000-0000-000064010000}"/>
    <cellStyle name="20% - Accent6 17 3" xfId="369" xr:uid="{00000000-0005-0000-0000-000065010000}"/>
    <cellStyle name="20% - Accent6 17 4" xfId="370" xr:uid="{00000000-0005-0000-0000-000066010000}"/>
    <cellStyle name="20% - Accent6 17 5" xfId="371" xr:uid="{00000000-0005-0000-0000-000067010000}"/>
    <cellStyle name="20% - Accent6 18" xfId="372" xr:uid="{00000000-0005-0000-0000-000068010000}"/>
    <cellStyle name="20% - Accent6 19" xfId="373" xr:uid="{00000000-0005-0000-0000-000069010000}"/>
    <cellStyle name="20% - Accent6 2" xfId="374" xr:uid="{00000000-0005-0000-0000-00006A010000}"/>
    <cellStyle name="20% - Accent6 2 10" xfId="375" xr:uid="{00000000-0005-0000-0000-00006B010000}"/>
    <cellStyle name="20% - Accent6 2 2" xfId="376" xr:uid="{00000000-0005-0000-0000-00006C010000}"/>
    <cellStyle name="20% - Accent6 2 2 2" xfId="377" xr:uid="{00000000-0005-0000-0000-00006D010000}"/>
    <cellStyle name="20% - Accent6 2 2 2 2" xfId="378" xr:uid="{00000000-0005-0000-0000-00006E010000}"/>
    <cellStyle name="20% - Accent6 2 2 2 2 2" xfId="379" xr:uid="{00000000-0005-0000-0000-00006F010000}"/>
    <cellStyle name="20% - Accent6 2 2 2 2 3" xfId="380" xr:uid="{00000000-0005-0000-0000-000070010000}"/>
    <cellStyle name="20% - Accent6 2 2 2 3" xfId="381" xr:uid="{00000000-0005-0000-0000-000071010000}"/>
    <cellStyle name="20% - Accent6 2 2 2 4" xfId="382" xr:uid="{00000000-0005-0000-0000-000072010000}"/>
    <cellStyle name="20% - Accent6 2 2 2 5" xfId="383" xr:uid="{00000000-0005-0000-0000-000073010000}"/>
    <cellStyle name="20% - Accent6 2 2 2 6" xfId="384" xr:uid="{00000000-0005-0000-0000-000074010000}"/>
    <cellStyle name="20% - Accent6 2 2 3" xfId="385" xr:uid="{00000000-0005-0000-0000-000075010000}"/>
    <cellStyle name="20% - Accent6 2 2 4" xfId="386" xr:uid="{00000000-0005-0000-0000-000076010000}"/>
    <cellStyle name="20% - Accent6 2 2 5" xfId="387" xr:uid="{00000000-0005-0000-0000-000077010000}"/>
    <cellStyle name="20% - Accent6 2 2 6" xfId="388" xr:uid="{00000000-0005-0000-0000-000078010000}"/>
    <cellStyle name="20% - Accent6 2 3" xfId="389" xr:uid="{00000000-0005-0000-0000-000079010000}"/>
    <cellStyle name="20% - Accent6 2 4" xfId="390" xr:uid="{00000000-0005-0000-0000-00007A010000}"/>
    <cellStyle name="20% - Accent6 2 5" xfId="391" xr:uid="{00000000-0005-0000-0000-00007B010000}"/>
    <cellStyle name="20% - Accent6 2 6" xfId="392" xr:uid="{00000000-0005-0000-0000-00007C010000}"/>
    <cellStyle name="20% - Accent6 2 7" xfId="393" xr:uid="{00000000-0005-0000-0000-00007D010000}"/>
    <cellStyle name="20% - Accent6 2 8" xfId="394" xr:uid="{00000000-0005-0000-0000-00007E010000}"/>
    <cellStyle name="20% - Accent6 2 9" xfId="395" xr:uid="{00000000-0005-0000-0000-00007F010000}"/>
    <cellStyle name="20% - Accent6 20" xfId="396" xr:uid="{00000000-0005-0000-0000-000080010000}"/>
    <cellStyle name="20% - Accent6 21" xfId="397" xr:uid="{00000000-0005-0000-0000-000081010000}"/>
    <cellStyle name="20% - Accent6 22" xfId="398" xr:uid="{00000000-0005-0000-0000-000082010000}"/>
    <cellStyle name="20% - Accent6 23" xfId="399" xr:uid="{00000000-0005-0000-0000-000083010000}"/>
    <cellStyle name="20% - Accent6 24" xfId="400" xr:uid="{00000000-0005-0000-0000-000084010000}"/>
    <cellStyle name="20% - Accent6 25" xfId="401" xr:uid="{00000000-0005-0000-0000-000085010000}"/>
    <cellStyle name="20% - Accent6 26" xfId="402" xr:uid="{00000000-0005-0000-0000-000086010000}"/>
    <cellStyle name="20% - Accent6 27" xfId="403" xr:uid="{00000000-0005-0000-0000-000087010000}"/>
    <cellStyle name="20% - Accent6 28" xfId="404" xr:uid="{00000000-0005-0000-0000-000088010000}"/>
    <cellStyle name="20% - Accent6 29" xfId="405" xr:uid="{00000000-0005-0000-0000-000089010000}"/>
    <cellStyle name="20% - Accent6 3" xfId="406" xr:uid="{00000000-0005-0000-0000-00008A010000}"/>
    <cellStyle name="20% - Accent6 30" xfId="407" xr:uid="{00000000-0005-0000-0000-00008B010000}"/>
    <cellStyle name="20% - Accent6 31" xfId="408" xr:uid="{00000000-0005-0000-0000-00008C010000}"/>
    <cellStyle name="20% - Accent6 32" xfId="409" xr:uid="{00000000-0005-0000-0000-00008D010000}"/>
    <cellStyle name="20% - Accent6 33" xfId="410" xr:uid="{00000000-0005-0000-0000-00008E010000}"/>
    <cellStyle name="20% - Accent6 34" xfId="411" xr:uid="{00000000-0005-0000-0000-00008F010000}"/>
    <cellStyle name="20% - Accent6 35" xfId="412" xr:uid="{00000000-0005-0000-0000-000090010000}"/>
    <cellStyle name="20% - Accent6 36" xfId="413" xr:uid="{00000000-0005-0000-0000-000091010000}"/>
    <cellStyle name="20% - Accent6 4" xfId="414" xr:uid="{00000000-0005-0000-0000-000092010000}"/>
    <cellStyle name="20% - Accent6 5" xfId="415" xr:uid="{00000000-0005-0000-0000-000093010000}"/>
    <cellStyle name="20% - Accent6 6" xfId="416" xr:uid="{00000000-0005-0000-0000-000094010000}"/>
    <cellStyle name="20% - Accent6 7" xfId="417" xr:uid="{00000000-0005-0000-0000-000095010000}"/>
    <cellStyle name="20% - Accent6 8" xfId="418" xr:uid="{00000000-0005-0000-0000-000096010000}"/>
    <cellStyle name="20% - Accent6 9" xfId="419" xr:uid="{00000000-0005-0000-0000-000097010000}"/>
    <cellStyle name="40% - Accent1 10" xfId="420" xr:uid="{00000000-0005-0000-0000-000098010000}"/>
    <cellStyle name="40% - Accent1 11" xfId="421" xr:uid="{00000000-0005-0000-0000-000099010000}"/>
    <cellStyle name="40% - Accent1 12" xfId="422" xr:uid="{00000000-0005-0000-0000-00009A010000}"/>
    <cellStyle name="40% - Accent1 13" xfId="423" xr:uid="{00000000-0005-0000-0000-00009B010000}"/>
    <cellStyle name="40% - Accent1 14" xfId="424" xr:uid="{00000000-0005-0000-0000-00009C010000}"/>
    <cellStyle name="40% - Accent1 15" xfId="425" xr:uid="{00000000-0005-0000-0000-00009D010000}"/>
    <cellStyle name="40% - Accent1 15 2" xfId="426" xr:uid="{00000000-0005-0000-0000-00009E010000}"/>
    <cellStyle name="40% - Accent1 15 3" xfId="427" xr:uid="{00000000-0005-0000-0000-00009F010000}"/>
    <cellStyle name="40% - Accent1 15 4" xfId="428" xr:uid="{00000000-0005-0000-0000-0000A0010000}"/>
    <cellStyle name="40% - Accent1 15 5" xfId="429" xr:uid="{00000000-0005-0000-0000-0000A1010000}"/>
    <cellStyle name="40% - Accent1 16" xfId="430" xr:uid="{00000000-0005-0000-0000-0000A2010000}"/>
    <cellStyle name="40% - Accent1 16 2" xfId="431" xr:uid="{00000000-0005-0000-0000-0000A3010000}"/>
    <cellStyle name="40% - Accent1 16 3" xfId="432" xr:uid="{00000000-0005-0000-0000-0000A4010000}"/>
    <cellStyle name="40% - Accent1 16 4" xfId="433" xr:uid="{00000000-0005-0000-0000-0000A5010000}"/>
    <cellStyle name="40% - Accent1 16 5" xfId="434" xr:uid="{00000000-0005-0000-0000-0000A6010000}"/>
    <cellStyle name="40% - Accent1 17" xfId="435" xr:uid="{00000000-0005-0000-0000-0000A7010000}"/>
    <cellStyle name="40% - Accent1 17 2" xfId="436" xr:uid="{00000000-0005-0000-0000-0000A8010000}"/>
    <cellStyle name="40% - Accent1 17 3" xfId="437" xr:uid="{00000000-0005-0000-0000-0000A9010000}"/>
    <cellStyle name="40% - Accent1 17 4" xfId="438" xr:uid="{00000000-0005-0000-0000-0000AA010000}"/>
    <cellStyle name="40% - Accent1 17 5" xfId="439" xr:uid="{00000000-0005-0000-0000-0000AB010000}"/>
    <cellStyle name="40% - Accent1 18" xfId="440" xr:uid="{00000000-0005-0000-0000-0000AC010000}"/>
    <cellStyle name="40% - Accent1 19" xfId="441" xr:uid="{00000000-0005-0000-0000-0000AD010000}"/>
    <cellStyle name="40% - Accent1 2" xfId="442" xr:uid="{00000000-0005-0000-0000-0000AE010000}"/>
    <cellStyle name="40% - Accent1 2 10" xfId="443" xr:uid="{00000000-0005-0000-0000-0000AF010000}"/>
    <cellStyle name="40% - Accent1 2 2" xfId="444" xr:uid="{00000000-0005-0000-0000-0000B0010000}"/>
    <cellStyle name="40% - Accent1 2 2 2" xfId="445" xr:uid="{00000000-0005-0000-0000-0000B1010000}"/>
    <cellStyle name="40% - Accent1 2 2 2 2" xfId="446" xr:uid="{00000000-0005-0000-0000-0000B2010000}"/>
    <cellStyle name="40% - Accent1 2 2 2 2 2" xfId="447" xr:uid="{00000000-0005-0000-0000-0000B3010000}"/>
    <cellStyle name="40% - Accent1 2 2 2 2 3" xfId="448" xr:uid="{00000000-0005-0000-0000-0000B4010000}"/>
    <cellStyle name="40% - Accent1 2 2 2 3" xfId="449" xr:uid="{00000000-0005-0000-0000-0000B5010000}"/>
    <cellStyle name="40% - Accent1 2 2 2 4" xfId="450" xr:uid="{00000000-0005-0000-0000-0000B6010000}"/>
    <cellStyle name="40% - Accent1 2 2 2 5" xfId="451" xr:uid="{00000000-0005-0000-0000-0000B7010000}"/>
    <cellStyle name="40% - Accent1 2 2 2 6" xfId="452" xr:uid="{00000000-0005-0000-0000-0000B8010000}"/>
    <cellStyle name="40% - Accent1 2 2 3" xfId="453" xr:uid="{00000000-0005-0000-0000-0000B9010000}"/>
    <cellStyle name="40% - Accent1 2 2 4" xfId="454" xr:uid="{00000000-0005-0000-0000-0000BA010000}"/>
    <cellStyle name="40% - Accent1 2 2 5" xfId="455" xr:uid="{00000000-0005-0000-0000-0000BB010000}"/>
    <cellStyle name="40% - Accent1 2 2 6" xfId="456" xr:uid="{00000000-0005-0000-0000-0000BC010000}"/>
    <cellStyle name="40% - Accent1 2 3" xfId="457" xr:uid="{00000000-0005-0000-0000-0000BD010000}"/>
    <cellStyle name="40% - Accent1 2 4" xfId="458" xr:uid="{00000000-0005-0000-0000-0000BE010000}"/>
    <cellStyle name="40% - Accent1 2 5" xfId="459" xr:uid="{00000000-0005-0000-0000-0000BF010000}"/>
    <cellStyle name="40% - Accent1 2 6" xfId="460" xr:uid="{00000000-0005-0000-0000-0000C0010000}"/>
    <cellStyle name="40% - Accent1 2 7" xfId="461" xr:uid="{00000000-0005-0000-0000-0000C1010000}"/>
    <cellStyle name="40% - Accent1 2 8" xfId="462" xr:uid="{00000000-0005-0000-0000-0000C2010000}"/>
    <cellStyle name="40% - Accent1 2 9" xfId="463" xr:uid="{00000000-0005-0000-0000-0000C3010000}"/>
    <cellStyle name="40% - Accent1 20" xfId="464" xr:uid="{00000000-0005-0000-0000-0000C4010000}"/>
    <cellStyle name="40% - Accent1 21" xfId="465" xr:uid="{00000000-0005-0000-0000-0000C5010000}"/>
    <cellStyle name="40% - Accent1 22" xfId="466" xr:uid="{00000000-0005-0000-0000-0000C6010000}"/>
    <cellStyle name="40% - Accent1 23" xfId="467" xr:uid="{00000000-0005-0000-0000-0000C7010000}"/>
    <cellStyle name="40% - Accent1 24" xfId="468" xr:uid="{00000000-0005-0000-0000-0000C8010000}"/>
    <cellStyle name="40% - Accent1 25" xfId="469" xr:uid="{00000000-0005-0000-0000-0000C9010000}"/>
    <cellStyle name="40% - Accent1 26" xfId="470" xr:uid="{00000000-0005-0000-0000-0000CA010000}"/>
    <cellStyle name="40% - Accent1 27" xfId="471" xr:uid="{00000000-0005-0000-0000-0000CB010000}"/>
    <cellStyle name="40% - Accent1 28" xfId="472" xr:uid="{00000000-0005-0000-0000-0000CC010000}"/>
    <cellStyle name="40% - Accent1 29" xfId="473" xr:uid="{00000000-0005-0000-0000-0000CD010000}"/>
    <cellStyle name="40% - Accent1 3" xfId="474" xr:uid="{00000000-0005-0000-0000-0000CE010000}"/>
    <cellStyle name="40% - Accent1 30" xfId="475" xr:uid="{00000000-0005-0000-0000-0000CF010000}"/>
    <cellStyle name="40% - Accent1 31" xfId="476" xr:uid="{00000000-0005-0000-0000-0000D0010000}"/>
    <cellStyle name="40% - Accent1 32" xfId="477" xr:uid="{00000000-0005-0000-0000-0000D1010000}"/>
    <cellStyle name="40% - Accent1 33" xfId="478" xr:uid="{00000000-0005-0000-0000-0000D2010000}"/>
    <cellStyle name="40% - Accent1 34" xfId="479" xr:uid="{00000000-0005-0000-0000-0000D3010000}"/>
    <cellStyle name="40% - Accent1 35" xfId="480" xr:uid="{00000000-0005-0000-0000-0000D4010000}"/>
    <cellStyle name="40% - Accent1 36" xfId="481" xr:uid="{00000000-0005-0000-0000-0000D5010000}"/>
    <cellStyle name="40% - Accent1 4" xfId="482" xr:uid="{00000000-0005-0000-0000-0000D6010000}"/>
    <cellStyle name="40% - Accent1 5" xfId="483" xr:uid="{00000000-0005-0000-0000-0000D7010000}"/>
    <cellStyle name="40% - Accent1 6" xfId="484" xr:uid="{00000000-0005-0000-0000-0000D8010000}"/>
    <cellStyle name="40% - Accent1 7" xfId="485" xr:uid="{00000000-0005-0000-0000-0000D9010000}"/>
    <cellStyle name="40% - Accent1 8" xfId="486" xr:uid="{00000000-0005-0000-0000-0000DA010000}"/>
    <cellStyle name="40% - Accent1 9" xfId="487" xr:uid="{00000000-0005-0000-0000-0000DB010000}"/>
    <cellStyle name="40% - Accent2 10" xfId="488" xr:uid="{00000000-0005-0000-0000-0000DC010000}"/>
    <cellStyle name="40% - Accent2 11" xfId="489" xr:uid="{00000000-0005-0000-0000-0000DD010000}"/>
    <cellStyle name="40% - Accent2 12" xfId="490" xr:uid="{00000000-0005-0000-0000-0000DE010000}"/>
    <cellStyle name="40% - Accent2 13" xfId="491" xr:uid="{00000000-0005-0000-0000-0000DF010000}"/>
    <cellStyle name="40% - Accent2 14" xfId="492" xr:uid="{00000000-0005-0000-0000-0000E0010000}"/>
    <cellStyle name="40% - Accent2 15" xfId="493" xr:uid="{00000000-0005-0000-0000-0000E1010000}"/>
    <cellStyle name="40% - Accent2 15 2" xfId="494" xr:uid="{00000000-0005-0000-0000-0000E2010000}"/>
    <cellStyle name="40% - Accent2 15 3" xfId="495" xr:uid="{00000000-0005-0000-0000-0000E3010000}"/>
    <cellStyle name="40% - Accent2 15 4" xfId="496" xr:uid="{00000000-0005-0000-0000-0000E4010000}"/>
    <cellStyle name="40% - Accent2 15 5" xfId="497" xr:uid="{00000000-0005-0000-0000-0000E5010000}"/>
    <cellStyle name="40% - Accent2 16" xfId="498" xr:uid="{00000000-0005-0000-0000-0000E6010000}"/>
    <cellStyle name="40% - Accent2 16 2" xfId="499" xr:uid="{00000000-0005-0000-0000-0000E7010000}"/>
    <cellStyle name="40% - Accent2 16 3" xfId="500" xr:uid="{00000000-0005-0000-0000-0000E8010000}"/>
    <cellStyle name="40% - Accent2 16 4" xfId="501" xr:uid="{00000000-0005-0000-0000-0000E9010000}"/>
    <cellStyle name="40% - Accent2 16 5" xfId="502" xr:uid="{00000000-0005-0000-0000-0000EA010000}"/>
    <cellStyle name="40% - Accent2 17" xfId="503" xr:uid="{00000000-0005-0000-0000-0000EB010000}"/>
    <cellStyle name="40% - Accent2 17 2" xfId="504" xr:uid="{00000000-0005-0000-0000-0000EC010000}"/>
    <cellStyle name="40% - Accent2 17 3" xfId="505" xr:uid="{00000000-0005-0000-0000-0000ED010000}"/>
    <cellStyle name="40% - Accent2 17 4" xfId="506" xr:uid="{00000000-0005-0000-0000-0000EE010000}"/>
    <cellStyle name="40% - Accent2 17 5" xfId="507" xr:uid="{00000000-0005-0000-0000-0000EF010000}"/>
    <cellStyle name="40% - Accent2 18" xfId="508" xr:uid="{00000000-0005-0000-0000-0000F0010000}"/>
    <cellStyle name="40% - Accent2 19" xfId="509" xr:uid="{00000000-0005-0000-0000-0000F1010000}"/>
    <cellStyle name="40% - Accent2 2" xfId="510" xr:uid="{00000000-0005-0000-0000-0000F2010000}"/>
    <cellStyle name="40% - Accent2 2 10" xfId="511" xr:uid="{00000000-0005-0000-0000-0000F3010000}"/>
    <cellStyle name="40% - Accent2 2 2" xfId="512" xr:uid="{00000000-0005-0000-0000-0000F4010000}"/>
    <cellStyle name="40% - Accent2 2 2 2" xfId="513" xr:uid="{00000000-0005-0000-0000-0000F5010000}"/>
    <cellStyle name="40% - Accent2 2 2 2 2" xfId="514" xr:uid="{00000000-0005-0000-0000-0000F6010000}"/>
    <cellStyle name="40% - Accent2 2 2 2 2 2" xfId="515" xr:uid="{00000000-0005-0000-0000-0000F7010000}"/>
    <cellStyle name="40% - Accent2 2 2 2 2 3" xfId="516" xr:uid="{00000000-0005-0000-0000-0000F8010000}"/>
    <cellStyle name="40% - Accent2 2 2 2 3" xfId="517" xr:uid="{00000000-0005-0000-0000-0000F9010000}"/>
    <cellStyle name="40% - Accent2 2 2 2 4" xfId="518" xr:uid="{00000000-0005-0000-0000-0000FA010000}"/>
    <cellStyle name="40% - Accent2 2 2 2 5" xfId="519" xr:uid="{00000000-0005-0000-0000-0000FB010000}"/>
    <cellStyle name="40% - Accent2 2 2 2 6" xfId="520" xr:uid="{00000000-0005-0000-0000-0000FC010000}"/>
    <cellStyle name="40% - Accent2 2 2 3" xfId="521" xr:uid="{00000000-0005-0000-0000-0000FD010000}"/>
    <cellStyle name="40% - Accent2 2 2 4" xfId="522" xr:uid="{00000000-0005-0000-0000-0000FE010000}"/>
    <cellStyle name="40% - Accent2 2 2 5" xfId="523" xr:uid="{00000000-0005-0000-0000-0000FF010000}"/>
    <cellStyle name="40% - Accent2 2 2 6" xfId="524" xr:uid="{00000000-0005-0000-0000-000000020000}"/>
    <cellStyle name="40% - Accent2 2 3" xfId="525" xr:uid="{00000000-0005-0000-0000-000001020000}"/>
    <cellStyle name="40% - Accent2 2 4" xfId="526" xr:uid="{00000000-0005-0000-0000-000002020000}"/>
    <cellStyle name="40% - Accent2 2 5" xfId="527" xr:uid="{00000000-0005-0000-0000-000003020000}"/>
    <cellStyle name="40% - Accent2 2 6" xfId="528" xr:uid="{00000000-0005-0000-0000-000004020000}"/>
    <cellStyle name="40% - Accent2 2 7" xfId="529" xr:uid="{00000000-0005-0000-0000-000005020000}"/>
    <cellStyle name="40% - Accent2 2 8" xfId="530" xr:uid="{00000000-0005-0000-0000-000006020000}"/>
    <cellStyle name="40% - Accent2 2 9" xfId="531" xr:uid="{00000000-0005-0000-0000-000007020000}"/>
    <cellStyle name="40% - Accent2 20" xfId="532" xr:uid="{00000000-0005-0000-0000-000008020000}"/>
    <cellStyle name="40% - Accent2 21" xfId="533" xr:uid="{00000000-0005-0000-0000-000009020000}"/>
    <cellStyle name="40% - Accent2 22" xfId="534" xr:uid="{00000000-0005-0000-0000-00000A020000}"/>
    <cellStyle name="40% - Accent2 23" xfId="535" xr:uid="{00000000-0005-0000-0000-00000B020000}"/>
    <cellStyle name="40% - Accent2 24" xfId="536" xr:uid="{00000000-0005-0000-0000-00000C020000}"/>
    <cellStyle name="40% - Accent2 25" xfId="537" xr:uid="{00000000-0005-0000-0000-00000D020000}"/>
    <cellStyle name="40% - Accent2 26" xfId="538" xr:uid="{00000000-0005-0000-0000-00000E020000}"/>
    <cellStyle name="40% - Accent2 27" xfId="539" xr:uid="{00000000-0005-0000-0000-00000F020000}"/>
    <cellStyle name="40% - Accent2 28" xfId="540" xr:uid="{00000000-0005-0000-0000-000010020000}"/>
    <cellStyle name="40% - Accent2 29" xfId="541" xr:uid="{00000000-0005-0000-0000-000011020000}"/>
    <cellStyle name="40% - Accent2 3" xfId="542" xr:uid="{00000000-0005-0000-0000-000012020000}"/>
    <cellStyle name="40% - Accent2 30" xfId="543" xr:uid="{00000000-0005-0000-0000-000013020000}"/>
    <cellStyle name="40% - Accent2 31" xfId="544" xr:uid="{00000000-0005-0000-0000-000014020000}"/>
    <cellStyle name="40% - Accent2 32" xfId="545" xr:uid="{00000000-0005-0000-0000-000015020000}"/>
    <cellStyle name="40% - Accent2 33" xfId="546" xr:uid="{00000000-0005-0000-0000-000016020000}"/>
    <cellStyle name="40% - Accent2 34" xfId="547" xr:uid="{00000000-0005-0000-0000-000017020000}"/>
    <cellStyle name="40% - Accent2 35" xfId="548" xr:uid="{00000000-0005-0000-0000-000018020000}"/>
    <cellStyle name="40% - Accent2 36" xfId="549" xr:uid="{00000000-0005-0000-0000-000019020000}"/>
    <cellStyle name="40% - Accent2 4" xfId="550" xr:uid="{00000000-0005-0000-0000-00001A020000}"/>
    <cellStyle name="40% - Accent2 5" xfId="551" xr:uid="{00000000-0005-0000-0000-00001B020000}"/>
    <cellStyle name="40% - Accent2 6" xfId="552" xr:uid="{00000000-0005-0000-0000-00001C020000}"/>
    <cellStyle name="40% - Accent2 7" xfId="553" xr:uid="{00000000-0005-0000-0000-00001D020000}"/>
    <cellStyle name="40% - Accent2 8" xfId="554" xr:uid="{00000000-0005-0000-0000-00001E020000}"/>
    <cellStyle name="40% - Accent2 9" xfId="555" xr:uid="{00000000-0005-0000-0000-00001F020000}"/>
    <cellStyle name="40% - Accent3 10" xfId="556" xr:uid="{00000000-0005-0000-0000-000020020000}"/>
    <cellStyle name="40% - Accent3 11" xfId="557" xr:uid="{00000000-0005-0000-0000-000021020000}"/>
    <cellStyle name="40% - Accent3 12" xfId="558" xr:uid="{00000000-0005-0000-0000-000022020000}"/>
    <cellStyle name="40% - Accent3 13" xfId="559" xr:uid="{00000000-0005-0000-0000-000023020000}"/>
    <cellStyle name="40% - Accent3 14" xfId="560" xr:uid="{00000000-0005-0000-0000-000024020000}"/>
    <cellStyle name="40% - Accent3 15" xfId="561" xr:uid="{00000000-0005-0000-0000-000025020000}"/>
    <cellStyle name="40% - Accent3 15 2" xfId="562" xr:uid="{00000000-0005-0000-0000-000026020000}"/>
    <cellStyle name="40% - Accent3 15 3" xfId="563" xr:uid="{00000000-0005-0000-0000-000027020000}"/>
    <cellStyle name="40% - Accent3 15 4" xfId="564" xr:uid="{00000000-0005-0000-0000-000028020000}"/>
    <cellStyle name="40% - Accent3 15 5" xfId="565" xr:uid="{00000000-0005-0000-0000-000029020000}"/>
    <cellStyle name="40% - Accent3 16" xfId="566" xr:uid="{00000000-0005-0000-0000-00002A020000}"/>
    <cellStyle name="40% - Accent3 16 2" xfId="567" xr:uid="{00000000-0005-0000-0000-00002B020000}"/>
    <cellStyle name="40% - Accent3 16 3" xfId="568" xr:uid="{00000000-0005-0000-0000-00002C020000}"/>
    <cellStyle name="40% - Accent3 16 4" xfId="569" xr:uid="{00000000-0005-0000-0000-00002D020000}"/>
    <cellStyle name="40% - Accent3 16 5" xfId="570" xr:uid="{00000000-0005-0000-0000-00002E020000}"/>
    <cellStyle name="40% - Accent3 17" xfId="571" xr:uid="{00000000-0005-0000-0000-00002F020000}"/>
    <cellStyle name="40% - Accent3 17 2" xfId="572" xr:uid="{00000000-0005-0000-0000-000030020000}"/>
    <cellStyle name="40% - Accent3 17 3" xfId="573" xr:uid="{00000000-0005-0000-0000-000031020000}"/>
    <cellStyle name="40% - Accent3 17 4" xfId="574" xr:uid="{00000000-0005-0000-0000-000032020000}"/>
    <cellStyle name="40% - Accent3 17 5" xfId="575" xr:uid="{00000000-0005-0000-0000-000033020000}"/>
    <cellStyle name="40% - Accent3 18" xfId="576" xr:uid="{00000000-0005-0000-0000-000034020000}"/>
    <cellStyle name="40% - Accent3 19" xfId="577" xr:uid="{00000000-0005-0000-0000-000035020000}"/>
    <cellStyle name="40% - Accent3 2" xfId="578" xr:uid="{00000000-0005-0000-0000-000036020000}"/>
    <cellStyle name="40% - Accent3 2 10" xfId="579" xr:uid="{00000000-0005-0000-0000-000037020000}"/>
    <cellStyle name="40% - Accent3 2 2" xfId="580" xr:uid="{00000000-0005-0000-0000-000038020000}"/>
    <cellStyle name="40% - Accent3 2 2 2" xfId="581" xr:uid="{00000000-0005-0000-0000-000039020000}"/>
    <cellStyle name="40% - Accent3 2 2 2 2" xfId="582" xr:uid="{00000000-0005-0000-0000-00003A020000}"/>
    <cellStyle name="40% - Accent3 2 2 2 2 2" xfId="583" xr:uid="{00000000-0005-0000-0000-00003B020000}"/>
    <cellStyle name="40% - Accent3 2 2 2 2 3" xfId="584" xr:uid="{00000000-0005-0000-0000-00003C020000}"/>
    <cellStyle name="40% - Accent3 2 2 2 3" xfId="585" xr:uid="{00000000-0005-0000-0000-00003D020000}"/>
    <cellStyle name="40% - Accent3 2 2 2 4" xfId="586" xr:uid="{00000000-0005-0000-0000-00003E020000}"/>
    <cellStyle name="40% - Accent3 2 2 2 5" xfId="587" xr:uid="{00000000-0005-0000-0000-00003F020000}"/>
    <cellStyle name="40% - Accent3 2 2 2 6" xfId="588" xr:uid="{00000000-0005-0000-0000-000040020000}"/>
    <cellStyle name="40% - Accent3 2 2 3" xfId="589" xr:uid="{00000000-0005-0000-0000-000041020000}"/>
    <cellStyle name="40% - Accent3 2 2 4" xfId="590" xr:uid="{00000000-0005-0000-0000-000042020000}"/>
    <cellStyle name="40% - Accent3 2 2 5" xfId="591" xr:uid="{00000000-0005-0000-0000-000043020000}"/>
    <cellStyle name="40% - Accent3 2 2 6" xfId="592" xr:uid="{00000000-0005-0000-0000-000044020000}"/>
    <cellStyle name="40% - Accent3 2 3" xfId="593" xr:uid="{00000000-0005-0000-0000-000045020000}"/>
    <cellStyle name="40% - Accent3 2 4" xfId="594" xr:uid="{00000000-0005-0000-0000-000046020000}"/>
    <cellStyle name="40% - Accent3 2 5" xfId="595" xr:uid="{00000000-0005-0000-0000-000047020000}"/>
    <cellStyle name="40% - Accent3 2 6" xfId="596" xr:uid="{00000000-0005-0000-0000-000048020000}"/>
    <cellStyle name="40% - Accent3 2 7" xfId="597" xr:uid="{00000000-0005-0000-0000-000049020000}"/>
    <cellStyle name="40% - Accent3 2 8" xfId="598" xr:uid="{00000000-0005-0000-0000-00004A020000}"/>
    <cellStyle name="40% - Accent3 2 9" xfId="599" xr:uid="{00000000-0005-0000-0000-00004B020000}"/>
    <cellStyle name="40% - Accent3 20" xfId="600" xr:uid="{00000000-0005-0000-0000-00004C020000}"/>
    <cellStyle name="40% - Accent3 21" xfId="601" xr:uid="{00000000-0005-0000-0000-00004D020000}"/>
    <cellStyle name="40% - Accent3 22" xfId="602" xr:uid="{00000000-0005-0000-0000-00004E020000}"/>
    <cellStyle name="40% - Accent3 23" xfId="603" xr:uid="{00000000-0005-0000-0000-00004F020000}"/>
    <cellStyle name="40% - Accent3 24" xfId="604" xr:uid="{00000000-0005-0000-0000-000050020000}"/>
    <cellStyle name="40% - Accent3 25" xfId="605" xr:uid="{00000000-0005-0000-0000-000051020000}"/>
    <cellStyle name="40% - Accent3 26" xfId="606" xr:uid="{00000000-0005-0000-0000-000052020000}"/>
    <cellStyle name="40% - Accent3 27" xfId="607" xr:uid="{00000000-0005-0000-0000-000053020000}"/>
    <cellStyle name="40% - Accent3 28" xfId="608" xr:uid="{00000000-0005-0000-0000-000054020000}"/>
    <cellStyle name="40% - Accent3 29" xfId="609" xr:uid="{00000000-0005-0000-0000-000055020000}"/>
    <cellStyle name="40% - Accent3 3" xfId="610" xr:uid="{00000000-0005-0000-0000-000056020000}"/>
    <cellStyle name="40% - Accent3 30" xfId="611" xr:uid="{00000000-0005-0000-0000-000057020000}"/>
    <cellStyle name="40% - Accent3 31" xfId="612" xr:uid="{00000000-0005-0000-0000-000058020000}"/>
    <cellStyle name="40% - Accent3 32" xfId="613" xr:uid="{00000000-0005-0000-0000-000059020000}"/>
    <cellStyle name="40% - Accent3 33" xfId="614" xr:uid="{00000000-0005-0000-0000-00005A020000}"/>
    <cellStyle name="40% - Accent3 34" xfId="615" xr:uid="{00000000-0005-0000-0000-00005B020000}"/>
    <cellStyle name="40% - Accent3 35" xfId="616" xr:uid="{00000000-0005-0000-0000-00005C020000}"/>
    <cellStyle name="40% - Accent3 36" xfId="617" xr:uid="{00000000-0005-0000-0000-00005D020000}"/>
    <cellStyle name="40% - Accent3 4" xfId="618" xr:uid="{00000000-0005-0000-0000-00005E020000}"/>
    <cellStyle name="40% - Accent3 5" xfId="619" xr:uid="{00000000-0005-0000-0000-00005F020000}"/>
    <cellStyle name="40% - Accent3 6" xfId="620" xr:uid="{00000000-0005-0000-0000-000060020000}"/>
    <cellStyle name="40% - Accent3 7" xfId="621" xr:uid="{00000000-0005-0000-0000-000061020000}"/>
    <cellStyle name="40% - Accent3 8" xfId="622" xr:uid="{00000000-0005-0000-0000-000062020000}"/>
    <cellStyle name="40% - Accent3 9" xfId="623" xr:uid="{00000000-0005-0000-0000-000063020000}"/>
    <cellStyle name="40% - Accent4 10" xfId="624" xr:uid="{00000000-0005-0000-0000-000064020000}"/>
    <cellStyle name="40% - Accent4 11" xfId="625" xr:uid="{00000000-0005-0000-0000-000065020000}"/>
    <cellStyle name="40% - Accent4 12" xfId="626" xr:uid="{00000000-0005-0000-0000-000066020000}"/>
    <cellStyle name="40% - Accent4 13" xfId="627" xr:uid="{00000000-0005-0000-0000-000067020000}"/>
    <cellStyle name="40% - Accent4 14" xfId="628" xr:uid="{00000000-0005-0000-0000-000068020000}"/>
    <cellStyle name="40% - Accent4 15" xfId="629" xr:uid="{00000000-0005-0000-0000-000069020000}"/>
    <cellStyle name="40% - Accent4 15 2" xfId="630" xr:uid="{00000000-0005-0000-0000-00006A020000}"/>
    <cellStyle name="40% - Accent4 15 3" xfId="631" xr:uid="{00000000-0005-0000-0000-00006B020000}"/>
    <cellStyle name="40% - Accent4 15 4" xfId="632" xr:uid="{00000000-0005-0000-0000-00006C020000}"/>
    <cellStyle name="40% - Accent4 15 5" xfId="633" xr:uid="{00000000-0005-0000-0000-00006D020000}"/>
    <cellStyle name="40% - Accent4 16" xfId="634" xr:uid="{00000000-0005-0000-0000-00006E020000}"/>
    <cellStyle name="40% - Accent4 16 2" xfId="635" xr:uid="{00000000-0005-0000-0000-00006F020000}"/>
    <cellStyle name="40% - Accent4 16 3" xfId="636" xr:uid="{00000000-0005-0000-0000-000070020000}"/>
    <cellStyle name="40% - Accent4 16 4" xfId="637" xr:uid="{00000000-0005-0000-0000-000071020000}"/>
    <cellStyle name="40% - Accent4 16 5" xfId="638" xr:uid="{00000000-0005-0000-0000-000072020000}"/>
    <cellStyle name="40% - Accent4 17" xfId="639" xr:uid="{00000000-0005-0000-0000-000073020000}"/>
    <cellStyle name="40% - Accent4 17 2" xfId="640" xr:uid="{00000000-0005-0000-0000-000074020000}"/>
    <cellStyle name="40% - Accent4 17 3" xfId="641" xr:uid="{00000000-0005-0000-0000-000075020000}"/>
    <cellStyle name="40% - Accent4 17 4" xfId="642" xr:uid="{00000000-0005-0000-0000-000076020000}"/>
    <cellStyle name="40% - Accent4 17 5" xfId="643" xr:uid="{00000000-0005-0000-0000-000077020000}"/>
    <cellStyle name="40% - Accent4 18" xfId="644" xr:uid="{00000000-0005-0000-0000-000078020000}"/>
    <cellStyle name="40% - Accent4 19" xfId="645" xr:uid="{00000000-0005-0000-0000-000079020000}"/>
    <cellStyle name="40% - Accent4 2" xfId="646" xr:uid="{00000000-0005-0000-0000-00007A020000}"/>
    <cellStyle name="40% - Accent4 2 10" xfId="647" xr:uid="{00000000-0005-0000-0000-00007B020000}"/>
    <cellStyle name="40% - Accent4 2 2" xfId="648" xr:uid="{00000000-0005-0000-0000-00007C020000}"/>
    <cellStyle name="40% - Accent4 2 2 2" xfId="649" xr:uid="{00000000-0005-0000-0000-00007D020000}"/>
    <cellStyle name="40% - Accent4 2 2 2 2" xfId="650" xr:uid="{00000000-0005-0000-0000-00007E020000}"/>
    <cellStyle name="40% - Accent4 2 2 2 2 2" xfId="651" xr:uid="{00000000-0005-0000-0000-00007F020000}"/>
    <cellStyle name="40% - Accent4 2 2 2 2 3" xfId="652" xr:uid="{00000000-0005-0000-0000-000080020000}"/>
    <cellStyle name="40% - Accent4 2 2 2 3" xfId="653" xr:uid="{00000000-0005-0000-0000-000081020000}"/>
    <cellStyle name="40% - Accent4 2 2 2 4" xfId="654" xr:uid="{00000000-0005-0000-0000-000082020000}"/>
    <cellStyle name="40% - Accent4 2 2 2 5" xfId="655" xr:uid="{00000000-0005-0000-0000-000083020000}"/>
    <cellStyle name="40% - Accent4 2 2 2 6" xfId="656" xr:uid="{00000000-0005-0000-0000-000084020000}"/>
    <cellStyle name="40% - Accent4 2 2 3" xfId="657" xr:uid="{00000000-0005-0000-0000-000085020000}"/>
    <cellStyle name="40% - Accent4 2 2 4" xfId="658" xr:uid="{00000000-0005-0000-0000-000086020000}"/>
    <cellStyle name="40% - Accent4 2 2 5" xfId="659" xr:uid="{00000000-0005-0000-0000-000087020000}"/>
    <cellStyle name="40% - Accent4 2 2 6" xfId="660" xr:uid="{00000000-0005-0000-0000-000088020000}"/>
    <cellStyle name="40% - Accent4 2 3" xfId="661" xr:uid="{00000000-0005-0000-0000-000089020000}"/>
    <cellStyle name="40% - Accent4 2 4" xfId="662" xr:uid="{00000000-0005-0000-0000-00008A020000}"/>
    <cellStyle name="40% - Accent4 2 5" xfId="663" xr:uid="{00000000-0005-0000-0000-00008B020000}"/>
    <cellStyle name="40% - Accent4 2 6" xfId="664" xr:uid="{00000000-0005-0000-0000-00008C020000}"/>
    <cellStyle name="40% - Accent4 2 7" xfId="665" xr:uid="{00000000-0005-0000-0000-00008D020000}"/>
    <cellStyle name="40% - Accent4 2 8" xfId="666" xr:uid="{00000000-0005-0000-0000-00008E020000}"/>
    <cellStyle name="40% - Accent4 2 9" xfId="667" xr:uid="{00000000-0005-0000-0000-00008F020000}"/>
    <cellStyle name="40% - Accent4 20" xfId="668" xr:uid="{00000000-0005-0000-0000-000090020000}"/>
    <cellStyle name="40% - Accent4 21" xfId="669" xr:uid="{00000000-0005-0000-0000-000091020000}"/>
    <cellStyle name="40% - Accent4 22" xfId="670" xr:uid="{00000000-0005-0000-0000-000092020000}"/>
    <cellStyle name="40% - Accent4 23" xfId="671" xr:uid="{00000000-0005-0000-0000-000093020000}"/>
    <cellStyle name="40% - Accent4 24" xfId="672" xr:uid="{00000000-0005-0000-0000-000094020000}"/>
    <cellStyle name="40% - Accent4 25" xfId="673" xr:uid="{00000000-0005-0000-0000-000095020000}"/>
    <cellStyle name="40% - Accent4 26" xfId="674" xr:uid="{00000000-0005-0000-0000-000096020000}"/>
    <cellStyle name="40% - Accent4 27" xfId="675" xr:uid="{00000000-0005-0000-0000-000097020000}"/>
    <cellStyle name="40% - Accent4 28" xfId="676" xr:uid="{00000000-0005-0000-0000-000098020000}"/>
    <cellStyle name="40% - Accent4 29" xfId="677" xr:uid="{00000000-0005-0000-0000-000099020000}"/>
    <cellStyle name="40% - Accent4 3" xfId="678" xr:uid="{00000000-0005-0000-0000-00009A020000}"/>
    <cellStyle name="40% - Accent4 30" xfId="679" xr:uid="{00000000-0005-0000-0000-00009B020000}"/>
    <cellStyle name="40% - Accent4 31" xfId="680" xr:uid="{00000000-0005-0000-0000-00009C020000}"/>
    <cellStyle name="40% - Accent4 32" xfId="681" xr:uid="{00000000-0005-0000-0000-00009D020000}"/>
    <cellStyle name="40% - Accent4 33" xfId="682" xr:uid="{00000000-0005-0000-0000-00009E020000}"/>
    <cellStyle name="40% - Accent4 34" xfId="683" xr:uid="{00000000-0005-0000-0000-00009F020000}"/>
    <cellStyle name="40% - Accent4 35" xfId="684" xr:uid="{00000000-0005-0000-0000-0000A0020000}"/>
    <cellStyle name="40% - Accent4 36" xfId="685" xr:uid="{00000000-0005-0000-0000-0000A1020000}"/>
    <cellStyle name="40% - Accent4 4" xfId="686" xr:uid="{00000000-0005-0000-0000-0000A2020000}"/>
    <cellStyle name="40% - Accent4 5" xfId="687" xr:uid="{00000000-0005-0000-0000-0000A3020000}"/>
    <cellStyle name="40% - Accent4 6" xfId="688" xr:uid="{00000000-0005-0000-0000-0000A4020000}"/>
    <cellStyle name="40% - Accent4 7" xfId="689" xr:uid="{00000000-0005-0000-0000-0000A5020000}"/>
    <cellStyle name="40% - Accent4 8" xfId="690" xr:uid="{00000000-0005-0000-0000-0000A6020000}"/>
    <cellStyle name="40% - Accent4 9" xfId="691" xr:uid="{00000000-0005-0000-0000-0000A7020000}"/>
    <cellStyle name="40% - Accent5 10" xfId="692" xr:uid="{00000000-0005-0000-0000-0000A8020000}"/>
    <cellStyle name="40% - Accent5 11" xfId="693" xr:uid="{00000000-0005-0000-0000-0000A9020000}"/>
    <cellStyle name="40% - Accent5 12" xfId="694" xr:uid="{00000000-0005-0000-0000-0000AA020000}"/>
    <cellStyle name="40% - Accent5 13" xfId="695" xr:uid="{00000000-0005-0000-0000-0000AB020000}"/>
    <cellStyle name="40% - Accent5 14" xfId="696" xr:uid="{00000000-0005-0000-0000-0000AC020000}"/>
    <cellStyle name="40% - Accent5 15" xfId="697" xr:uid="{00000000-0005-0000-0000-0000AD020000}"/>
    <cellStyle name="40% - Accent5 15 2" xfId="698" xr:uid="{00000000-0005-0000-0000-0000AE020000}"/>
    <cellStyle name="40% - Accent5 15 3" xfId="699" xr:uid="{00000000-0005-0000-0000-0000AF020000}"/>
    <cellStyle name="40% - Accent5 15 4" xfId="700" xr:uid="{00000000-0005-0000-0000-0000B0020000}"/>
    <cellStyle name="40% - Accent5 15 5" xfId="701" xr:uid="{00000000-0005-0000-0000-0000B1020000}"/>
    <cellStyle name="40% - Accent5 16" xfId="702" xr:uid="{00000000-0005-0000-0000-0000B2020000}"/>
    <cellStyle name="40% - Accent5 16 2" xfId="703" xr:uid="{00000000-0005-0000-0000-0000B3020000}"/>
    <cellStyle name="40% - Accent5 16 3" xfId="704" xr:uid="{00000000-0005-0000-0000-0000B4020000}"/>
    <cellStyle name="40% - Accent5 16 4" xfId="705" xr:uid="{00000000-0005-0000-0000-0000B5020000}"/>
    <cellStyle name="40% - Accent5 16 5" xfId="706" xr:uid="{00000000-0005-0000-0000-0000B6020000}"/>
    <cellStyle name="40% - Accent5 17" xfId="707" xr:uid="{00000000-0005-0000-0000-0000B7020000}"/>
    <cellStyle name="40% - Accent5 17 2" xfId="708" xr:uid="{00000000-0005-0000-0000-0000B8020000}"/>
    <cellStyle name="40% - Accent5 17 3" xfId="709" xr:uid="{00000000-0005-0000-0000-0000B9020000}"/>
    <cellStyle name="40% - Accent5 17 4" xfId="710" xr:uid="{00000000-0005-0000-0000-0000BA020000}"/>
    <cellStyle name="40% - Accent5 17 5" xfId="711" xr:uid="{00000000-0005-0000-0000-0000BB020000}"/>
    <cellStyle name="40% - Accent5 18" xfId="712" xr:uid="{00000000-0005-0000-0000-0000BC020000}"/>
    <cellStyle name="40% - Accent5 19" xfId="713" xr:uid="{00000000-0005-0000-0000-0000BD020000}"/>
    <cellStyle name="40% - Accent5 2" xfId="714" xr:uid="{00000000-0005-0000-0000-0000BE020000}"/>
    <cellStyle name="40% - Accent5 2 10" xfId="715" xr:uid="{00000000-0005-0000-0000-0000BF020000}"/>
    <cellStyle name="40% - Accent5 2 2" xfId="716" xr:uid="{00000000-0005-0000-0000-0000C0020000}"/>
    <cellStyle name="40% - Accent5 2 2 2" xfId="717" xr:uid="{00000000-0005-0000-0000-0000C1020000}"/>
    <cellStyle name="40% - Accent5 2 2 2 2" xfId="718" xr:uid="{00000000-0005-0000-0000-0000C2020000}"/>
    <cellStyle name="40% - Accent5 2 2 2 2 2" xfId="719" xr:uid="{00000000-0005-0000-0000-0000C3020000}"/>
    <cellStyle name="40% - Accent5 2 2 2 2 3" xfId="720" xr:uid="{00000000-0005-0000-0000-0000C4020000}"/>
    <cellStyle name="40% - Accent5 2 2 2 3" xfId="721" xr:uid="{00000000-0005-0000-0000-0000C5020000}"/>
    <cellStyle name="40% - Accent5 2 2 2 4" xfId="722" xr:uid="{00000000-0005-0000-0000-0000C6020000}"/>
    <cellStyle name="40% - Accent5 2 2 2 5" xfId="723" xr:uid="{00000000-0005-0000-0000-0000C7020000}"/>
    <cellStyle name="40% - Accent5 2 2 2 6" xfId="724" xr:uid="{00000000-0005-0000-0000-0000C8020000}"/>
    <cellStyle name="40% - Accent5 2 2 3" xfId="725" xr:uid="{00000000-0005-0000-0000-0000C9020000}"/>
    <cellStyle name="40% - Accent5 2 2 4" xfId="726" xr:uid="{00000000-0005-0000-0000-0000CA020000}"/>
    <cellStyle name="40% - Accent5 2 2 5" xfId="727" xr:uid="{00000000-0005-0000-0000-0000CB020000}"/>
    <cellStyle name="40% - Accent5 2 2 6" xfId="728" xr:uid="{00000000-0005-0000-0000-0000CC020000}"/>
    <cellStyle name="40% - Accent5 2 3" xfId="729" xr:uid="{00000000-0005-0000-0000-0000CD020000}"/>
    <cellStyle name="40% - Accent5 2 4" xfId="730" xr:uid="{00000000-0005-0000-0000-0000CE020000}"/>
    <cellStyle name="40% - Accent5 2 5" xfId="731" xr:uid="{00000000-0005-0000-0000-0000CF020000}"/>
    <cellStyle name="40% - Accent5 2 6" xfId="732" xr:uid="{00000000-0005-0000-0000-0000D0020000}"/>
    <cellStyle name="40% - Accent5 2 7" xfId="733" xr:uid="{00000000-0005-0000-0000-0000D1020000}"/>
    <cellStyle name="40% - Accent5 2 8" xfId="734" xr:uid="{00000000-0005-0000-0000-0000D2020000}"/>
    <cellStyle name="40% - Accent5 2 9" xfId="735" xr:uid="{00000000-0005-0000-0000-0000D3020000}"/>
    <cellStyle name="40% - Accent5 20" xfId="736" xr:uid="{00000000-0005-0000-0000-0000D4020000}"/>
    <cellStyle name="40% - Accent5 21" xfId="737" xr:uid="{00000000-0005-0000-0000-0000D5020000}"/>
    <cellStyle name="40% - Accent5 22" xfId="738" xr:uid="{00000000-0005-0000-0000-0000D6020000}"/>
    <cellStyle name="40% - Accent5 23" xfId="739" xr:uid="{00000000-0005-0000-0000-0000D7020000}"/>
    <cellStyle name="40% - Accent5 24" xfId="740" xr:uid="{00000000-0005-0000-0000-0000D8020000}"/>
    <cellStyle name="40% - Accent5 25" xfId="741" xr:uid="{00000000-0005-0000-0000-0000D9020000}"/>
    <cellStyle name="40% - Accent5 26" xfId="742" xr:uid="{00000000-0005-0000-0000-0000DA020000}"/>
    <cellStyle name="40% - Accent5 27" xfId="743" xr:uid="{00000000-0005-0000-0000-0000DB020000}"/>
    <cellStyle name="40% - Accent5 28" xfId="744" xr:uid="{00000000-0005-0000-0000-0000DC020000}"/>
    <cellStyle name="40% - Accent5 29" xfId="745" xr:uid="{00000000-0005-0000-0000-0000DD020000}"/>
    <cellStyle name="40% - Accent5 3" xfId="746" xr:uid="{00000000-0005-0000-0000-0000DE020000}"/>
    <cellStyle name="40% - Accent5 30" xfId="747" xr:uid="{00000000-0005-0000-0000-0000DF020000}"/>
    <cellStyle name="40% - Accent5 31" xfId="748" xr:uid="{00000000-0005-0000-0000-0000E0020000}"/>
    <cellStyle name="40% - Accent5 32" xfId="749" xr:uid="{00000000-0005-0000-0000-0000E1020000}"/>
    <cellStyle name="40% - Accent5 33" xfId="750" xr:uid="{00000000-0005-0000-0000-0000E2020000}"/>
    <cellStyle name="40% - Accent5 34" xfId="751" xr:uid="{00000000-0005-0000-0000-0000E3020000}"/>
    <cellStyle name="40% - Accent5 35" xfId="752" xr:uid="{00000000-0005-0000-0000-0000E4020000}"/>
    <cellStyle name="40% - Accent5 36" xfId="753" xr:uid="{00000000-0005-0000-0000-0000E5020000}"/>
    <cellStyle name="40% - Accent5 4" xfId="754" xr:uid="{00000000-0005-0000-0000-0000E6020000}"/>
    <cellStyle name="40% - Accent5 5" xfId="755" xr:uid="{00000000-0005-0000-0000-0000E7020000}"/>
    <cellStyle name="40% - Accent5 6" xfId="756" xr:uid="{00000000-0005-0000-0000-0000E8020000}"/>
    <cellStyle name="40% - Accent5 7" xfId="757" xr:uid="{00000000-0005-0000-0000-0000E9020000}"/>
    <cellStyle name="40% - Accent5 8" xfId="758" xr:uid="{00000000-0005-0000-0000-0000EA020000}"/>
    <cellStyle name="40% - Accent5 9" xfId="759" xr:uid="{00000000-0005-0000-0000-0000EB020000}"/>
    <cellStyle name="40% - Accent6 10" xfId="760" xr:uid="{00000000-0005-0000-0000-0000EC020000}"/>
    <cellStyle name="40% - Accent6 11" xfId="761" xr:uid="{00000000-0005-0000-0000-0000ED020000}"/>
    <cellStyle name="40% - Accent6 12" xfId="762" xr:uid="{00000000-0005-0000-0000-0000EE020000}"/>
    <cellStyle name="40% - Accent6 13" xfId="763" xr:uid="{00000000-0005-0000-0000-0000EF020000}"/>
    <cellStyle name="40% - Accent6 14" xfId="764" xr:uid="{00000000-0005-0000-0000-0000F0020000}"/>
    <cellStyle name="40% - Accent6 15" xfId="765" xr:uid="{00000000-0005-0000-0000-0000F1020000}"/>
    <cellStyle name="40% - Accent6 15 2" xfId="766" xr:uid="{00000000-0005-0000-0000-0000F2020000}"/>
    <cellStyle name="40% - Accent6 15 3" xfId="767" xr:uid="{00000000-0005-0000-0000-0000F3020000}"/>
    <cellStyle name="40% - Accent6 15 4" xfId="768" xr:uid="{00000000-0005-0000-0000-0000F4020000}"/>
    <cellStyle name="40% - Accent6 15 5" xfId="769" xr:uid="{00000000-0005-0000-0000-0000F5020000}"/>
    <cellStyle name="40% - Accent6 16" xfId="770" xr:uid="{00000000-0005-0000-0000-0000F6020000}"/>
    <cellStyle name="40% - Accent6 16 2" xfId="771" xr:uid="{00000000-0005-0000-0000-0000F7020000}"/>
    <cellStyle name="40% - Accent6 16 3" xfId="772" xr:uid="{00000000-0005-0000-0000-0000F8020000}"/>
    <cellStyle name="40% - Accent6 16 4" xfId="773" xr:uid="{00000000-0005-0000-0000-0000F9020000}"/>
    <cellStyle name="40% - Accent6 16 5" xfId="774" xr:uid="{00000000-0005-0000-0000-0000FA020000}"/>
    <cellStyle name="40% - Accent6 17" xfId="775" xr:uid="{00000000-0005-0000-0000-0000FB020000}"/>
    <cellStyle name="40% - Accent6 17 2" xfId="776" xr:uid="{00000000-0005-0000-0000-0000FC020000}"/>
    <cellStyle name="40% - Accent6 17 3" xfId="777" xr:uid="{00000000-0005-0000-0000-0000FD020000}"/>
    <cellStyle name="40% - Accent6 17 4" xfId="778" xr:uid="{00000000-0005-0000-0000-0000FE020000}"/>
    <cellStyle name="40% - Accent6 17 5" xfId="779" xr:uid="{00000000-0005-0000-0000-0000FF020000}"/>
    <cellStyle name="40% - Accent6 18" xfId="780" xr:uid="{00000000-0005-0000-0000-000000030000}"/>
    <cellStyle name="40% - Accent6 19" xfId="781" xr:uid="{00000000-0005-0000-0000-000001030000}"/>
    <cellStyle name="40% - Accent6 2" xfId="782" xr:uid="{00000000-0005-0000-0000-000002030000}"/>
    <cellStyle name="40% - Accent6 2 10" xfId="783" xr:uid="{00000000-0005-0000-0000-000003030000}"/>
    <cellStyle name="40% - Accent6 2 2" xfId="784" xr:uid="{00000000-0005-0000-0000-000004030000}"/>
    <cellStyle name="40% - Accent6 2 2 2" xfId="785" xr:uid="{00000000-0005-0000-0000-000005030000}"/>
    <cellStyle name="40% - Accent6 2 2 2 2" xfId="786" xr:uid="{00000000-0005-0000-0000-000006030000}"/>
    <cellStyle name="40% - Accent6 2 2 2 2 2" xfId="787" xr:uid="{00000000-0005-0000-0000-000007030000}"/>
    <cellStyle name="40% - Accent6 2 2 2 2 3" xfId="788" xr:uid="{00000000-0005-0000-0000-000008030000}"/>
    <cellStyle name="40% - Accent6 2 2 2 3" xfId="789" xr:uid="{00000000-0005-0000-0000-000009030000}"/>
    <cellStyle name="40% - Accent6 2 2 2 4" xfId="790" xr:uid="{00000000-0005-0000-0000-00000A030000}"/>
    <cellStyle name="40% - Accent6 2 2 2 5" xfId="791" xr:uid="{00000000-0005-0000-0000-00000B030000}"/>
    <cellStyle name="40% - Accent6 2 2 2 6" xfId="792" xr:uid="{00000000-0005-0000-0000-00000C030000}"/>
    <cellStyle name="40% - Accent6 2 2 3" xfId="793" xr:uid="{00000000-0005-0000-0000-00000D030000}"/>
    <cellStyle name="40% - Accent6 2 2 4" xfId="794" xr:uid="{00000000-0005-0000-0000-00000E030000}"/>
    <cellStyle name="40% - Accent6 2 2 5" xfId="795" xr:uid="{00000000-0005-0000-0000-00000F030000}"/>
    <cellStyle name="40% - Accent6 2 2 6" xfId="796" xr:uid="{00000000-0005-0000-0000-000010030000}"/>
    <cellStyle name="40% - Accent6 2 3" xfId="797" xr:uid="{00000000-0005-0000-0000-000011030000}"/>
    <cellStyle name="40% - Accent6 2 4" xfId="798" xr:uid="{00000000-0005-0000-0000-000012030000}"/>
    <cellStyle name="40% - Accent6 2 5" xfId="799" xr:uid="{00000000-0005-0000-0000-000013030000}"/>
    <cellStyle name="40% - Accent6 2 6" xfId="800" xr:uid="{00000000-0005-0000-0000-000014030000}"/>
    <cellStyle name="40% - Accent6 2 7" xfId="801" xr:uid="{00000000-0005-0000-0000-000015030000}"/>
    <cellStyle name="40% - Accent6 2 8" xfId="802" xr:uid="{00000000-0005-0000-0000-000016030000}"/>
    <cellStyle name="40% - Accent6 2 9" xfId="803" xr:uid="{00000000-0005-0000-0000-000017030000}"/>
    <cellStyle name="40% - Accent6 20" xfId="804" xr:uid="{00000000-0005-0000-0000-000018030000}"/>
    <cellStyle name="40% - Accent6 21" xfId="805" xr:uid="{00000000-0005-0000-0000-000019030000}"/>
    <cellStyle name="40% - Accent6 22" xfId="806" xr:uid="{00000000-0005-0000-0000-00001A030000}"/>
    <cellStyle name="40% - Accent6 23" xfId="807" xr:uid="{00000000-0005-0000-0000-00001B030000}"/>
    <cellStyle name="40% - Accent6 24" xfId="808" xr:uid="{00000000-0005-0000-0000-00001C030000}"/>
    <cellStyle name="40% - Accent6 25" xfId="809" xr:uid="{00000000-0005-0000-0000-00001D030000}"/>
    <cellStyle name="40% - Accent6 26" xfId="810" xr:uid="{00000000-0005-0000-0000-00001E030000}"/>
    <cellStyle name="40% - Accent6 27" xfId="811" xr:uid="{00000000-0005-0000-0000-00001F030000}"/>
    <cellStyle name="40% - Accent6 28" xfId="812" xr:uid="{00000000-0005-0000-0000-000020030000}"/>
    <cellStyle name="40% - Accent6 29" xfId="813" xr:uid="{00000000-0005-0000-0000-000021030000}"/>
    <cellStyle name="40% - Accent6 3" xfId="814" xr:uid="{00000000-0005-0000-0000-000022030000}"/>
    <cellStyle name="40% - Accent6 30" xfId="815" xr:uid="{00000000-0005-0000-0000-000023030000}"/>
    <cellStyle name="40% - Accent6 31" xfId="816" xr:uid="{00000000-0005-0000-0000-000024030000}"/>
    <cellStyle name="40% - Accent6 32" xfId="817" xr:uid="{00000000-0005-0000-0000-000025030000}"/>
    <cellStyle name="40% - Accent6 33" xfId="818" xr:uid="{00000000-0005-0000-0000-000026030000}"/>
    <cellStyle name="40% - Accent6 34" xfId="819" xr:uid="{00000000-0005-0000-0000-000027030000}"/>
    <cellStyle name="40% - Accent6 35" xfId="820" xr:uid="{00000000-0005-0000-0000-000028030000}"/>
    <cellStyle name="40% - Accent6 36" xfId="821" xr:uid="{00000000-0005-0000-0000-000029030000}"/>
    <cellStyle name="40% - Accent6 4" xfId="822" xr:uid="{00000000-0005-0000-0000-00002A030000}"/>
    <cellStyle name="40% - Accent6 5" xfId="823" xr:uid="{00000000-0005-0000-0000-00002B030000}"/>
    <cellStyle name="40% - Accent6 6" xfId="824" xr:uid="{00000000-0005-0000-0000-00002C030000}"/>
    <cellStyle name="40% - Accent6 7" xfId="825" xr:uid="{00000000-0005-0000-0000-00002D030000}"/>
    <cellStyle name="40% - Accent6 8" xfId="826" xr:uid="{00000000-0005-0000-0000-00002E030000}"/>
    <cellStyle name="40% - Accent6 9" xfId="827" xr:uid="{00000000-0005-0000-0000-00002F030000}"/>
    <cellStyle name="60% - Accent1 10" xfId="828" xr:uid="{00000000-0005-0000-0000-000030030000}"/>
    <cellStyle name="60% - Accent1 11" xfId="829" xr:uid="{00000000-0005-0000-0000-000031030000}"/>
    <cellStyle name="60% - Accent1 12" xfId="830" xr:uid="{00000000-0005-0000-0000-000032030000}"/>
    <cellStyle name="60% - Accent1 13" xfId="831" xr:uid="{00000000-0005-0000-0000-000033030000}"/>
    <cellStyle name="60% - Accent1 14" xfId="832" xr:uid="{00000000-0005-0000-0000-000034030000}"/>
    <cellStyle name="60% - Accent1 15" xfId="833" xr:uid="{00000000-0005-0000-0000-000035030000}"/>
    <cellStyle name="60% - Accent1 16" xfId="834" xr:uid="{00000000-0005-0000-0000-000036030000}"/>
    <cellStyle name="60% - Accent1 17" xfId="835" xr:uid="{00000000-0005-0000-0000-000037030000}"/>
    <cellStyle name="60% - Accent1 18" xfId="836" xr:uid="{00000000-0005-0000-0000-000038030000}"/>
    <cellStyle name="60% - Accent1 19" xfId="837" xr:uid="{00000000-0005-0000-0000-000039030000}"/>
    <cellStyle name="60% - Accent1 2" xfId="838" xr:uid="{00000000-0005-0000-0000-00003A030000}"/>
    <cellStyle name="60% - Accent1 2 10" xfId="839" xr:uid="{00000000-0005-0000-0000-00003B030000}"/>
    <cellStyle name="60% - Accent1 2 2" xfId="840" xr:uid="{00000000-0005-0000-0000-00003C030000}"/>
    <cellStyle name="60% - Accent1 2 2 2" xfId="841" xr:uid="{00000000-0005-0000-0000-00003D030000}"/>
    <cellStyle name="60% - Accent1 2 2 2 2" xfId="842" xr:uid="{00000000-0005-0000-0000-00003E030000}"/>
    <cellStyle name="60% - Accent1 2 2 2 2 2" xfId="843" xr:uid="{00000000-0005-0000-0000-00003F030000}"/>
    <cellStyle name="60% - Accent1 2 2 2 2 3" xfId="844" xr:uid="{00000000-0005-0000-0000-000040030000}"/>
    <cellStyle name="60% - Accent1 2 2 2 3" xfId="845" xr:uid="{00000000-0005-0000-0000-000041030000}"/>
    <cellStyle name="60% - Accent1 2 2 2 4" xfId="846" xr:uid="{00000000-0005-0000-0000-000042030000}"/>
    <cellStyle name="60% - Accent1 2 2 2 5" xfId="847" xr:uid="{00000000-0005-0000-0000-000043030000}"/>
    <cellStyle name="60% - Accent1 2 2 2 6" xfId="848" xr:uid="{00000000-0005-0000-0000-000044030000}"/>
    <cellStyle name="60% - Accent1 2 2 3" xfId="849" xr:uid="{00000000-0005-0000-0000-000045030000}"/>
    <cellStyle name="60% - Accent1 2 2 4" xfId="850" xr:uid="{00000000-0005-0000-0000-000046030000}"/>
    <cellStyle name="60% - Accent1 2 2 5" xfId="851" xr:uid="{00000000-0005-0000-0000-000047030000}"/>
    <cellStyle name="60% - Accent1 2 2 6" xfId="852" xr:uid="{00000000-0005-0000-0000-000048030000}"/>
    <cellStyle name="60% - Accent1 2 3" xfId="853" xr:uid="{00000000-0005-0000-0000-000049030000}"/>
    <cellStyle name="60% - Accent1 2 4" xfId="854" xr:uid="{00000000-0005-0000-0000-00004A030000}"/>
    <cellStyle name="60% - Accent1 2 5" xfId="855" xr:uid="{00000000-0005-0000-0000-00004B030000}"/>
    <cellStyle name="60% - Accent1 2 6" xfId="856" xr:uid="{00000000-0005-0000-0000-00004C030000}"/>
    <cellStyle name="60% - Accent1 2 7" xfId="857" xr:uid="{00000000-0005-0000-0000-00004D030000}"/>
    <cellStyle name="60% - Accent1 2 8" xfId="858" xr:uid="{00000000-0005-0000-0000-00004E030000}"/>
    <cellStyle name="60% - Accent1 2 9" xfId="859" xr:uid="{00000000-0005-0000-0000-00004F030000}"/>
    <cellStyle name="60% - Accent1 20" xfId="860" xr:uid="{00000000-0005-0000-0000-000050030000}"/>
    <cellStyle name="60% - Accent1 21" xfId="861" xr:uid="{00000000-0005-0000-0000-000051030000}"/>
    <cellStyle name="60% - Accent1 22" xfId="862" xr:uid="{00000000-0005-0000-0000-000052030000}"/>
    <cellStyle name="60% - Accent1 23" xfId="863" xr:uid="{00000000-0005-0000-0000-000053030000}"/>
    <cellStyle name="60% - Accent1 3" xfId="864" xr:uid="{00000000-0005-0000-0000-000054030000}"/>
    <cellStyle name="60% - Accent1 4" xfId="865" xr:uid="{00000000-0005-0000-0000-000055030000}"/>
    <cellStyle name="60% - Accent1 5" xfId="866" xr:uid="{00000000-0005-0000-0000-000056030000}"/>
    <cellStyle name="60% - Accent1 6" xfId="867" xr:uid="{00000000-0005-0000-0000-000057030000}"/>
    <cellStyle name="60% - Accent1 7" xfId="868" xr:uid="{00000000-0005-0000-0000-000058030000}"/>
    <cellStyle name="60% - Accent1 8" xfId="869" xr:uid="{00000000-0005-0000-0000-000059030000}"/>
    <cellStyle name="60% - Accent1 9" xfId="870" xr:uid="{00000000-0005-0000-0000-00005A030000}"/>
    <cellStyle name="60% - Accent2 10" xfId="871" xr:uid="{00000000-0005-0000-0000-00005B030000}"/>
    <cellStyle name="60% - Accent2 11" xfId="872" xr:uid="{00000000-0005-0000-0000-00005C030000}"/>
    <cellStyle name="60% - Accent2 12" xfId="873" xr:uid="{00000000-0005-0000-0000-00005D030000}"/>
    <cellStyle name="60% - Accent2 13" xfId="874" xr:uid="{00000000-0005-0000-0000-00005E030000}"/>
    <cellStyle name="60% - Accent2 14" xfId="875" xr:uid="{00000000-0005-0000-0000-00005F030000}"/>
    <cellStyle name="60% - Accent2 15" xfId="876" xr:uid="{00000000-0005-0000-0000-000060030000}"/>
    <cellStyle name="60% - Accent2 16" xfId="877" xr:uid="{00000000-0005-0000-0000-000061030000}"/>
    <cellStyle name="60% - Accent2 17" xfId="878" xr:uid="{00000000-0005-0000-0000-000062030000}"/>
    <cellStyle name="60% - Accent2 18" xfId="879" xr:uid="{00000000-0005-0000-0000-000063030000}"/>
    <cellStyle name="60% - Accent2 19" xfId="880" xr:uid="{00000000-0005-0000-0000-000064030000}"/>
    <cellStyle name="60% - Accent2 2" xfId="881" xr:uid="{00000000-0005-0000-0000-000065030000}"/>
    <cellStyle name="60% - Accent2 2 10" xfId="882" xr:uid="{00000000-0005-0000-0000-000066030000}"/>
    <cellStyle name="60% - Accent2 2 2" xfId="883" xr:uid="{00000000-0005-0000-0000-000067030000}"/>
    <cellStyle name="60% - Accent2 2 2 2" xfId="884" xr:uid="{00000000-0005-0000-0000-000068030000}"/>
    <cellStyle name="60% - Accent2 2 2 2 2" xfId="885" xr:uid="{00000000-0005-0000-0000-000069030000}"/>
    <cellStyle name="60% - Accent2 2 2 2 2 2" xfId="886" xr:uid="{00000000-0005-0000-0000-00006A030000}"/>
    <cellStyle name="60% - Accent2 2 2 2 2 3" xfId="887" xr:uid="{00000000-0005-0000-0000-00006B030000}"/>
    <cellStyle name="60% - Accent2 2 2 2 3" xfId="888" xr:uid="{00000000-0005-0000-0000-00006C030000}"/>
    <cellStyle name="60% - Accent2 2 2 2 4" xfId="889" xr:uid="{00000000-0005-0000-0000-00006D030000}"/>
    <cellStyle name="60% - Accent2 2 2 2 5" xfId="890" xr:uid="{00000000-0005-0000-0000-00006E030000}"/>
    <cellStyle name="60% - Accent2 2 2 2 6" xfId="891" xr:uid="{00000000-0005-0000-0000-00006F030000}"/>
    <cellStyle name="60% - Accent2 2 2 3" xfId="892" xr:uid="{00000000-0005-0000-0000-000070030000}"/>
    <cellStyle name="60% - Accent2 2 2 4" xfId="893" xr:uid="{00000000-0005-0000-0000-000071030000}"/>
    <cellStyle name="60% - Accent2 2 2 5" xfId="894" xr:uid="{00000000-0005-0000-0000-000072030000}"/>
    <cellStyle name="60% - Accent2 2 2 6" xfId="895" xr:uid="{00000000-0005-0000-0000-000073030000}"/>
    <cellStyle name="60% - Accent2 2 3" xfId="896" xr:uid="{00000000-0005-0000-0000-000074030000}"/>
    <cellStyle name="60% - Accent2 2 4" xfId="897" xr:uid="{00000000-0005-0000-0000-000075030000}"/>
    <cellStyle name="60% - Accent2 2 5" xfId="898" xr:uid="{00000000-0005-0000-0000-000076030000}"/>
    <cellStyle name="60% - Accent2 2 6" xfId="899" xr:uid="{00000000-0005-0000-0000-000077030000}"/>
    <cellStyle name="60% - Accent2 2 7" xfId="900" xr:uid="{00000000-0005-0000-0000-000078030000}"/>
    <cellStyle name="60% - Accent2 2 8" xfId="901" xr:uid="{00000000-0005-0000-0000-000079030000}"/>
    <cellStyle name="60% - Accent2 2 9" xfId="902" xr:uid="{00000000-0005-0000-0000-00007A030000}"/>
    <cellStyle name="60% - Accent2 20" xfId="903" xr:uid="{00000000-0005-0000-0000-00007B030000}"/>
    <cellStyle name="60% - Accent2 21" xfId="904" xr:uid="{00000000-0005-0000-0000-00007C030000}"/>
    <cellStyle name="60% - Accent2 22" xfId="905" xr:uid="{00000000-0005-0000-0000-00007D030000}"/>
    <cellStyle name="60% - Accent2 23" xfId="906" xr:uid="{00000000-0005-0000-0000-00007E030000}"/>
    <cellStyle name="60% - Accent2 3" xfId="907" xr:uid="{00000000-0005-0000-0000-00007F030000}"/>
    <cellStyle name="60% - Accent2 4" xfId="908" xr:uid="{00000000-0005-0000-0000-000080030000}"/>
    <cellStyle name="60% - Accent2 5" xfId="909" xr:uid="{00000000-0005-0000-0000-000081030000}"/>
    <cellStyle name="60% - Accent2 6" xfId="910" xr:uid="{00000000-0005-0000-0000-000082030000}"/>
    <cellStyle name="60% - Accent2 7" xfId="911" xr:uid="{00000000-0005-0000-0000-000083030000}"/>
    <cellStyle name="60% - Accent2 8" xfId="912" xr:uid="{00000000-0005-0000-0000-000084030000}"/>
    <cellStyle name="60% - Accent2 9" xfId="913" xr:uid="{00000000-0005-0000-0000-000085030000}"/>
    <cellStyle name="60% - Accent3 10" xfId="914" xr:uid="{00000000-0005-0000-0000-000086030000}"/>
    <cellStyle name="60% - Accent3 11" xfId="915" xr:uid="{00000000-0005-0000-0000-000087030000}"/>
    <cellStyle name="60% - Accent3 12" xfId="916" xr:uid="{00000000-0005-0000-0000-000088030000}"/>
    <cellStyle name="60% - Accent3 13" xfId="917" xr:uid="{00000000-0005-0000-0000-000089030000}"/>
    <cellStyle name="60% - Accent3 14" xfId="918" xr:uid="{00000000-0005-0000-0000-00008A030000}"/>
    <cellStyle name="60% - Accent3 15" xfId="919" xr:uid="{00000000-0005-0000-0000-00008B030000}"/>
    <cellStyle name="60% - Accent3 16" xfId="920" xr:uid="{00000000-0005-0000-0000-00008C030000}"/>
    <cellStyle name="60% - Accent3 17" xfId="921" xr:uid="{00000000-0005-0000-0000-00008D030000}"/>
    <cellStyle name="60% - Accent3 18" xfId="922" xr:uid="{00000000-0005-0000-0000-00008E030000}"/>
    <cellStyle name="60% - Accent3 19" xfId="923" xr:uid="{00000000-0005-0000-0000-00008F030000}"/>
    <cellStyle name="60% - Accent3 2" xfId="924" xr:uid="{00000000-0005-0000-0000-000090030000}"/>
    <cellStyle name="60% - Accent3 2 10" xfId="925" xr:uid="{00000000-0005-0000-0000-000091030000}"/>
    <cellStyle name="60% - Accent3 2 2" xfId="926" xr:uid="{00000000-0005-0000-0000-000092030000}"/>
    <cellStyle name="60% - Accent3 2 2 2" xfId="927" xr:uid="{00000000-0005-0000-0000-000093030000}"/>
    <cellStyle name="60% - Accent3 2 2 2 2" xfId="928" xr:uid="{00000000-0005-0000-0000-000094030000}"/>
    <cellStyle name="60% - Accent3 2 2 2 2 2" xfId="929" xr:uid="{00000000-0005-0000-0000-000095030000}"/>
    <cellStyle name="60% - Accent3 2 2 2 2 3" xfId="930" xr:uid="{00000000-0005-0000-0000-000096030000}"/>
    <cellStyle name="60% - Accent3 2 2 2 3" xfId="931" xr:uid="{00000000-0005-0000-0000-000097030000}"/>
    <cellStyle name="60% - Accent3 2 2 2 4" xfId="932" xr:uid="{00000000-0005-0000-0000-000098030000}"/>
    <cellStyle name="60% - Accent3 2 2 2 5" xfId="933" xr:uid="{00000000-0005-0000-0000-000099030000}"/>
    <cellStyle name="60% - Accent3 2 2 2 6" xfId="934" xr:uid="{00000000-0005-0000-0000-00009A030000}"/>
    <cellStyle name="60% - Accent3 2 2 3" xfId="935" xr:uid="{00000000-0005-0000-0000-00009B030000}"/>
    <cellStyle name="60% - Accent3 2 2 4" xfId="936" xr:uid="{00000000-0005-0000-0000-00009C030000}"/>
    <cellStyle name="60% - Accent3 2 2 5" xfId="937" xr:uid="{00000000-0005-0000-0000-00009D030000}"/>
    <cellStyle name="60% - Accent3 2 2 6" xfId="938" xr:uid="{00000000-0005-0000-0000-00009E030000}"/>
    <cellStyle name="60% - Accent3 2 3" xfId="939" xr:uid="{00000000-0005-0000-0000-00009F030000}"/>
    <cellStyle name="60% - Accent3 2 4" xfId="940" xr:uid="{00000000-0005-0000-0000-0000A0030000}"/>
    <cellStyle name="60% - Accent3 2 5" xfId="941" xr:uid="{00000000-0005-0000-0000-0000A1030000}"/>
    <cellStyle name="60% - Accent3 2 6" xfId="942" xr:uid="{00000000-0005-0000-0000-0000A2030000}"/>
    <cellStyle name="60% - Accent3 2 7" xfId="943" xr:uid="{00000000-0005-0000-0000-0000A3030000}"/>
    <cellStyle name="60% - Accent3 2 8" xfId="944" xr:uid="{00000000-0005-0000-0000-0000A4030000}"/>
    <cellStyle name="60% - Accent3 2 9" xfId="945" xr:uid="{00000000-0005-0000-0000-0000A5030000}"/>
    <cellStyle name="60% - Accent3 20" xfId="946" xr:uid="{00000000-0005-0000-0000-0000A6030000}"/>
    <cellStyle name="60% - Accent3 21" xfId="947" xr:uid="{00000000-0005-0000-0000-0000A7030000}"/>
    <cellStyle name="60% - Accent3 22" xfId="948" xr:uid="{00000000-0005-0000-0000-0000A8030000}"/>
    <cellStyle name="60% - Accent3 23" xfId="949" xr:uid="{00000000-0005-0000-0000-0000A9030000}"/>
    <cellStyle name="60% - Accent3 3" xfId="950" xr:uid="{00000000-0005-0000-0000-0000AA030000}"/>
    <cellStyle name="60% - Accent3 4" xfId="951" xr:uid="{00000000-0005-0000-0000-0000AB030000}"/>
    <cellStyle name="60% - Accent3 5" xfId="952" xr:uid="{00000000-0005-0000-0000-0000AC030000}"/>
    <cellStyle name="60% - Accent3 6" xfId="953" xr:uid="{00000000-0005-0000-0000-0000AD030000}"/>
    <cellStyle name="60% - Accent3 7" xfId="954" xr:uid="{00000000-0005-0000-0000-0000AE030000}"/>
    <cellStyle name="60% - Accent3 8" xfId="955" xr:uid="{00000000-0005-0000-0000-0000AF030000}"/>
    <cellStyle name="60% - Accent3 9" xfId="956" xr:uid="{00000000-0005-0000-0000-0000B0030000}"/>
    <cellStyle name="60% - Accent4 10" xfId="957" xr:uid="{00000000-0005-0000-0000-0000B1030000}"/>
    <cellStyle name="60% - Accent4 11" xfId="958" xr:uid="{00000000-0005-0000-0000-0000B2030000}"/>
    <cellStyle name="60% - Accent4 12" xfId="959" xr:uid="{00000000-0005-0000-0000-0000B3030000}"/>
    <cellStyle name="60% - Accent4 13" xfId="960" xr:uid="{00000000-0005-0000-0000-0000B4030000}"/>
    <cellStyle name="60% - Accent4 14" xfId="961" xr:uid="{00000000-0005-0000-0000-0000B5030000}"/>
    <cellStyle name="60% - Accent4 15" xfId="962" xr:uid="{00000000-0005-0000-0000-0000B6030000}"/>
    <cellStyle name="60% - Accent4 16" xfId="963" xr:uid="{00000000-0005-0000-0000-0000B7030000}"/>
    <cellStyle name="60% - Accent4 17" xfId="964" xr:uid="{00000000-0005-0000-0000-0000B8030000}"/>
    <cellStyle name="60% - Accent4 18" xfId="965" xr:uid="{00000000-0005-0000-0000-0000B9030000}"/>
    <cellStyle name="60% - Accent4 19" xfId="966" xr:uid="{00000000-0005-0000-0000-0000BA030000}"/>
    <cellStyle name="60% - Accent4 2" xfId="967" xr:uid="{00000000-0005-0000-0000-0000BB030000}"/>
    <cellStyle name="60% - Accent4 2 10" xfId="968" xr:uid="{00000000-0005-0000-0000-0000BC030000}"/>
    <cellStyle name="60% - Accent4 2 2" xfId="969" xr:uid="{00000000-0005-0000-0000-0000BD030000}"/>
    <cellStyle name="60% - Accent4 2 2 2" xfId="970" xr:uid="{00000000-0005-0000-0000-0000BE030000}"/>
    <cellStyle name="60% - Accent4 2 2 2 2" xfId="971" xr:uid="{00000000-0005-0000-0000-0000BF030000}"/>
    <cellStyle name="60% - Accent4 2 2 2 2 2" xfId="972" xr:uid="{00000000-0005-0000-0000-0000C0030000}"/>
    <cellStyle name="60% - Accent4 2 2 2 2 3" xfId="973" xr:uid="{00000000-0005-0000-0000-0000C1030000}"/>
    <cellStyle name="60% - Accent4 2 2 2 3" xfId="974" xr:uid="{00000000-0005-0000-0000-0000C2030000}"/>
    <cellStyle name="60% - Accent4 2 2 2 4" xfId="975" xr:uid="{00000000-0005-0000-0000-0000C3030000}"/>
    <cellStyle name="60% - Accent4 2 2 2 5" xfId="976" xr:uid="{00000000-0005-0000-0000-0000C4030000}"/>
    <cellStyle name="60% - Accent4 2 2 2 6" xfId="977" xr:uid="{00000000-0005-0000-0000-0000C5030000}"/>
    <cellStyle name="60% - Accent4 2 2 3" xfId="978" xr:uid="{00000000-0005-0000-0000-0000C6030000}"/>
    <cellStyle name="60% - Accent4 2 2 4" xfId="979" xr:uid="{00000000-0005-0000-0000-0000C7030000}"/>
    <cellStyle name="60% - Accent4 2 2 5" xfId="980" xr:uid="{00000000-0005-0000-0000-0000C8030000}"/>
    <cellStyle name="60% - Accent4 2 2 6" xfId="981" xr:uid="{00000000-0005-0000-0000-0000C9030000}"/>
    <cellStyle name="60% - Accent4 2 3" xfId="982" xr:uid="{00000000-0005-0000-0000-0000CA030000}"/>
    <cellStyle name="60% - Accent4 2 4" xfId="983" xr:uid="{00000000-0005-0000-0000-0000CB030000}"/>
    <cellStyle name="60% - Accent4 2 5" xfId="984" xr:uid="{00000000-0005-0000-0000-0000CC030000}"/>
    <cellStyle name="60% - Accent4 2 6" xfId="985" xr:uid="{00000000-0005-0000-0000-0000CD030000}"/>
    <cellStyle name="60% - Accent4 2 7" xfId="986" xr:uid="{00000000-0005-0000-0000-0000CE030000}"/>
    <cellStyle name="60% - Accent4 2 8" xfId="987" xr:uid="{00000000-0005-0000-0000-0000CF030000}"/>
    <cellStyle name="60% - Accent4 2 9" xfId="988" xr:uid="{00000000-0005-0000-0000-0000D0030000}"/>
    <cellStyle name="60% - Accent4 20" xfId="989" xr:uid="{00000000-0005-0000-0000-0000D1030000}"/>
    <cellStyle name="60% - Accent4 21" xfId="990" xr:uid="{00000000-0005-0000-0000-0000D2030000}"/>
    <cellStyle name="60% - Accent4 22" xfId="991" xr:uid="{00000000-0005-0000-0000-0000D3030000}"/>
    <cellStyle name="60% - Accent4 23" xfId="992" xr:uid="{00000000-0005-0000-0000-0000D4030000}"/>
    <cellStyle name="60% - Accent4 3" xfId="993" xr:uid="{00000000-0005-0000-0000-0000D5030000}"/>
    <cellStyle name="60% - Accent4 4" xfId="994" xr:uid="{00000000-0005-0000-0000-0000D6030000}"/>
    <cellStyle name="60% - Accent4 5" xfId="995" xr:uid="{00000000-0005-0000-0000-0000D7030000}"/>
    <cellStyle name="60% - Accent4 6" xfId="996" xr:uid="{00000000-0005-0000-0000-0000D8030000}"/>
    <cellStyle name="60% - Accent4 7" xfId="997" xr:uid="{00000000-0005-0000-0000-0000D9030000}"/>
    <cellStyle name="60% - Accent4 8" xfId="998" xr:uid="{00000000-0005-0000-0000-0000DA030000}"/>
    <cellStyle name="60% - Accent4 9" xfId="999" xr:uid="{00000000-0005-0000-0000-0000DB030000}"/>
    <cellStyle name="60% - Accent5 10" xfId="1000" xr:uid="{00000000-0005-0000-0000-0000DC030000}"/>
    <cellStyle name="60% - Accent5 11" xfId="1001" xr:uid="{00000000-0005-0000-0000-0000DD030000}"/>
    <cellStyle name="60% - Accent5 12" xfId="1002" xr:uid="{00000000-0005-0000-0000-0000DE030000}"/>
    <cellStyle name="60% - Accent5 13" xfId="1003" xr:uid="{00000000-0005-0000-0000-0000DF030000}"/>
    <cellStyle name="60% - Accent5 14" xfId="1004" xr:uid="{00000000-0005-0000-0000-0000E0030000}"/>
    <cellStyle name="60% - Accent5 15" xfId="1005" xr:uid="{00000000-0005-0000-0000-0000E1030000}"/>
    <cellStyle name="60% - Accent5 16" xfId="1006" xr:uid="{00000000-0005-0000-0000-0000E2030000}"/>
    <cellStyle name="60% - Accent5 17" xfId="1007" xr:uid="{00000000-0005-0000-0000-0000E3030000}"/>
    <cellStyle name="60% - Accent5 18" xfId="1008" xr:uid="{00000000-0005-0000-0000-0000E4030000}"/>
    <cellStyle name="60% - Accent5 19" xfId="1009" xr:uid="{00000000-0005-0000-0000-0000E5030000}"/>
    <cellStyle name="60% - Accent5 2" xfId="1010" xr:uid="{00000000-0005-0000-0000-0000E6030000}"/>
    <cellStyle name="60% - Accent5 2 10" xfId="1011" xr:uid="{00000000-0005-0000-0000-0000E7030000}"/>
    <cellStyle name="60% - Accent5 2 2" xfId="1012" xr:uid="{00000000-0005-0000-0000-0000E8030000}"/>
    <cellStyle name="60% - Accent5 2 2 2" xfId="1013" xr:uid="{00000000-0005-0000-0000-0000E9030000}"/>
    <cellStyle name="60% - Accent5 2 2 2 2" xfId="1014" xr:uid="{00000000-0005-0000-0000-0000EA030000}"/>
    <cellStyle name="60% - Accent5 2 2 2 2 2" xfId="1015" xr:uid="{00000000-0005-0000-0000-0000EB030000}"/>
    <cellStyle name="60% - Accent5 2 2 2 2 3" xfId="1016" xr:uid="{00000000-0005-0000-0000-0000EC030000}"/>
    <cellStyle name="60% - Accent5 2 2 2 3" xfId="1017" xr:uid="{00000000-0005-0000-0000-0000ED030000}"/>
    <cellStyle name="60% - Accent5 2 2 2 4" xfId="1018" xr:uid="{00000000-0005-0000-0000-0000EE030000}"/>
    <cellStyle name="60% - Accent5 2 2 2 5" xfId="1019" xr:uid="{00000000-0005-0000-0000-0000EF030000}"/>
    <cellStyle name="60% - Accent5 2 2 2 6" xfId="1020" xr:uid="{00000000-0005-0000-0000-0000F0030000}"/>
    <cellStyle name="60% - Accent5 2 2 3" xfId="1021" xr:uid="{00000000-0005-0000-0000-0000F1030000}"/>
    <cellStyle name="60% - Accent5 2 2 4" xfId="1022" xr:uid="{00000000-0005-0000-0000-0000F2030000}"/>
    <cellStyle name="60% - Accent5 2 2 5" xfId="1023" xr:uid="{00000000-0005-0000-0000-0000F3030000}"/>
    <cellStyle name="60% - Accent5 2 2 6" xfId="1024" xr:uid="{00000000-0005-0000-0000-0000F4030000}"/>
    <cellStyle name="60% - Accent5 2 3" xfId="1025" xr:uid="{00000000-0005-0000-0000-0000F5030000}"/>
    <cellStyle name="60% - Accent5 2 4" xfId="1026" xr:uid="{00000000-0005-0000-0000-0000F6030000}"/>
    <cellStyle name="60% - Accent5 2 5" xfId="1027" xr:uid="{00000000-0005-0000-0000-0000F7030000}"/>
    <cellStyle name="60% - Accent5 2 6" xfId="1028" xr:uid="{00000000-0005-0000-0000-0000F8030000}"/>
    <cellStyle name="60% - Accent5 2 7" xfId="1029" xr:uid="{00000000-0005-0000-0000-0000F9030000}"/>
    <cellStyle name="60% - Accent5 2 8" xfId="1030" xr:uid="{00000000-0005-0000-0000-0000FA030000}"/>
    <cellStyle name="60% - Accent5 2 9" xfId="1031" xr:uid="{00000000-0005-0000-0000-0000FB030000}"/>
    <cellStyle name="60% - Accent5 20" xfId="1032" xr:uid="{00000000-0005-0000-0000-0000FC030000}"/>
    <cellStyle name="60% - Accent5 21" xfId="1033" xr:uid="{00000000-0005-0000-0000-0000FD030000}"/>
    <cellStyle name="60% - Accent5 22" xfId="1034" xr:uid="{00000000-0005-0000-0000-0000FE030000}"/>
    <cellStyle name="60% - Accent5 23" xfId="1035" xr:uid="{00000000-0005-0000-0000-0000FF030000}"/>
    <cellStyle name="60% - Accent5 3" xfId="1036" xr:uid="{00000000-0005-0000-0000-000000040000}"/>
    <cellStyle name="60% - Accent5 4" xfId="1037" xr:uid="{00000000-0005-0000-0000-000001040000}"/>
    <cellStyle name="60% - Accent5 5" xfId="1038" xr:uid="{00000000-0005-0000-0000-000002040000}"/>
    <cellStyle name="60% - Accent5 6" xfId="1039" xr:uid="{00000000-0005-0000-0000-000003040000}"/>
    <cellStyle name="60% - Accent5 7" xfId="1040" xr:uid="{00000000-0005-0000-0000-000004040000}"/>
    <cellStyle name="60% - Accent5 8" xfId="1041" xr:uid="{00000000-0005-0000-0000-000005040000}"/>
    <cellStyle name="60% - Accent5 9" xfId="1042" xr:uid="{00000000-0005-0000-0000-000006040000}"/>
    <cellStyle name="60% - Accent6 10" xfId="1043" xr:uid="{00000000-0005-0000-0000-000007040000}"/>
    <cellStyle name="60% - Accent6 11" xfId="1044" xr:uid="{00000000-0005-0000-0000-000008040000}"/>
    <cellStyle name="60% - Accent6 12" xfId="1045" xr:uid="{00000000-0005-0000-0000-000009040000}"/>
    <cellStyle name="60% - Accent6 13" xfId="1046" xr:uid="{00000000-0005-0000-0000-00000A040000}"/>
    <cellStyle name="60% - Accent6 14" xfId="1047" xr:uid="{00000000-0005-0000-0000-00000B040000}"/>
    <cellStyle name="60% - Accent6 15" xfId="1048" xr:uid="{00000000-0005-0000-0000-00000C040000}"/>
    <cellStyle name="60% - Accent6 16" xfId="1049" xr:uid="{00000000-0005-0000-0000-00000D040000}"/>
    <cellStyle name="60% - Accent6 17" xfId="1050" xr:uid="{00000000-0005-0000-0000-00000E040000}"/>
    <cellStyle name="60% - Accent6 18" xfId="1051" xr:uid="{00000000-0005-0000-0000-00000F040000}"/>
    <cellStyle name="60% - Accent6 19" xfId="1052" xr:uid="{00000000-0005-0000-0000-000010040000}"/>
    <cellStyle name="60% - Accent6 2" xfId="1053" xr:uid="{00000000-0005-0000-0000-000011040000}"/>
    <cellStyle name="60% - Accent6 2 10" xfId="1054" xr:uid="{00000000-0005-0000-0000-000012040000}"/>
    <cellStyle name="60% - Accent6 2 2" xfId="1055" xr:uid="{00000000-0005-0000-0000-000013040000}"/>
    <cellStyle name="60% - Accent6 2 2 2" xfId="1056" xr:uid="{00000000-0005-0000-0000-000014040000}"/>
    <cellStyle name="60% - Accent6 2 2 2 2" xfId="1057" xr:uid="{00000000-0005-0000-0000-000015040000}"/>
    <cellStyle name="60% - Accent6 2 2 2 2 2" xfId="1058" xr:uid="{00000000-0005-0000-0000-000016040000}"/>
    <cellStyle name="60% - Accent6 2 2 2 2 3" xfId="1059" xr:uid="{00000000-0005-0000-0000-000017040000}"/>
    <cellStyle name="60% - Accent6 2 2 2 3" xfId="1060" xr:uid="{00000000-0005-0000-0000-000018040000}"/>
    <cellStyle name="60% - Accent6 2 2 2 4" xfId="1061" xr:uid="{00000000-0005-0000-0000-000019040000}"/>
    <cellStyle name="60% - Accent6 2 2 2 5" xfId="1062" xr:uid="{00000000-0005-0000-0000-00001A040000}"/>
    <cellStyle name="60% - Accent6 2 2 2 6" xfId="1063" xr:uid="{00000000-0005-0000-0000-00001B040000}"/>
    <cellStyle name="60% - Accent6 2 2 3" xfId="1064" xr:uid="{00000000-0005-0000-0000-00001C040000}"/>
    <cellStyle name="60% - Accent6 2 2 4" xfId="1065" xr:uid="{00000000-0005-0000-0000-00001D040000}"/>
    <cellStyle name="60% - Accent6 2 2 5" xfId="1066" xr:uid="{00000000-0005-0000-0000-00001E040000}"/>
    <cellStyle name="60% - Accent6 2 2 6" xfId="1067" xr:uid="{00000000-0005-0000-0000-00001F040000}"/>
    <cellStyle name="60% - Accent6 2 3" xfId="1068" xr:uid="{00000000-0005-0000-0000-000020040000}"/>
    <cellStyle name="60% - Accent6 2 4" xfId="1069" xr:uid="{00000000-0005-0000-0000-000021040000}"/>
    <cellStyle name="60% - Accent6 2 5" xfId="1070" xr:uid="{00000000-0005-0000-0000-000022040000}"/>
    <cellStyle name="60% - Accent6 2 6" xfId="1071" xr:uid="{00000000-0005-0000-0000-000023040000}"/>
    <cellStyle name="60% - Accent6 2 7" xfId="1072" xr:uid="{00000000-0005-0000-0000-000024040000}"/>
    <cellStyle name="60% - Accent6 2 8" xfId="1073" xr:uid="{00000000-0005-0000-0000-000025040000}"/>
    <cellStyle name="60% - Accent6 2 9" xfId="1074" xr:uid="{00000000-0005-0000-0000-000026040000}"/>
    <cellStyle name="60% - Accent6 20" xfId="1075" xr:uid="{00000000-0005-0000-0000-000027040000}"/>
    <cellStyle name="60% - Accent6 21" xfId="1076" xr:uid="{00000000-0005-0000-0000-000028040000}"/>
    <cellStyle name="60% - Accent6 22" xfId="1077" xr:uid="{00000000-0005-0000-0000-000029040000}"/>
    <cellStyle name="60% - Accent6 23" xfId="1078" xr:uid="{00000000-0005-0000-0000-00002A040000}"/>
    <cellStyle name="60% - Accent6 3" xfId="1079" xr:uid="{00000000-0005-0000-0000-00002B040000}"/>
    <cellStyle name="60% - Accent6 4" xfId="1080" xr:uid="{00000000-0005-0000-0000-00002C040000}"/>
    <cellStyle name="60% - Accent6 5" xfId="1081" xr:uid="{00000000-0005-0000-0000-00002D040000}"/>
    <cellStyle name="60% - Accent6 6" xfId="1082" xr:uid="{00000000-0005-0000-0000-00002E040000}"/>
    <cellStyle name="60% - Accent6 7" xfId="1083" xr:uid="{00000000-0005-0000-0000-00002F040000}"/>
    <cellStyle name="60% - Accent6 8" xfId="1084" xr:uid="{00000000-0005-0000-0000-000030040000}"/>
    <cellStyle name="60% - Accent6 9" xfId="1085" xr:uid="{00000000-0005-0000-0000-000031040000}"/>
    <cellStyle name="Accent1 10" xfId="1086" xr:uid="{00000000-0005-0000-0000-000032040000}"/>
    <cellStyle name="Accent1 11" xfId="1087" xr:uid="{00000000-0005-0000-0000-000033040000}"/>
    <cellStyle name="Accent1 12" xfId="1088" xr:uid="{00000000-0005-0000-0000-000034040000}"/>
    <cellStyle name="Accent1 13" xfId="1089" xr:uid="{00000000-0005-0000-0000-000035040000}"/>
    <cellStyle name="Accent1 14" xfId="1090" xr:uid="{00000000-0005-0000-0000-000036040000}"/>
    <cellStyle name="Accent1 15" xfId="1091" xr:uid="{00000000-0005-0000-0000-000037040000}"/>
    <cellStyle name="Accent1 16" xfId="1092" xr:uid="{00000000-0005-0000-0000-000038040000}"/>
    <cellStyle name="Accent1 17" xfId="1093" xr:uid="{00000000-0005-0000-0000-000039040000}"/>
    <cellStyle name="Accent1 18" xfId="1094" xr:uid="{00000000-0005-0000-0000-00003A040000}"/>
    <cellStyle name="Accent1 19" xfId="1095" xr:uid="{00000000-0005-0000-0000-00003B040000}"/>
    <cellStyle name="Accent1 2" xfId="1096" xr:uid="{00000000-0005-0000-0000-00003C040000}"/>
    <cellStyle name="Accent1 2 10" xfId="1097" xr:uid="{00000000-0005-0000-0000-00003D040000}"/>
    <cellStyle name="Accent1 2 2" xfId="1098" xr:uid="{00000000-0005-0000-0000-00003E040000}"/>
    <cellStyle name="Accent1 2 2 2" xfId="1099" xr:uid="{00000000-0005-0000-0000-00003F040000}"/>
    <cellStyle name="Accent1 2 2 2 2" xfId="1100" xr:uid="{00000000-0005-0000-0000-000040040000}"/>
    <cellStyle name="Accent1 2 2 2 2 2" xfId="1101" xr:uid="{00000000-0005-0000-0000-000041040000}"/>
    <cellStyle name="Accent1 2 2 2 2 3" xfId="1102" xr:uid="{00000000-0005-0000-0000-000042040000}"/>
    <cellStyle name="Accent1 2 2 2 3" xfId="1103" xr:uid="{00000000-0005-0000-0000-000043040000}"/>
    <cellStyle name="Accent1 2 2 2 4" xfId="1104" xr:uid="{00000000-0005-0000-0000-000044040000}"/>
    <cellStyle name="Accent1 2 2 2 5" xfId="1105" xr:uid="{00000000-0005-0000-0000-000045040000}"/>
    <cellStyle name="Accent1 2 2 2 6" xfId="1106" xr:uid="{00000000-0005-0000-0000-000046040000}"/>
    <cellStyle name="Accent1 2 2 3" xfId="1107" xr:uid="{00000000-0005-0000-0000-000047040000}"/>
    <cellStyle name="Accent1 2 2 4" xfId="1108" xr:uid="{00000000-0005-0000-0000-000048040000}"/>
    <cellStyle name="Accent1 2 2 5" xfId="1109" xr:uid="{00000000-0005-0000-0000-000049040000}"/>
    <cellStyle name="Accent1 2 2 6" xfId="1110" xr:uid="{00000000-0005-0000-0000-00004A040000}"/>
    <cellStyle name="Accent1 2 3" xfId="1111" xr:uid="{00000000-0005-0000-0000-00004B040000}"/>
    <cellStyle name="Accent1 2 4" xfId="1112" xr:uid="{00000000-0005-0000-0000-00004C040000}"/>
    <cellStyle name="Accent1 2 5" xfId="1113" xr:uid="{00000000-0005-0000-0000-00004D040000}"/>
    <cellStyle name="Accent1 2 6" xfId="1114" xr:uid="{00000000-0005-0000-0000-00004E040000}"/>
    <cellStyle name="Accent1 2 7" xfId="1115" xr:uid="{00000000-0005-0000-0000-00004F040000}"/>
    <cellStyle name="Accent1 2 8" xfId="1116" xr:uid="{00000000-0005-0000-0000-000050040000}"/>
    <cellStyle name="Accent1 2 9" xfId="1117" xr:uid="{00000000-0005-0000-0000-000051040000}"/>
    <cellStyle name="Accent1 20" xfId="1118" xr:uid="{00000000-0005-0000-0000-000052040000}"/>
    <cellStyle name="Accent1 21" xfId="1119" xr:uid="{00000000-0005-0000-0000-000053040000}"/>
    <cellStyle name="Accent1 22" xfId="1120" xr:uid="{00000000-0005-0000-0000-000054040000}"/>
    <cellStyle name="Accent1 23" xfId="1121" xr:uid="{00000000-0005-0000-0000-000055040000}"/>
    <cellStyle name="Accent1 3" xfId="1122" xr:uid="{00000000-0005-0000-0000-000056040000}"/>
    <cellStyle name="Accent1 4" xfId="1123" xr:uid="{00000000-0005-0000-0000-000057040000}"/>
    <cellStyle name="Accent1 5" xfId="1124" xr:uid="{00000000-0005-0000-0000-000058040000}"/>
    <cellStyle name="Accent1 6" xfId="1125" xr:uid="{00000000-0005-0000-0000-000059040000}"/>
    <cellStyle name="Accent1 7" xfId="1126" xr:uid="{00000000-0005-0000-0000-00005A040000}"/>
    <cellStyle name="Accent1 8" xfId="1127" xr:uid="{00000000-0005-0000-0000-00005B040000}"/>
    <cellStyle name="Accent1 9" xfId="1128" xr:uid="{00000000-0005-0000-0000-00005C040000}"/>
    <cellStyle name="Accent2 10" xfId="1129" xr:uid="{00000000-0005-0000-0000-00005D040000}"/>
    <cellStyle name="Accent2 11" xfId="1130" xr:uid="{00000000-0005-0000-0000-00005E040000}"/>
    <cellStyle name="Accent2 12" xfId="1131" xr:uid="{00000000-0005-0000-0000-00005F040000}"/>
    <cellStyle name="Accent2 13" xfId="1132" xr:uid="{00000000-0005-0000-0000-000060040000}"/>
    <cellStyle name="Accent2 14" xfId="1133" xr:uid="{00000000-0005-0000-0000-000061040000}"/>
    <cellStyle name="Accent2 15" xfId="1134" xr:uid="{00000000-0005-0000-0000-000062040000}"/>
    <cellStyle name="Accent2 16" xfId="1135" xr:uid="{00000000-0005-0000-0000-000063040000}"/>
    <cellStyle name="Accent2 17" xfId="1136" xr:uid="{00000000-0005-0000-0000-000064040000}"/>
    <cellStyle name="Accent2 18" xfId="1137" xr:uid="{00000000-0005-0000-0000-000065040000}"/>
    <cellStyle name="Accent2 19" xfId="1138" xr:uid="{00000000-0005-0000-0000-000066040000}"/>
    <cellStyle name="Accent2 2" xfId="1139" xr:uid="{00000000-0005-0000-0000-000067040000}"/>
    <cellStyle name="Accent2 2 10" xfId="1140" xr:uid="{00000000-0005-0000-0000-000068040000}"/>
    <cellStyle name="Accent2 2 2" xfId="1141" xr:uid="{00000000-0005-0000-0000-000069040000}"/>
    <cellStyle name="Accent2 2 2 2" xfId="1142" xr:uid="{00000000-0005-0000-0000-00006A040000}"/>
    <cellStyle name="Accent2 2 2 2 2" xfId="1143" xr:uid="{00000000-0005-0000-0000-00006B040000}"/>
    <cellStyle name="Accent2 2 2 2 2 2" xfId="1144" xr:uid="{00000000-0005-0000-0000-00006C040000}"/>
    <cellStyle name="Accent2 2 2 2 2 3" xfId="1145" xr:uid="{00000000-0005-0000-0000-00006D040000}"/>
    <cellStyle name="Accent2 2 2 2 3" xfId="1146" xr:uid="{00000000-0005-0000-0000-00006E040000}"/>
    <cellStyle name="Accent2 2 2 2 4" xfId="1147" xr:uid="{00000000-0005-0000-0000-00006F040000}"/>
    <cellStyle name="Accent2 2 2 2 5" xfId="1148" xr:uid="{00000000-0005-0000-0000-000070040000}"/>
    <cellStyle name="Accent2 2 2 2 6" xfId="1149" xr:uid="{00000000-0005-0000-0000-000071040000}"/>
    <cellStyle name="Accent2 2 2 3" xfId="1150" xr:uid="{00000000-0005-0000-0000-000072040000}"/>
    <cellStyle name="Accent2 2 2 4" xfId="1151" xr:uid="{00000000-0005-0000-0000-000073040000}"/>
    <cellStyle name="Accent2 2 2 5" xfId="1152" xr:uid="{00000000-0005-0000-0000-000074040000}"/>
    <cellStyle name="Accent2 2 2 6" xfId="1153" xr:uid="{00000000-0005-0000-0000-000075040000}"/>
    <cellStyle name="Accent2 2 3" xfId="1154" xr:uid="{00000000-0005-0000-0000-000076040000}"/>
    <cellStyle name="Accent2 2 4" xfId="1155" xr:uid="{00000000-0005-0000-0000-000077040000}"/>
    <cellStyle name="Accent2 2 5" xfId="1156" xr:uid="{00000000-0005-0000-0000-000078040000}"/>
    <cellStyle name="Accent2 2 6" xfId="1157" xr:uid="{00000000-0005-0000-0000-000079040000}"/>
    <cellStyle name="Accent2 2 7" xfId="1158" xr:uid="{00000000-0005-0000-0000-00007A040000}"/>
    <cellStyle name="Accent2 2 8" xfId="1159" xr:uid="{00000000-0005-0000-0000-00007B040000}"/>
    <cellStyle name="Accent2 2 9" xfId="1160" xr:uid="{00000000-0005-0000-0000-00007C040000}"/>
    <cellStyle name="Accent2 20" xfId="1161" xr:uid="{00000000-0005-0000-0000-00007D040000}"/>
    <cellStyle name="Accent2 21" xfId="1162" xr:uid="{00000000-0005-0000-0000-00007E040000}"/>
    <cellStyle name="Accent2 22" xfId="1163" xr:uid="{00000000-0005-0000-0000-00007F040000}"/>
    <cellStyle name="Accent2 23" xfId="1164" xr:uid="{00000000-0005-0000-0000-000080040000}"/>
    <cellStyle name="Accent2 3" xfId="1165" xr:uid="{00000000-0005-0000-0000-000081040000}"/>
    <cellStyle name="Accent2 4" xfId="1166" xr:uid="{00000000-0005-0000-0000-000082040000}"/>
    <cellStyle name="Accent2 5" xfId="1167" xr:uid="{00000000-0005-0000-0000-000083040000}"/>
    <cellStyle name="Accent2 6" xfId="1168" xr:uid="{00000000-0005-0000-0000-000084040000}"/>
    <cellStyle name="Accent2 7" xfId="1169" xr:uid="{00000000-0005-0000-0000-000085040000}"/>
    <cellStyle name="Accent2 8" xfId="1170" xr:uid="{00000000-0005-0000-0000-000086040000}"/>
    <cellStyle name="Accent2 9" xfId="1171" xr:uid="{00000000-0005-0000-0000-000087040000}"/>
    <cellStyle name="Accent3 10" xfId="1172" xr:uid="{00000000-0005-0000-0000-000088040000}"/>
    <cellStyle name="Accent3 11" xfId="1173" xr:uid="{00000000-0005-0000-0000-000089040000}"/>
    <cellStyle name="Accent3 12" xfId="1174" xr:uid="{00000000-0005-0000-0000-00008A040000}"/>
    <cellStyle name="Accent3 13" xfId="1175" xr:uid="{00000000-0005-0000-0000-00008B040000}"/>
    <cellStyle name="Accent3 14" xfId="1176" xr:uid="{00000000-0005-0000-0000-00008C040000}"/>
    <cellStyle name="Accent3 15" xfId="1177" xr:uid="{00000000-0005-0000-0000-00008D040000}"/>
    <cellStyle name="Accent3 16" xfId="1178" xr:uid="{00000000-0005-0000-0000-00008E040000}"/>
    <cellStyle name="Accent3 17" xfId="1179" xr:uid="{00000000-0005-0000-0000-00008F040000}"/>
    <cellStyle name="Accent3 18" xfId="1180" xr:uid="{00000000-0005-0000-0000-000090040000}"/>
    <cellStyle name="Accent3 19" xfId="1181" xr:uid="{00000000-0005-0000-0000-000091040000}"/>
    <cellStyle name="Accent3 2" xfId="1182" xr:uid="{00000000-0005-0000-0000-000092040000}"/>
    <cellStyle name="Accent3 2 10" xfId="1183" xr:uid="{00000000-0005-0000-0000-000093040000}"/>
    <cellStyle name="Accent3 2 2" xfId="1184" xr:uid="{00000000-0005-0000-0000-000094040000}"/>
    <cellStyle name="Accent3 2 2 2" xfId="1185" xr:uid="{00000000-0005-0000-0000-000095040000}"/>
    <cellStyle name="Accent3 2 2 2 2" xfId="1186" xr:uid="{00000000-0005-0000-0000-000096040000}"/>
    <cellStyle name="Accent3 2 2 2 2 2" xfId="1187" xr:uid="{00000000-0005-0000-0000-000097040000}"/>
    <cellStyle name="Accent3 2 2 2 2 3" xfId="1188" xr:uid="{00000000-0005-0000-0000-000098040000}"/>
    <cellStyle name="Accent3 2 2 2 3" xfId="1189" xr:uid="{00000000-0005-0000-0000-000099040000}"/>
    <cellStyle name="Accent3 2 2 2 4" xfId="1190" xr:uid="{00000000-0005-0000-0000-00009A040000}"/>
    <cellStyle name="Accent3 2 2 2 5" xfId="1191" xr:uid="{00000000-0005-0000-0000-00009B040000}"/>
    <cellStyle name="Accent3 2 2 2 6" xfId="1192" xr:uid="{00000000-0005-0000-0000-00009C040000}"/>
    <cellStyle name="Accent3 2 2 3" xfId="1193" xr:uid="{00000000-0005-0000-0000-00009D040000}"/>
    <cellStyle name="Accent3 2 2 4" xfId="1194" xr:uid="{00000000-0005-0000-0000-00009E040000}"/>
    <cellStyle name="Accent3 2 2 5" xfId="1195" xr:uid="{00000000-0005-0000-0000-00009F040000}"/>
    <cellStyle name="Accent3 2 2 6" xfId="1196" xr:uid="{00000000-0005-0000-0000-0000A0040000}"/>
    <cellStyle name="Accent3 2 3" xfId="1197" xr:uid="{00000000-0005-0000-0000-0000A1040000}"/>
    <cellStyle name="Accent3 2 4" xfId="1198" xr:uid="{00000000-0005-0000-0000-0000A2040000}"/>
    <cellStyle name="Accent3 2 5" xfId="1199" xr:uid="{00000000-0005-0000-0000-0000A3040000}"/>
    <cellStyle name="Accent3 2 6" xfId="1200" xr:uid="{00000000-0005-0000-0000-0000A4040000}"/>
    <cellStyle name="Accent3 2 7" xfId="1201" xr:uid="{00000000-0005-0000-0000-0000A5040000}"/>
    <cellStyle name="Accent3 2 8" xfId="1202" xr:uid="{00000000-0005-0000-0000-0000A6040000}"/>
    <cellStyle name="Accent3 2 9" xfId="1203" xr:uid="{00000000-0005-0000-0000-0000A7040000}"/>
    <cellStyle name="Accent3 20" xfId="1204" xr:uid="{00000000-0005-0000-0000-0000A8040000}"/>
    <cellStyle name="Accent3 21" xfId="1205" xr:uid="{00000000-0005-0000-0000-0000A9040000}"/>
    <cellStyle name="Accent3 22" xfId="1206" xr:uid="{00000000-0005-0000-0000-0000AA040000}"/>
    <cellStyle name="Accent3 23" xfId="1207" xr:uid="{00000000-0005-0000-0000-0000AB040000}"/>
    <cellStyle name="Accent3 3" xfId="1208" xr:uid="{00000000-0005-0000-0000-0000AC040000}"/>
    <cellStyle name="Accent3 4" xfId="1209" xr:uid="{00000000-0005-0000-0000-0000AD040000}"/>
    <cellStyle name="Accent3 5" xfId="1210" xr:uid="{00000000-0005-0000-0000-0000AE040000}"/>
    <cellStyle name="Accent3 6" xfId="1211" xr:uid="{00000000-0005-0000-0000-0000AF040000}"/>
    <cellStyle name="Accent3 7" xfId="1212" xr:uid="{00000000-0005-0000-0000-0000B0040000}"/>
    <cellStyle name="Accent3 8" xfId="1213" xr:uid="{00000000-0005-0000-0000-0000B1040000}"/>
    <cellStyle name="Accent3 9" xfId="1214" xr:uid="{00000000-0005-0000-0000-0000B2040000}"/>
    <cellStyle name="Accent4 10" xfId="1215" xr:uid="{00000000-0005-0000-0000-0000B3040000}"/>
    <cellStyle name="Accent4 11" xfId="1216" xr:uid="{00000000-0005-0000-0000-0000B4040000}"/>
    <cellStyle name="Accent4 12" xfId="1217" xr:uid="{00000000-0005-0000-0000-0000B5040000}"/>
    <cellStyle name="Accent4 13" xfId="1218" xr:uid="{00000000-0005-0000-0000-0000B6040000}"/>
    <cellStyle name="Accent4 14" xfId="1219" xr:uid="{00000000-0005-0000-0000-0000B7040000}"/>
    <cellStyle name="Accent4 15" xfId="1220" xr:uid="{00000000-0005-0000-0000-0000B8040000}"/>
    <cellStyle name="Accent4 16" xfId="1221" xr:uid="{00000000-0005-0000-0000-0000B9040000}"/>
    <cellStyle name="Accent4 17" xfId="1222" xr:uid="{00000000-0005-0000-0000-0000BA040000}"/>
    <cellStyle name="Accent4 18" xfId="1223" xr:uid="{00000000-0005-0000-0000-0000BB040000}"/>
    <cellStyle name="Accent4 19" xfId="1224" xr:uid="{00000000-0005-0000-0000-0000BC040000}"/>
    <cellStyle name="Accent4 2" xfId="1225" xr:uid="{00000000-0005-0000-0000-0000BD040000}"/>
    <cellStyle name="Accent4 2 10" xfId="1226" xr:uid="{00000000-0005-0000-0000-0000BE040000}"/>
    <cellStyle name="Accent4 2 2" xfId="1227" xr:uid="{00000000-0005-0000-0000-0000BF040000}"/>
    <cellStyle name="Accent4 2 2 2" xfId="1228" xr:uid="{00000000-0005-0000-0000-0000C0040000}"/>
    <cellStyle name="Accent4 2 2 2 2" xfId="1229" xr:uid="{00000000-0005-0000-0000-0000C1040000}"/>
    <cellStyle name="Accent4 2 2 2 2 2" xfId="1230" xr:uid="{00000000-0005-0000-0000-0000C2040000}"/>
    <cellStyle name="Accent4 2 2 2 2 3" xfId="1231" xr:uid="{00000000-0005-0000-0000-0000C3040000}"/>
    <cellStyle name="Accent4 2 2 2 3" xfId="1232" xr:uid="{00000000-0005-0000-0000-0000C4040000}"/>
    <cellStyle name="Accent4 2 2 2 4" xfId="1233" xr:uid="{00000000-0005-0000-0000-0000C5040000}"/>
    <cellStyle name="Accent4 2 2 2 5" xfId="1234" xr:uid="{00000000-0005-0000-0000-0000C6040000}"/>
    <cellStyle name="Accent4 2 2 2 6" xfId="1235" xr:uid="{00000000-0005-0000-0000-0000C7040000}"/>
    <cellStyle name="Accent4 2 2 3" xfId="1236" xr:uid="{00000000-0005-0000-0000-0000C8040000}"/>
    <cellStyle name="Accent4 2 2 4" xfId="1237" xr:uid="{00000000-0005-0000-0000-0000C9040000}"/>
    <cellStyle name="Accent4 2 2 5" xfId="1238" xr:uid="{00000000-0005-0000-0000-0000CA040000}"/>
    <cellStyle name="Accent4 2 2 6" xfId="1239" xr:uid="{00000000-0005-0000-0000-0000CB040000}"/>
    <cellStyle name="Accent4 2 3" xfId="1240" xr:uid="{00000000-0005-0000-0000-0000CC040000}"/>
    <cellStyle name="Accent4 2 4" xfId="1241" xr:uid="{00000000-0005-0000-0000-0000CD040000}"/>
    <cellStyle name="Accent4 2 5" xfId="1242" xr:uid="{00000000-0005-0000-0000-0000CE040000}"/>
    <cellStyle name="Accent4 2 6" xfId="1243" xr:uid="{00000000-0005-0000-0000-0000CF040000}"/>
    <cellStyle name="Accent4 2 7" xfId="1244" xr:uid="{00000000-0005-0000-0000-0000D0040000}"/>
    <cellStyle name="Accent4 2 8" xfId="1245" xr:uid="{00000000-0005-0000-0000-0000D1040000}"/>
    <cellStyle name="Accent4 2 9" xfId="1246" xr:uid="{00000000-0005-0000-0000-0000D2040000}"/>
    <cellStyle name="Accent4 20" xfId="1247" xr:uid="{00000000-0005-0000-0000-0000D3040000}"/>
    <cellStyle name="Accent4 21" xfId="1248" xr:uid="{00000000-0005-0000-0000-0000D4040000}"/>
    <cellStyle name="Accent4 22" xfId="1249" xr:uid="{00000000-0005-0000-0000-0000D5040000}"/>
    <cellStyle name="Accent4 23" xfId="1250" xr:uid="{00000000-0005-0000-0000-0000D6040000}"/>
    <cellStyle name="Accent4 3" xfId="1251" xr:uid="{00000000-0005-0000-0000-0000D7040000}"/>
    <cellStyle name="Accent4 4" xfId="1252" xr:uid="{00000000-0005-0000-0000-0000D8040000}"/>
    <cellStyle name="Accent4 5" xfId="1253" xr:uid="{00000000-0005-0000-0000-0000D9040000}"/>
    <cellStyle name="Accent4 6" xfId="1254" xr:uid="{00000000-0005-0000-0000-0000DA040000}"/>
    <cellStyle name="Accent4 7" xfId="1255" xr:uid="{00000000-0005-0000-0000-0000DB040000}"/>
    <cellStyle name="Accent4 8" xfId="1256" xr:uid="{00000000-0005-0000-0000-0000DC040000}"/>
    <cellStyle name="Accent4 9" xfId="1257" xr:uid="{00000000-0005-0000-0000-0000DD040000}"/>
    <cellStyle name="Accent5 10" xfId="1258" xr:uid="{00000000-0005-0000-0000-0000DE040000}"/>
    <cellStyle name="Accent5 11" xfId="1259" xr:uid="{00000000-0005-0000-0000-0000DF040000}"/>
    <cellStyle name="Accent5 12" xfId="1260" xr:uid="{00000000-0005-0000-0000-0000E0040000}"/>
    <cellStyle name="Accent5 13" xfId="1261" xr:uid="{00000000-0005-0000-0000-0000E1040000}"/>
    <cellStyle name="Accent5 14" xfId="1262" xr:uid="{00000000-0005-0000-0000-0000E2040000}"/>
    <cellStyle name="Accent5 15" xfId="1263" xr:uid="{00000000-0005-0000-0000-0000E3040000}"/>
    <cellStyle name="Accent5 16" xfId="1264" xr:uid="{00000000-0005-0000-0000-0000E4040000}"/>
    <cellStyle name="Accent5 17" xfId="1265" xr:uid="{00000000-0005-0000-0000-0000E5040000}"/>
    <cellStyle name="Accent5 18" xfId="1266" xr:uid="{00000000-0005-0000-0000-0000E6040000}"/>
    <cellStyle name="Accent5 19" xfId="1267" xr:uid="{00000000-0005-0000-0000-0000E7040000}"/>
    <cellStyle name="Accent5 2" xfId="1268" xr:uid="{00000000-0005-0000-0000-0000E8040000}"/>
    <cellStyle name="Accent5 2 10" xfId="1269" xr:uid="{00000000-0005-0000-0000-0000E9040000}"/>
    <cellStyle name="Accent5 2 2" xfId="1270" xr:uid="{00000000-0005-0000-0000-0000EA040000}"/>
    <cellStyle name="Accent5 2 2 2" xfId="1271" xr:uid="{00000000-0005-0000-0000-0000EB040000}"/>
    <cellStyle name="Accent5 2 2 2 2" xfId="1272" xr:uid="{00000000-0005-0000-0000-0000EC040000}"/>
    <cellStyle name="Accent5 2 2 2 2 2" xfId="1273" xr:uid="{00000000-0005-0000-0000-0000ED040000}"/>
    <cellStyle name="Accent5 2 2 2 2 3" xfId="1274" xr:uid="{00000000-0005-0000-0000-0000EE040000}"/>
    <cellStyle name="Accent5 2 2 2 3" xfId="1275" xr:uid="{00000000-0005-0000-0000-0000EF040000}"/>
    <cellStyle name="Accent5 2 2 2 4" xfId="1276" xr:uid="{00000000-0005-0000-0000-0000F0040000}"/>
    <cellStyle name="Accent5 2 2 2 5" xfId="1277" xr:uid="{00000000-0005-0000-0000-0000F1040000}"/>
    <cellStyle name="Accent5 2 2 2 6" xfId="1278" xr:uid="{00000000-0005-0000-0000-0000F2040000}"/>
    <cellStyle name="Accent5 2 2 3" xfId="1279" xr:uid="{00000000-0005-0000-0000-0000F3040000}"/>
    <cellStyle name="Accent5 2 2 4" xfId="1280" xr:uid="{00000000-0005-0000-0000-0000F4040000}"/>
    <cellStyle name="Accent5 2 2 5" xfId="1281" xr:uid="{00000000-0005-0000-0000-0000F5040000}"/>
    <cellStyle name="Accent5 2 2 6" xfId="1282" xr:uid="{00000000-0005-0000-0000-0000F6040000}"/>
    <cellStyle name="Accent5 2 3" xfId="1283" xr:uid="{00000000-0005-0000-0000-0000F7040000}"/>
    <cellStyle name="Accent5 2 4" xfId="1284" xr:uid="{00000000-0005-0000-0000-0000F8040000}"/>
    <cellStyle name="Accent5 2 5" xfId="1285" xr:uid="{00000000-0005-0000-0000-0000F9040000}"/>
    <cellStyle name="Accent5 2 6" xfId="1286" xr:uid="{00000000-0005-0000-0000-0000FA040000}"/>
    <cellStyle name="Accent5 2 7" xfId="1287" xr:uid="{00000000-0005-0000-0000-0000FB040000}"/>
    <cellStyle name="Accent5 2 8" xfId="1288" xr:uid="{00000000-0005-0000-0000-0000FC040000}"/>
    <cellStyle name="Accent5 2 9" xfId="1289" xr:uid="{00000000-0005-0000-0000-0000FD040000}"/>
    <cellStyle name="Accent5 20" xfId="1290" xr:uid="{00000000-0005-0000-0000-0000FE040000}"/>
    <cellStyle name="Accent5 21" xfId="1291" xr:uid="{00000000-0005-0000-0000-0000FF040000}"/>
    <cellStyle name="Accent5 22" xfId="1292" xr:uid="{00000000-0005-0000-0000-000000050000}"/>
    <cellStyle name="Accent5 23" xfId="1293" xr:uid="{00000000-0005-0000-0000-000001050000}"/>
    <cellStyle name="Accent5 3" xfId="1294" xr:uid="{00000000-0005-0000-0000-000002050000}"/>
    <cellStyle name="Accent5 4" xfId="1295" xr:uid="{00000000-0005-0000-0000-000003050000}"/>
    <cellStyle name="Accent5 5" xfId="1296" xr:uid="{00000000-0005-0000-0000-000004050000}"/>
    <cellStyle name="Accent5 6" xfId="1297" xr:uid="{00000000-0005-0000-0000-000005050000}"/>
    <cellStyle name="Accent5 7" xfId="1298" xr:uid="{00000000-0005-0000-0000-000006050000}"/>
    <cellStyle name="Accent5 8" xfId="1299" xr:uid="{00000000-0005-0000-0000-000007050000}"/>
    <cellStyle name="Accent5 9" xfId="1300" xr:uid="{00000000-0005-0000-0000-000008050000}"/>
    <cellStyle name="Accent6 10" xfId="1301" xr:uid="{00000000-0005-0000-0000-000009050000}"/>
    <cellStyle name="Accent6 11" xfId="1302" xr:uid="{00000000-0005-0000-0000-00000A050000}"/>
    <cellStyle name="Accent6 12" xfId="1303" xr:uid="{00000000-0005-0000-0000-00000B050000}"/>
    <cellStyle name="Accent6 13" xfId="1304" xr:uid="{00000000-0005-0000-0000-00000C050000}"/>
    <cellStyle name="Accent6 14" xfId="1305" xr:uid="{00000000-0005-0000-0000-00000D050000}"/>
    <cellStyle name="Accent6 15" xfId="1306" xr:uid="{00000000-0005-0000-0000-00000E050000}"/>
    <cellStyle name="Accent6 16" xfId="1307" xr:uid="{00000000-0005-0000-0000-00000F050000}"/>
    <cellStyle name="Accent6 17" xfId="1308" xr:uid="{00000000-0005-0000-0000-000010050000}"/>
    <cellStyle name="Accent6 18" xfId="1309" xr:uid="{00000000-0005-0000-0000-000011050000}"/>
    <cellStyle name="Accent6 19" xfId="1310" xr:uid="{00000000-0005-0000-0000-000012050000}"/>
    <cellStyle name="Accent6 2" xfId="1311" xr:uid="{00000000-0005-0000-0000-000013050000}"/>
    <cellStyle name="Accent6 2 10" xfId="1312" xr:uid="{00000000-0005-0000-0000-000014050000}"/>
    <cellStyle name="Accent6 2 2" xfId="1313" xr:uid="{00000000-0005-0000-0000-000015050000}"/>
    <cellStyle name="Accent6 2 2 2" xfId="1314" xr:uid="{00000000-0005-0000-0000-000016050000}"/>
    <cellStyle name="Accent6 2 2 2 2" xfId="1315" xr:uid="{00000000-0005-0000-0000-000017050000}"/>
    <cellStyle name="Accent6 2 2 2 2 2" xfId="1316" xr:uid="{00000000-0005-0000-0000-000018050000}"/>
    <cellStyle name="Accent6 2 2 2 2 3" xfId="1317" xr:uid="{00000000-0005-0000-0000-000019050000}"/>
    <cellStyle name="Accent6 2 2 2 3" xfId="1318" xr:uid="{00000000-0005-0000-0000-00001A050000}"/>
    <cellStyle name="Accent6 2 2 2 4" xfId="1319" xr:uid="{00000000-0005-0000-0000-00001B050000}"/>
    <cellStyle name="Accent6 2 2 2 5" xfId="1320" xr:uid="{00000000-0005-0000-0000-00001C050000}"/>
    <cellStyle name="Accent6 2 2 2 6" xfId="1321" xr:uid="{00000000-0005-0000-0000-00001D050000}"/>
    <cellStyle name="Accent6 2 2 3" xfId="1322" xr:uid="{00000000-0005-0000-0000-00001E050000}"/>
    <cellStyle name="Accent6 2 2 4" xfId="1323" xr:uid="{00000000-0005-0000-0000-00001F050000}"/>
    <cellStyle name="Accent6 2 2 5" xfId="1324" xr:uid="{00000000-0005-0000-0000-000020050000}"/>
    <cellStyle name="Accent6 2 2 6" xfId="1325" xr:uid="{00000000-0005-0000-0000-000021050000}"/>
    <cellStyle name="Accent6 2 3" xfId="1326" xr:uid="{00000000-0005-0000-0000-000022050000}"/>
    <cellStyle name="Accent6 2 4" xfId="1327" xr:uid="{00000000-0005-0000-0000-000023050000}"/>
    <cellStyle name="Accent6 2 5" xfId="1328" xr:uid="{00000000-0005-0000-0000-000024050000}"/>
    <cellStyle name="Accent6 2 6" xfId="1329" xr:uid="{00000000-0005-0000-0000-000025050000}"/>
    <cellStyle name="Accent6 2 7" xfId="1330" xr:uid="{00000000-0005-0000-0000-000026050000}"/>
    <cellStyle name="Accent6 2 8" xfId="1331" xr:uid="{00000000-0005-0000-0000-000027050000}"/>
    <cellStyle name="Accent6 2 9" xfId="1332" xr:uid="{00000000-0005-0000-0000-000028050000}"/>
    <cellStyle name="Accent6 20" xfId="1333" xr:uid="{00000000-0005-0000-0000-000029050000}"/>
    <cellStyle name="Accent6 21" xfId="1334" xr:uid="{00000000-0005-0000-0000-00002A050000}"/>
    <cellStyle name="Accent6 22" xfId="1335" xr:uid="{00000000-0005-0000-0000-00002B050000}"/>
    <cellStyle name="Accent6 23" xfId="1336" xr:uid="{00000000-0005-0000-0000-00002C050000}"/>
    <cellStyle name="Accent6 3" xfId="1337" xr:uid="{00000000-0005-0000-0000-00002D050000}"/>
    <cellStyle name="Accent6 4" xfId="1338" xr:uid="{00000000-0005-0000-0000-00002E050000}"/>
    <cellStyle name="Accent6 5" xfId="1339" xr:uid="{00000000-0005-0000-0000-00002F050000}"/>
    <cellStyle name="Accent6 6" xfId="1340" xr:uid="{00000000-0005-0000-0000-000030050000}"/>
    <cellStyle name="Accent6 7" xfId="1341" xr:uid="{00000000-0005-0000-0000-000031050000}"/>
    <cellStyle name="Accent6 8" xfId="1342" xr:uid="{00000000-0005-0000-0000-000032050000}"/>
    <cellStyle name="Accent6 9" xfId="1343" xr:uid="{00000000-0005-0000-0000-000033050000}"/>
    <cellStyle name="Bad 10" xfId="1344" xr:uid="{00000000-0005-0000-0000-000034050000}"/>
    <cellStyle name="Bad 11" xfId="1345" xr:uid="{00000000-0005-0000-0000-000035050000}"/>
    <cellStyle name="Bad 12" xfId="1346" xr:uid="{00000000-0005-0000-0000-000036050000}"/>
    <cellStyle name="Bad 13" xfId="1347" xr:uid="{00000000-0005-0000-0000-000037050000}"/>
    <cellStyle name="Bad 14" xfId="1348" xr:uid="{00000000-0005-0000-0000-000038050000}"/>
    <cellStyle name="Bad 15" xfId="1349" xr:uid="{00000000-0005-0000-0000-000039050000}"/>
    <cellStyle name="Bad 16" xfId="1350" xr:uid="{00000000-0005-0000-0000-00003A050000}"/>
    <cellStyle name="Bad 17" xfId="1351" xr:uid="{00000000-0005-0000-0000-00003B050000}"/>
    <cellStyle name="Bad 18" xfId="1352" xr:uid="{00000000-0005-0000-0000-00003C050000}"/>
    <cellStyle name="Bad 19" xfId="1353" xr:uid="{00000000-0005-0000-0000-00003D050000}"/>
    <cellStyle name="Bad 2" xfId="1354" xr:uid="{00000000-0005-0000-0000-00003E050000}"/>
    <cellStyle name="Bad 2 10" xfId="1355" xr:uid="{00000000-0005-0000-0000-00003F050000}"/>
    <cellStyle name="Bad 2 2" xfId="1356" xr:uid="{00000000-0005-0000-0000-000040050000}"/>
    <cellStyle name="Bad 2 2 2" xfId="1357" xr:uid="{00000000-0005-0000-0000-000041050000}"/>
    <cellStyle name="Bad 2 2 2 2" xfId="1358" xr:uid="{00000000-0005-0000-0000-000042050000}"/>
    <cellStyle name="Bad 2 2 2 2 2" xfId="1359" xr:uid="{00000000-0005-0000-0000-000043050000}"/>
    <cellStyle name="Bad 2 2 2 2 3" xfId="1360" xr:uid="{00000000-0005-0000-0000-000044050000}"/>
    <cellStyle name="Bad 2 2 2 3" xfId="1361" xr:uid="{00000000-0005-0000-0000-000045050000}"/>
    <cellStyle name="Bad 2 2 2 4" xfId="1362" xr:uid="{00000000-0005-0000-0000-000046050000}"/>
    <cellStyle name="Bad 2 2 2 5" xfId="1363" xr:uid="{00000000-0005-0000-0000-000047050000}"/>
    <cellStyle name="Bad 2 2 2 6" xfId="1364" xr:uid="{00000000-0005-0000-0000-000048050000}"/>
    <cellStyle name="Bad 2 2 3" xfId="1365" xr:uid="{00000000-0005-0000-0000-000049050000}"/>
    <cellStyle name="Bad 2 2 4" xfId="1366" xr:uid="{00000000-0005-0000-0000-00004A050000}"/>
    <cellStyle name="Bad 2 2 5" xfId="1367" xr:uid="{00000000-0005-0000-0000-00004B050000}"/>
    <cellStyle name="Bad 2 2 6" xfId="1368" xr:uid="{00000000-0005-0000-0000-00004C050000}"/>
    <cellStyle name="Bad 2 3" xfId="1369" xr:uid="{00000000-0005-0000-0000-00004D050000}"/>
    <cellStyle name="Bad 2 4" xfId="1370" xr:uid="{00000000-0005-0000-0000-00004E050000}"/>
    <cellStyle name="Bad 2 5" xfId="1371" xr:uid="{00000000-0005-0000-0000-00004F050000}"/>
    <cellStyle name="Bad 2 6" xfId="1372" xr:uid="{00000000-0005-0000-0000-000050050000}"/>
    <cellStyle name="Bad 2 7" xfId="1373" xr:uid="{00000000-0005-0000-0000-000051050000}"/>
    <cellStyle name="Bad 2 8" xfId="1374" xr:uid="{00000000-0005-0000-0000-000052050000}"/>
    <cellStyle name="Bad 2 9" xfId="1375" xr:uid="{00000000-0005-0000-0000-000053050000}"/>
    <cellStyle name="Bad 20" xfId="1376" xr:uid="{00000000-0005-0000-0000-000054050000}"/>
    <cellStyle name="Bad 21" xfId="1377" xr:uid="{00000000-0005-0000-0000-000055050000}"/>
    <cellStyle name="Bad 22" xfId="1378" xr:uid="{00000000-0005-0000-0000-000056050000}"/>
    <cellStyle name="Bad 23" xfId="1379" xr:uid="{00000000-0005-0000-0000-000057050000}"/>
    <cellStyle name="Bad 3" xfId="1380" xr:uid="{00000000-0005-0000-0000-000058050000}"/>
    <cellStyle name="Bad 4" xfId="1381" xr:uid="{00000000-0005-0000-0000-000059050000}"/>
    <cellStyle name="Bad 5" xfId="1382" xr:uid="{00000000-0005-0000-0000-00005A050000}"/>
    <cellStyle name="Bad 6" xfId="1383" xr:uid="{00000000-0005-0000-0000-00005B050000}"/>
    <cellStyle name="Bad 7" xfId="1384" xr:uid="{00000000-0005-0000-0000-00005C050000}"/>
    <cellStyle name="Bad 8" xfId="1385" xr:uid="{00000000-0005-0000-0000-00005D050000}"/>
    <cellStyle name="Bad 9" xfId="1386" xr:uid="{00000000-0005-0000-0000-00005E050000}"/>
    <cellStyle name="Calculation 10" xfId="1387" xr:uid="{00000000-0005-0000-0000-00005F050000}"/>
    <cellStyle name="Calculation 11" xfId="1388" xr:uid="{00000000-0005-0000-0000-000060050000}"/>
    <cellStyle name="Calculation 12" xfId="1389" xr:uid="{00000000-0005-0000-0000-000061050000}"/>
    <cellStyle name="Calculation 13" xfId="1390" xr:uid="{00000000-0005-0000-0000-000062050000}"/>
    <cellStyle name="Calculation 14" xfId="1391" xr:uid="{00000000-0005-0000-0000-000063050000}"/>
    <cellStyle name="Calculation 15" xfId="1392" xr:uid="{00000000-0005-0000-0000-000064050000}"/>
    <cellStyle name="Calculation 16" xfId="1393" xr:uid="{00000000-0005-0000-0000-000065050000}"/>
    <cellStyle name="Calculation 17" xfId="1394" xr:uid="{00000000-0005-0000-0000-000066050000}"/>
    <cellStyle name="Calculation 18" xfId="1395" xr:uid="{00000000-0005-0000-0000-000067050000}"/>
    <cellStyle name="Calculation 19" xfId="1396" xr:uid="{00000000-0005-0000-0000-000068050000}"/>
    <cellStyle name="Calculation 2" xfId="1397" xr:uid="{00000000-0005-0000-0000-000069050000}"/>
    <cellStyle name="Calculation 2 10" xfId="1398" xr:uid="{00000000-0005-0000-0000-00006A050000}"/>
    <cellStyle name="Calculation 2 2" xfId="1399" xr:uid="{00000000-0005-0000-0000-00006B050000}"/>
    <cellStyle name="Calculation 2 2 2" xfId="1400" xr:uid="{00000000-0005-0000-0000-00006C050000}"/>
    <cellStyle name="Calculation 2 2 2 2" xfId="1401" xr:uid="{00000000-0005-0000-0000-00006D050000}"/>
    <cellStyle name="Calculation 2 2 2 2 2" xfId="1402" xr:uid="{00000000-0005-0000-0000-00006E050000}"/>
    <cellStyle name="Calculation 2 2 2 2 3" xfId="1403" xr:uid="{00000000-0005-0000-0000-00006F050000}"/>
    <cellStyle name="Calculation 2 2 2 3" xfId="1404" xr:uid="{00000000-0005-0000-0000-000070050000}"/>
    <cellStyle name="Calculation 2 2 2 4" xfId="1405" xr:uid="{00000000-0005-0000-0000-000071050000}"/>
    <cellStyle name="Calculation 2 2 2 5" xfId="1406" xr:uid="{00000000-0005-0000-0000-000072050000}"/>
    <cellStyle name="Calculation 2 2 2 6" xfId="1407" xr:uid="{00000000-0005-0000-0000-000073050000}"/>
    <cellStyle name="Calculation 2 2 3" xfId="1408" xr:uid="{00000000-0005-0000-0000-000074050000}"/>
    <cellStyle name="Calculation 2 2 4" xfId="1409" xr:uid="{00000000-0005-0000-0000-000075050000}"/>
    <cellStyle name="Calculation 2 2 5" xfId="1410" xr:uid="{00000000-0005-0000-0000-000076050000}"/>
    <cellStyle name="Calculation 2 2 6" xfId="1411" xr:uid="{00000000-0005-0000-0000-000077050000}"/>
    <cellStyle name="Calculation 2 3" xfId="1412" xr:uid="{00000000-0005-0000-0000-000078050000}"/>
    <cellStyle name="Calculation 2 4" xfId="1413" xr:uid="{00000000-0005-0000-0000-000079050000}"/>
    <cellStyle name="Calculation 2 5" xfId="1414" xr:uid="{00000000-0005-0000-0000-00007A050000}"/>
    <cellStyle name="Calculation 2 6" xfId="1415" xr:uid="{00000000-0005-0000-0000-00007B050000}"/>
    <cellStyle name="Calculation 2 7" xfId="1416" xr:uid="{00000000-0005-0000-0000-00007C050000}"/>
    <cellStyle name="Calculation 2 8" xfId="1417" xr:uid="{00000000-0005-0000-0000-00007D050000}"/>
    <cellStyle name="Calculation 2 9" xfId="1418" xr:uid="{00000000-0005-0000-0000-00007E050000}"/>
    <cellStyle name="Calculation 20" xfId="1419" xr:uid="{00000000-0005-0000-0000-00007F050000}"/>
    <cellStyle name="Calculation 21" xfId="1420" xr:uid="{00000000-0005-0000-0000-000080050000}"/>
    <cellStyle name="Calculation 22" xfId="1421" xr:uid="{00000000-0005-0000-0000-000081050000}"/>
    <cellStyle name="Calculation 23" xfId="1422" xr:uid="{00000000-0005-0000-0000-000082050000}"/>
    <cellStyle name="Calculation 3" xfId="1423" xr:uid="{00000000-0005-0000-0000-000083050000}"/>
    <cellStyle name="Calculation 4" xfId="1424" xr:uid="{00000000-0005-0000-0000-000084050000}"/>
    <cellStyle name="Calculation 5" xfId="1425" xr:uid="{00000000-0005-0000-0000-000085050000}"/>
    <cellStyle name="Calculation 6" xfId="1426" xr:uid="{00000000-0005-0000-0000-000086050000}"/>
    <cellStyle name="Calculation 7" xfId="1427" xr:uid="{00000000-0005-0000-0000-000087050000}"/>
    <cellStyle name="Calculation 8" xfId="1428" xr:uid="{00000000-0005-0000-0000-000088050000}"/>
    <cellStyle name="Calculation 9" xfId="1429" xr:uid="{00000000-0005-0000-0000-000089050000}"/>
    <cellStyle name="Check Cell 10" xfId="1430" xr:uid="{00000000-0005-0000-0000-00008A050000}"/>
    <cellStyle name="Check Cell 11" xfId="1431" xr:uid="{00000000-0005-0000-0000-00008B050000}"/>
    <cellStyle name="Check Cell 12" xfId="1432" xr:uid="{00000000-0005-0000-0000-00008C050000}"/>
    <cellStyle name="Check Cell 13" xfId="1433" xr:uid="{00000000-0005-0000-0000-00008D050000}"/>
    <cellStyle name="Check Cell 14" xfId="1434" xr:uid="{00000000-0005-0000-0000-00008E050000}"/>
    <cellStyle name="Check Cell 15" xfId="1435" xr:uid="{00000000-0005-0000-0000-00008F050000}"/>
    <cellStyle name="Check Cell 16" xfId="1436" xr:uid="{00000000-0005-0000-0000-000090050000}"/>
    <cellStyle name="Check Cell 17" xfId="1437" xr:uid="{00000000-0005-0000-0000-000091050000}"/>
    <cellStyle name="Check Cell 18" xfId="1438" xr:uid="{00000000-0005-0000-0000-000092050000}"/>
    <cellStyle name="Check Cell 19" xfId="1439" xr:uid="{00000000-0005-0000-0000-000093050000}"/>
    <cellStyle name="Check Cell 2" xfId="1440" xr:uid="{00000000-0005-0000-0000-000094050000}"/>
    <cellStyle name="Check Cell 2 10" xfId="1441" xr:uid="{00000000-0005-0000-0000-000095050000}"/>
    <cellStyle name="Check Cell 2 2" xfId="1442" xr:uid="{00000000-0005-0000-0000-000096050000}"/>
    <cellStyle name="Check Cell 2 2 2" xfId="1443" xr:uid="{00000000-0005-0000-0000-000097050000}"/>
    <cellStyle name="Check Cell 2 2 2 2" xfId="1444" xr:uid="{00000000-0005-0000-0000-000098050000}"/>
    <cellStyle name="Check Cell 2 2 2 2 2" xfId="1445" xr:uid="{00000000-0005-0000-0000-000099050000}"/>
    <cellStyle name="Check Cell 2 2 2 2 3" xfId="1446" xr:uid="{00000000-0005-0000-0000-00009A050000}"/>
    <cellStyle name="Check Cell 2 2 2 3" xfId="1447" xr:uid="{00000000-0005-0000-0000-00009B050000}"/>
    <cellStyle name="Check Cell 2 2 2 4" xfId="1448" xr:uid="{00000000-0005-0000-0000-00009C050000}"/>
    <cellStyle name="Check Cell 2 2 2 5" xfId="1449" xr:uid="{00000000-0005-0000-0000-00009D050000}"/>
    <cellStyle name="Check Cell 2 2 2 6" xfId="1450" xr:uid="{00000000-0005-0000-0000-00009E050000}"/>
    <cellStyle name="Check Cell 2 2 3" xfId="1451" xr:uid="{00000000-0005-0000-0000-00009F050000}"/>
    <cellStyle name="Check Cell 2 2 4" xfId="1452" xr:uid="{00000000-0005-0000-0000-0000A0050000}"/>
    <cellStyle name="Check Cell 2 2 5" xfId="1453" xr:uid="{00000000-0005-0000-0000-0000A1050000}"/>
    <cellStyle name="Check Cell 2 2 6" xfId="1454" xr:uid="{00000000-0005-0000-0000-0000A2050000}"/>
    <cellStyle name="Check Cell 2 3" xfId="1455" xr:uid="{00000000-0005-0000-0000-0000A3050000}"/>
    <cellStyle name="Check Cell 2 4" xfId="1456" xr:uid="{00000000-0005-0000-0000-0000A4050000}"/>
    <cellStyle name="Check Cell 2 5" xfId="1457" xr:uid="{00000000-0005-0000-0000-0000A5050000}"/>
    <cellStyle name="Check Cell 2 6" xfId="1458" xr:uid="{00000000-0005-0000-0000-0000A6050000}"/>
    <cellStyle name="Check Cell 2 7" xfId="1459" xr:uid="{00000000-0005-0000-0000-0000A7050000}"/>
    <cellStyle name="Check Cell 2 8" xfId="1460" xr:uid="{00000000-0005-0000-0000-0000A8050000}"/>
    <cellStyle name="Check Cell 2 9" xfId="1461" xr:uid="{00000000-0005-0000-0000-0000A9050000}"/>
    <cellStyle name="Check Cell 20" xfId="1462" xr:uid="{00000000-0005-0000-0000-0000AA050000}"/>
    <cellStyle name="Check Cell 21" xfId="1463" xr:uid="{00000000-0005-0000-0000-0000AB050000}"/>
    <cellStyle name="Check Cell 22" xfId="1464" xr:uid="{00000000-0005-0000-0000-0000AC050000}"/>
    <cellStyle name="Check Cell 23" xfId="1465" xr:uid="{00000000-0005-0000-0000-0000AD050000}"/>
    <cellStyle name="Check Cell 3" xfId="1466" xr:uid="{00000000-0005-0000-0000-0000AE050000}"/>
    <cellStyle name="Check Cell 4" xfId="1467" xr:uid="{00000000-0005-0000-0000-0000AF050000}"/>
    <cellStyle name="Check Cell 5" xfId="1468" xr:uid="{00000000-0005-0000-0000-0000B0050000}"/>
    <cellStyle name="Check Cell 6" xfId="1469" xr:uid="{00000000-0005-0000-0000-0000B1050000}"/>
    <cellStyle name="Check Cell 7" xfId="1470" xr:uid="{00000000-0005-0000-0000-0000B2050000}"/>
    <cellStyle name="Check Cell 8" xfId="1471" xr:uid="{00000000-0005-0000-0000-0000B3050000}"/>
    <cellStyle name="Check Cell 9" xfId="1472" xr:uid="{00000000-0005-0000-0000-0000B4050000}"/>
    <cellStyle name="ColumnAttributeAbovePrompt" xfId="1473" xr:uid="{00000000-0005-0000-0000-0000B5050000}"/>
    <cellStyle name="ColumnAttributePrompt" xfId="1474" xr:uid="{00000000-0005-0000-0000-0000B6050000}"/>
    <cellStyle name="ColumnAttributeValue" xfId="1475" xr:uid="{00000000-0005-0000-0000-0000B7050000}"/>
    <cellStyle name="ColumnHeadingPrompt" xfId="1476" xr:uid="{00000000-0005-0000-0000-0000B8050000}"/>
    <cellStyle name="ColumnHeadingValue" xfId="1477" xr:uid="{00000000-0005-0000-0000-0000B9050000}"/>
    <cellStyle name="Comma" xfId="1" builtinId="3"/>
    <cellStyle name="Comma 10" xfId="1478" xr:uid="{00000000-0005-0000-0000-0000BB050000}"/>
    <cellStyle name="Comma 10 10" xfId="2405" xr:uid="{41570C10-412E-43DD-B743-C378CFB2BF0C}"/>
    <cellStyle name="Comma 11" xfId="1479" xr:uid="{00000000-0005-0000-0000-0000BC050000}"/>
    <cellStyle name="Comma 12" xfId="1480" xr:uid="{00000000-0005-0000-0000-0000BD050000}"/>
    <cellStyle name="Comma 13" xfId="1481" xr:uid="{00000000-0005-0000-0000-0000BE050000}"/>
    <cellStyle name="Comma 14" xfId="1482" xr:uid="{00000000-0005-0000-0000-0000BF050000}"/>
    <cellStyle name="Comma 15" xfId="1483" xr:uid="{00000000-0005-0000-0000-0000C0050000}"/>
    <cellStyle name="Comma 16" xfId="1484" xr:uid="{00000000-0005-0000-0000-0000C1050000}"/>
    <cellStyle name="Comma 17" xfId="1485" xr:uid="{00000000-0005-0000-0000-0000C2050000}"/>
    <cellStyle name="Comma 18" xfId="8" xr:uid="{00000000-0005-0000-0000-0000C3050000}"/>
    <cellStyle name="Comma 19" xfId="2403" xr:uid="{6213F1FD-432F-455B-9956-BB601F96A670}"/>
    <cellStyle name="Comma 2" xfId="5" xr:uid="{00000000-0005-0000-0000-0000C4050000}"/>
    <cellStyle name="Comma 2 10" xfId="1486" xr:uid="{00000000-0005-0000-0000-0000C5050000}"/>
    <cellStyle name="Comma 2 11" xfId="1487" xr:uid="{00000000-0005-0000-0000-0000C6050000}"/>
    <cellStyle name="Comma 2 12" xfId="1488" xr:uid="{00000000-0005-0000-0000-0000C7050000}"/>
    <cellStyle name="Comma 2 13" xfId="1489" xr:uid="{00000000-0005-0000-0000-0000C8050000}"/>
    <cellStyle name="Comma 2 14" xfId="1490" xr:uid="{00000000-0005-0000-0000-0000C9050000}"/>
    <cellStyle name="Comma 2 15" xfId="1491" xr:uid="{00000000-0005-0000-0000-0000CA050000}"/>
    <cellStyle name="Comma 2 16" xfId="1492" xr:uid="{00000000-0005-0000-0000-0000CB050000}"/>
    <cellStyle name="Comma 2 17" xfId="1493" xr:uid="{00000000-0005-0000-0000-0000CC050000}"/>
    <cellStyle name="Comma 2 18" xfId="1494" xr:uid="{00000000-0005-0000-0000-0000CD050000}"/>
    <cellStyle name="Comma 2 19" xfId="1495" xr:uid="{00000000-0005-0000-0000-0000CE050000}"/>
    <cellStyle name="Comma 2 2" xfId="1496" xr:uid="{00000000-0005-0000-0000-0000CF050000}"/>
    <cellStyle name="Comma 2 20" xfId="1497" xr:uid="{00000000-0005-0000-0000-0000D0050000}"/>
    <cellStyle name="Comma 2 21" xfId="1498" xr:uid="{00000000-0005-0000-0000-0000D1050000}"/>
    <cellStyle name="Comma 2 22" xfId="1499" xr:uid="{00000000-0005-0000-0000-0000D2050000}"/>
    <cellStyle name="Comma 2 3" xfId="1500" xr:uid="{00000000-0005-0000-0000-0000D3050000}"/>
    <cellStyle name="Comma 2 4" xfId="1501" xr:uid="{00000000-0005-0000-0000-0000D4050000}"/>
    <cellStyle name="Comma 2 4 2" xfId="2391" xr:uid="{00000000-0005-0000-0000-0000D5050000}"/>
    <cellStyle name="Comma 2 5" xfId="1502" xr:uid="{00000000-0005-0000-0000-0000D6050000}"/>
    <cellStyle name="Comma 2 6" xfId="1503" xr:uid="{00000000-0005-0000-0000-0000D7050000}"/>
    <cellStyle name="Comma 2 7" xfId="1504" xr:uid="{00000000-0005-0000-0000-0000D8050000}"/>
    <cellStyle name="Comma 2 8" xfId="1505" xr:uid="{00000000-0005-0000-0000-0000D9050000}"/>
    <cellStyle name="Comma 2 9" xfId="1506" xr:uid="{00000000-0005-0000-0000-0000DA050000}"/>
    <cellStyle name="Comma 3" xfId="10" xr:uid="{00000000-0005-0000-0000-0000DB050000}"/>
    <cellStyle name="Comma 3 2" xfId="1507" xr:uid="{00000000-0005-0000-0000-0000DC050000}"/>
    <cellStyle name="Comma 3 3" xfId="1508" xr:uid="{00000000-0005-0000-0000-0000DD050000}"/>
    <cellStyle name="Comma 3 4" xfId="1509" xr:uid="{00000000-0005-0000-0000-0000DE050000}"/>
    <cellStyle name="Comma 3 5" xfId="1510" xr:uid="{00000000-0005-0000-0000-0000DF050000}"/>
    <cellStyle name="Comma 3 6" xfId="2399" xr:uid="{4078183A-0C0B-425F-BF8B-7A03CFF85BEB}"/>
    <cellStyle name="Comma 4" xfId="1511" xr:uid="{00000000-0005-0000-0000-0000E0050000}"/>
    <cellStyle name="Comma 4 2" xfId="1512" xr:uid="{00000000-0005-0000-0000-0000E1050000}"/>
    <cellStyle name="Comma 4 3" xfId="1513" xr:uid="{00000000-0005-0000-0000-0000E2050000}"/>
    <cellStyle name="Comma 4 4" xfId="1514" xr:uid="{00000000-0005-0000-0000-0000E3050000}"/>
    <cellStyle name="Comma 4 5" xfId="1515" xr:uid="{00000000-0005-0000-0000-0000E4050000}"/>
    <cellStyle name="Comma 5" xfId="1516" xr:uid="{00000000-0005-0000-0000-0000E5050000}"/>
    <cellStyle name="Comma 6" xfId="1517" xr:uid="{00000000-0005-0000-0000-0000E6050000}"/>
    <cellStyle name="Comma 7" xfId="1518" xr:uid="{00000000-0005-0000-0000-0000E7050000}"/>
    <cellStyle name="Comma 8" xfId="1519" xr:uid="{00000000-0005-0000-0000-0000E8050000}"/>
    <cellStyle name="Comma 9" xfId="1520" xr:uid="{00000000-0005-0000-0000-0000E9050000}"/>
    <cellStyle name="Comma0" xfId="1521" xr:uid="{00000000-0005-0000-0000-0000EA050000}"/>
    <cellStyle name="Currency" xfId="2" builtinId="4"/>
    <cellStyle name="Currency 2" xfId="11" xr:uid="{00000000-0005-0000-0000-0000EC050000}"/>
    <cellStyle name="Currency 2 2" xfId="1522" xr:uid="{00000000-0005-0000-0000-0000ED050000}"/>
    <cellStyle name="Currency 2 2 2" xfId="1523" xr:uid="{00000000-0005-0000-0000-0000EE050000}"/>
    <cellStyle name="Currency 2 2 3" xfId="1524" xr:uid="{00000000-0005-0000-0000-0000EF050000}"/>
    <cellStyle name="Currency 2 3" xfId="1525" xr:uid="{00000000-0005-0000-0000-0000F0050000}"/>
    <cellStyle name="Currency 2 4" xfId="1526" xr:uid="{00000000-0005-0000-0000-0000F1050000}"/>
    <cellStyle name="Currency 2 5" xfId="1527" xr:uid="{00000000-0005-0000-0000-0000F2050000}"/>
    <cellStyle name="Currency 2 6" xfId="1528" xr:uid="{00000000-0005-0000-0000-0000F3050000}"/>
    <cellStyle name="Currency 3" xfId="1529" xr:uid="{00000000-0005-0000-0000-0000F4050000}"/>
    <cellStyle name="Currency 3 2" xfId="1530" xr:uid="{00000000-0005-0000-0000-0000F5050000}"/>
    <cellStyle name="Currency 3 3" xfId="1531" xr:uid="{00000000-0005-0000-0000-0000F6050000}"/>
    <cellStyle name="Currency 3 4" xfId="1532" xr:uid="{00000000-0005-0000-0000-0000F7050000}"/>
    <cellStyle name="Currency 3 5" xfId="1533" xr:uid="{00000000-0005-0000-0000-0000F8050000}"/>
    <cellStyle name="Currency 3 6" xfId="2400" xr:uid="{615BDDF0-F4CE-4312-9A58-E954C9608AD4}"/>
    <cellStyle name="Currency 4" xfId="1534" xr:uid="{00000000-0005-0000-0000-0000F9050000}"/>
    <cellStyle name="Currency 5" xfId="2384" xr:uid="{00000000-0005-0000-0000-0000FA050000}"/>
    <cellStyle name="Currency0" xfId="1535" xr:uid="{00000000-0005-0000-0000-0000FB050000}"/>
    <cellStyle name="Date" xfId="1536" xr:uid="{00000000-0005-0000-0000-0000FC050000}"/>
    <cellStyle name="Euro" xfId="1537" xr:uid="{00000000-0005-0000-0000-0000FD050000}"/>
    <cellStyle name="Explanatory Text 10" xfId="1538" xr:uid="{00000000-0005-0000-0000-0000FE050000}"/>
    <cellStyle name="Explanatory Text 11" xfId="1539" xr:uid="{00000000-0005-0000-0000-0000FF050000}"/>
    <cellStyle name="Explanatory Text 12" xfId="1540" xr:uid="{00000000-0005-0000-0000-000000060000}"/>
    <cellStyle name="Explanatory Text 13" xfId="1541" xr:uid="{00000000-0005-0000-0000-000001060000}"/>
    <cellStyle name="Explanatory Text 14" xfId="1542" xr:uid="{00000000-0005-0000-0000-000002060000}"/>
    <cellStyle name="Explanatory Text 15" xfId="1543" xr:uid="{00000000-0005-0000-0000-000003060000}"/>
    <cellStyle name="Explanatory Text 16" xfId="1544" xr:uid="{00000000-0005-0000-0000-000004060000}"/>
    <cellStyle name="Explanatory Text 17" xfId="1545" xr:uid="{00000000-0005-0000-0000-000005060000}"/>
    <cellStyle name="Explanatory Text 18" xfId="1546" xr:uid="{00000000-0005-0000-0000-000006060000}"/>
    <cellStyle name="Explanatory Text 19" xfId="1547" xr:uid="{00000000-0005-0000-0000-000007060000}"/>
    <cellStyle name="Explanatory Text 2" xfId="1548" xr:uid="{00000000-0005-0000-0000-000008060000}"/>
    <cellStyle name="Explanatory Text 2 10" xfId="1549" xr:uid="{00000000-0005-0000-0000-000009060000}"/>
    <cellStyle name="Explanatory Text 2 2" xfId="1550" xr:uid="{00000000-0005-0000-0000-00000A060000}"/>
    <cellStyle name="Explanatory Text 2 2 2" xfId="1551" xr:uid="{00000000-0005-0000-0000-00000B060000}"/>
    <cellStyle name="Explanatory Text 2 2 2 2" xfId="1552" xr:uid="{00000000-0005-0000-0000-00000C060000}"/>
    <cellStyle name="Explanatory Text 2 2 2 2 2" xfId="1553" xr:uid="{00000000-0005-0000-0000-00000D060000}"/>
    <cellStyle name="Explanatory Text 2 2 2 2 3" xfId="1554" xr:uid="{00000000-0005-0000-0000-00000E060000}"/>
    <cellStyle name="Explanatory Text 2 2 2 3" xfId="1555" xr:uid="{00000000-0005-0000-0000-00000F060000}"/>
    <cellStyle name="Explanatory Text 2 2 2 4" xfId="1556" xr:uid="{00000000-0005-0000-0000-000010060000}"/>
    <cellStyle name="Explanatory Text 2 2 2 5" xfId="1557" xr:uid="{00000000-0005-0000-0000-000011060000}"/>
    <cellStyle name="Explanatory Text 2 2 2 6" xfId="1558" xr:uid="{00000000-0005-0000-0000-000012060000}"/>
    <cellStyle name="Explanatory Text 2 2 3" xfId="1559" xr:uid="{00000000-0005-0000-0000-000013060000}"/>
    <cellStyle name="Explanatory Text 2 2 4" xfId="1560" xr:uid="{00000000-0005-0000-0000-000014060000}"/>
    <cellStyle name="Explanatory Text 2 2 5" xfId="1561" xr:uid="{00000000-0005-0000-0000-000015060000}"/>
    <cellStyle name="Explanatory Text 2 2 6" xfId="1562" xr:uid="{00000000-0005-0000-0000-000016060000}"/>
    <cellStyle name="Explanatory Text 2 3" xfId="1563" xr:uid="{00000000-0005-0000-0000-000017060000}"/>
    <cellStyle name="Explanatory Text 2 4" xfId="1564" xr:uid="{00000000-0005-0000-0000-000018060000}"/>
    <cellStyle name="Explanatory Text 2 5" xfId="1565" xr:uid="{00000000-0005-0000-0000-000019060000}"/>
    <cellStyle name="Explanatory Text 2 6" xfId="1566" xr:uid="{00000000-0005-0000-0000-00001A060000}"/>
    <cellStyle name="Explanatory Text 2 7" xfId="1567" xr:uid="{00000000-0005-0000-0000-00001B060000}"/>
    <cellStyle name="Explanatory Text 2 8" xfId="1568" xr:uid="{00000000-0005-0000-0000-00001C060000}"/>
    <cellStyle name="Explanatory Text 2 9" xfId="1569" xr:uid="{00000000-0005-0000-0000-00001D060000}"/>
    <cellStyle name="Explanatory Text 20" xfId="1570" xr:uid="{00000000-0005-0000-0000-00001E060000}"/>
    <cellStyle name="Explanatory Text 21" xfId="1571" xr:uid="{00000000-0005-0000-0000-00001F060000}"/>
    <cellStyle name="Explanatory Text 22" xfId="1572" xr:uid="{00000000-0005-0000-0000-000020060000}"/>
    <cellStyle name="Explanatory Text 23" xfId="1573" xr:uid="{00000000-0005-0000-0000-000021060000}"/>
    <cellStyle name="Explanatory Text 3" xfId="1574" xr:uid="{00000000-0005-0000-0000-000022060000}"/>
    <cellStyle name="Explanatory Text 4" xfId="1575" xr:uid="{00000000-0005-0000-0000-000023060000}"/>
    <cellStyle name="Explanatory Text 5" xfId="1576" xr:uid="{00000000-0005-0000-0000-000024060000}"/>
    <cellStyle name="Explanatory Text 6" xfId="1577" xr:uid="{00000000-0005-0000-0000-000025060000}"/>
    <cellStyle name="Explanatory Text 7" xfId="1578" xr:uid="{00000000-0005-0000-0000-000026060000}"/>
    <cellStyle name="Explanatory Text 8" xfId="1579" xr:uid="{00000000-0005-0000-0000-000027060000}"/>
    <cellStyle name="Explanatory Text 9" xfId="1580" xr:uid="{00000000-0005-0000-0000-000028060000}"/>
    <cellStyle name="F2" xfId="1581" xr:uid="{00000000-0005-0000-0000-000029060000}"/>
    <cellStyle name="F2 2" xfId="1582" xr:uid="{00000000-0005-0000-0000-00002A060000}"/>
    <cellStyle name="F2 3" xfId="1583" xr:uid="{00000000-0005-0000-0000-00002B060000}"/>
    <cellStyle name="F2 4" xfId="1584" xr:uid="{00000000-0005-0000-0000-00002C060000}"/>
    <cellStyle name="F2 5" xfId="1585" xr:uid="{00000000-0005-0000-0000-00002D060000}"/>
    <cellStyle name="F2 6" xfId="1586" xr:uid="{00000000-0005-0000-0000-00002E060000}"/>
    <cellStyle name="F2 7" xfId="1587" xr:uid="{00000000-0005-0000-0000-00002F060000}"/>
    <cellStyle name="F3" xfId="1588" xr:uid="{00000000-0005-0000-0000-000030060000}"/>
    <cellStyle name="F3 2" xfId="1589" xr:uid="{00000000-0005-0000-0000-000031060000}"/>
    <cellStyle name="F3 3" xfId="1590" xr:uid="{00000000-0005-0000-0000-000032060000}"/>
    <cellStyle name="F3 4" xfId="1591" xr:uid="{00000000-0005-0000-0000-000033060000}"/>
    <cellStyle name="F3 5" xfId="1592" xr:uid="{00000000-0005-0000-0000-000034060000}"/>
    <cellStyle name="F3 6" xfId="1593" xr:uid="{00000000-0005-0000-0000-000035060000}"/>
    <cellStyle name="F3 7" xfId="1594" xr:uid="{00000000-0005-0000-0000-000036060000}"/>
    <cellStyle name="F4" xfId="1595" xr:uid="{00000000-0005-0000-0000-000037060000}"/>
    <cellStyle name="F4 2" xfId="1596" xr:uid="{00000000-0005-0000-0000-000038060000}"/>
    <cellStyle name="F4 3" xfId="1597" xr:uid="{00000000-0005-0000-0000-000039060000}"/>
    <cellStyle name="F4 4" xfId="1598" xr:uid="{00000000-0005-0000-0000-00003A060000}"/>
    <cellStyle name="F4 5" xfId="1599" xr:uid="{00000000-0005-0000-0000-00003B060000}"/>
    <cellStyle name="F4 6" xfId="1600" xr:uid="{00000000-0005-0000-0000-00003C060000}"/>
    <cellStyle name="F4 7" xfId="1601" xr:uid="{00000000-0005-0000-0000-00003D060000}"/>
    <cellStyle name="F5" xfId="1602" xr:uid="{00000000-0005-0000-0000-00003E060000}"/>
    <cellStyle name="F5 2" xfId="1603" xr:uid="{00000000-0005-0000-0000-00003F060000}"/>
    <cellStyle name="F5 3" xfId="1604" xr:uid="{00000000-0005-0000-0000-000040060000}"/>
    <cellStyle name="F5 4" xfId="1605" xr:uid="{00000000-0005-0000-0000-000041060000}"/>
    <cellStyle name="F5 5" xfId="1606" xr:uid="{00000000-0005-0000-0000-000042060000}"/>
    <cellStyle name="F5 6" xfId="1607" xr:uid="{00000000-0005-0000-0000-000043060000}"/>
    <cellStyle name="F5 7" xfId="1608" xr:uid="{00000000-0005-0000-0000-000044060000}"/>
    <cellStyle name="F6" xfId="1609" xr:uid="{00000000-0005-0000-0000-000045060000}"/>
    <cellStyle name="F6 2" xfId="1610" xr:uid="{00000000-0005-0000-0000-000046060000}"/>
    <cellStyle name="F6 3" xfId="1611" xr:uid="{00000000-0005-0000-0000-000047060000}"/>
    <cellStyle name="F6 4" xfId="1612" xr:uid="{00000000-0005-0000-0000-000048060000}"/>
    <cellStyle name="F6 5" xfId="1613" xr:uid="{00000000-0005-0000-0000-000049060000}"/>
    <cellStyle name="F6 6" xfId="1614" xr:uid="{00000000-0005-0000-0000-00004A060000}"/>
    <cellStyle name="F6 7" xfId="1615" xr:uid="{00000000-0005-0000-0000-00004B060000}"/>
    <cellStyle name="F7" xfId="1616" xr:uid="{00000000-0005-0000-0000-00004C060000}"/>
    <cellStyle name="F7 2" xfId="1617" xr:uid="{00000000-0005-0000-0000-00004D060000}"/>
    <cellStyle name="F7 3" xfId="1618" xr:uid="{00000000-0005-0000-0000-00004E060000}"/>
    <cellStyle name="F7 4" xfId="1619" xr:uid="{00000000-0005-0000-0000-00004F060000}"/>
    <cellStyle name="F7 5" xfId="1620" xr:uid="{00000000-0005-0000-0000-000050060000}"/>
    <cellStyle name="F7 6" xfId="1621" xr:uid="{00000000-0005-0000-0000-000051060000}"/>
    <cellStyle name="F7 7" xfId="1622" xr:uid="{00000000-0005-0000-0000-000052060000}"/>
    <cellStyle name="F8" xfId="1623" xr:uid="{00000000-0005-0000-0000-000053060000}"/>
    <cellStyle name="F8 2" xfId="1624" xr:uid="{00000000-0005-0000-0000-000054060000}"/>
    <cellStyle name="F8 3" xfId="1625" xr:uid="{00000000-0005-0000-0000-000055060000}"/>
    <cellStyle name="F8 4" xfId="1626" xr:uid="{00000000-0005-0000-0000-000056060000}"/>
    <cellStyle name="F8 5" xfId="1627" xr:uid="{00000000-0005-0000-0000-000057060000}"/>
    <cellStyle name="F8 6" xfId="1628" xr:uid="{00000000-0005-0000-0000-000058060000}"/>
    <cellStyle name="F8 7" xfId="1629" xr:uid="{00000000-0005-0000-0000-000059060000}"/>
    <cellStyle name="Fixed" xfId="1630" xr:uid="{00000000-0005-0000-0000-00005A060000}"/>
    <cellStyle name="Good 10" xfId="1631" xr:uid="{00000000-0005-0000-0000-00005B060000}"/>
    <cellStyle name="Good 11" xfId="1632" xr:uid="{00000000-0005-0000-0000-00005C060000}"/>
    <cellStyle name="Good 12" xfId="1633" xr:uid="{00000000-0005-0000-0000-00005D060000}"/>
    <cellStyle name="Good 13" xfId="1634" xr:uid="{00000000-0005-0000-0000-00005E060000}"/>
    <cellStyle name="Good 14" xfId="1635" xr:uid="{00000000-0005-0000-0000-00005F060000}"/>
    <cellStyle name="Good 15" xfId="1636" xr:uid="{00000000-0005-0000-0000-000060060000}"/>
    <cellStyle name="Good 16" xfId="1637" xr:uid="{00000000-0005-0000-0000-000061060000}"/>
    <cellStyle name="Good 17" xfId="1638" xr:uid="{00000000-0005-0000-0000-000062060000}"/>
    <cellStyle name="Good 18" xfId="1639" xr:uid="{00000000-0005-0000-0000-000063060000}"/>
    <cellStyle name="Good 19" xfId="1640" xr:uid="{00000000-0005-0000-0000-000064060000}"/>
    <cellStyle name="Good 2" xfId="1641" xr:uid="{00000000-0005-0000-0000-000065060000}"/>
    <cellStyle name="Good 2 10" xfId="1642" xr:uid="{00000000-0005-0000-0000-000066060000}"/>
    <cellStyle name="Good 2 2" xfId="1643" xr:uid="{00000000-0005-0000-0000-000067060000}"/>
    <cellStyle name="Good 2 2 2" xfId="1644" xr:uid="{00000000-0005-0000-0000-000068060000}"/>
    <cellStyle name="Good 2 2 2 2" xfId="1645" xr:uid="{00000000-0005-0000-0000-000069060000}"/>
    <cellStyle name="Good 2 2 2 2 2" xfId="1646" xr:uid="{00000000-0005-0000-0000-00006A060000}"/>
    <cellStyle name="Good 2 2 2 2 3" xfId="1647" xr:uid="{00000000-0005-0000-0000-00006B060000}"/>
    <cellStyle name="Good 2 2 2 3" xfId="1648" xr:uid="{00000000-0005-0000-0000-00006C060000}"/>
    <cellStyle name="Good 2 2 2 4" xfId="1649" xr:uid="{00000000-0005-0000-0000-00006D060000}"/>
    <cellStyle name="Good 2 2 2 5" xfId="1650" xr:uid="{00000000-0005-0000-0000-00006E060000}"/>
    <cellStyle name="Good 2 2 2 6" xfId="1651" xr:uid="{00000000-0005-0000-0000-00006F060000}"/>
    <cellStyle name="Good 2 2 3" xfId="1652" xr:uid="{00000000-0005-0000-0000-000070060000}"/>
    <cellStyle name="Good 2 2 4" xfId="1653" xr:uid="{00000000-0005-0000-0000-000071060000}"/>
    <cellStyle name="Good 2 2 5" xfId="1654" xr:uid="{00000000-0005-0000-0000-000072060000}"/>
    <cellStyle name="Good 2 2 6" xfId="1655" xr:uid="{00000000-0005-0000-0000-000073060000}"/>
    <cellStyle name="Good 2 3" xfId="1656" xr:uid="{00000000-0005-0000-0000-000074060000}"/>
    <cellStyle name="Good 2 4" xfId="1657" xr:uid="{00000000-0005-0000-0000-000075060000}"/>
    <cellStyle name="Good 2 5" xfId="1658" xr:uid="{00000000-0005-0000-0000-000076060000}"/>
    <cellStyle name="Good 2 6" xfId="1659" xr:uid="{00000000-0005-0000-0000-000077060000}"/>
    <cellStyle name="Good 2 7" xfId="1660" xr:uid="{00000000-0005-0000-0000-000078060000}"/>
    <cellStyle name="Good 2 8" xfId="1661" xr:uid="{00000000-0005-0000-0000-000079060000}"/>
    <cellStyle name="Good 2 9" xfId="1662" xr:uid="{00000000-0005-0000-0000-00007A060000}"/>
    <cellStyle name="Good 20" xfId="1663" xr:uid="{00000000-0005-0000-0000-00007B060000}"/>
    <cellStyle name="Good 21" xfId="1664" xr:uid="{00000000-0005-0000-0000-00007C060000}"/>
    <cellStyle name="Good 22" xfId="1665" xr:uid="{00000000-0005-0000-0000-00007D060000}"/>
    <cellStyle name="Good 23" xfId="1666" xr:uid="{00000000-0005-0000-0000-00007E060000}"/>
    <cellStyle name="Good 3" xfId="1667" xr:uid="{00000000-0005-0000-0000-00007F060000}"/>
    <cellStyle name="Good 4" xfId="1668" xr:uid="{00000000-0005-0000-0000-000080060000}"/>
    <cellStyle name="Good 5" xfId="1669" xr:uid="{00000000-0005-0000-0000-000081060000}"/>
    <cellStyle name="Good 6" xfId="1670" xr:uid="{00000000-0005-0000-0000-000082060000}"/>
    <cellStyle name="Good 7" xfId="1671" xr:uid="{00000000-0005-0000-0000-000083060000}"/>
    <cellStyle name="Good 8" xfId="1672" xr:uid="{00000000-0005-0000-0000-000084060000}"/>
    <cellStyle name="Good 9" xfId="1673" xr:uid="{00000000-0005-0000-0000-000085060000}"/>
    <cellStyle name="Heading 1 10" xfId="1674" xr:uid="{00000000-0005-0000-0000-000086060000}"/>
    <cellStyle name="Heading 1 11" xfId="1675" xr:uid="{00000000-0005-0000-0000-000087060000}"/>
    <cellStyle name="Heading 1 12" xfId="1676" xr:uid="{00000000-0005-0000-0000-000088060000}"/>
    <cellStyle name="Heading 1 13" xfId="1677" xr:uid="{00000000-0005-0000-0000-000089060000}"/>
    <cellStyle name="Heading 1 14" xfId="1678" xr:uid="{00000000-0005-0000-0000-00008A060000}"/>
    <cellStyle name="Heading 1 15" xfId="1679" xr:uid="{00000000-0005-0000-0000-00008B060000}"/>
    <cellStyle name="Heading 1 16" xfId="1680" xr:uid="{00000000-0005-0000-0000-00008C060000}"/>
    <cellStyle name="Heading 1 17" xfId="1681" xr:uid="{00000000-0005-0000-0000-00008D060000}"/>
    <cellStyle name="Heading 1 18" xfId="1682" xr:uid="{00000000-0005-0000-0000-00008E060000}"/>
    <cellStyle name="Heading 1 19" xfId="1683" xr:uid="{00000000-0005-0000-0000-00008F060000}"/>
    <cellStyle name="Heading 1 2" xfId="1684" xr:uid="{00000000-0005-0000-0000-000090060000}"/>
    <cellStyle name="Heading 1 2 10" xfId="1685" xr:uid="{00000000-0005-0000-0000-000091060000}"/>
    <cellStyle name="Heading 1 2 2" xfId="1686" xr:uid="{00000000-0005-0000-0000-000092060000}"/>
    <cellStyle name="Heading 1 2 2 2" xfId="1687" xr:uid="{00000000-0005-0000-0000-000093060000}"/>
    <cellStyle name="Heading 1 2 2 2 2" xfId="1688" xr:uid="{00000000-0005-0000-0000-000094060000}"/>
    <cellStyle name="Heading 1 2 2 2 2 2" xfId="1689" xr:uid="{00000000-0005-0000-0000-000095060000}"/>
    <cellStyle name="Heading 1 2 2 2 2 3" xfId="1690" xr:uid="{00000000-0005-0000-0000-000096060000}"/>
    <cellStyle name="Heading 1 2 2 2 3" xfId="1691" xr:uid="{00000000-0005-0000-0000-000097060000}"/>
    <cellStyle name="Heading 1 2 2 2 4" xfId="1692" xr:uid="{00000000-0005-0000-0000-000098060000}"/>
    <cellStyle name="Heading 1 2 2 2 5" xfId="1693" xr:uid="{00000000-0005-0000-0000-000099060000}"/>
    <cellStyle name="Heading 1 2 2 2 6" xfId="1694" xr:uid="{00000000-0005-0000-0000-00009A060000}"/>
    <cellStyle name="Heading 1 2 2 3" xfId="1695" xr:uid="{00000000-0005-0000-0000-00009B060000}"/>
    <cellStyle name="Heading 1 2 2 4" xfId="1696" xr:uid="{00000000-0005-0000-0000-00009C060000}"/>
    <cellStyle name="Heading 1 2 2 5" xfId="1697" xr:uid="{00000000-0005-0000-0000-00009D060000}"/>
    <cellStyle name="Heading 1 2 2 6" xfId="1698" xr:uid="{00000000-0005-0000-0000-00009E060000}"/>
    <cellStyle name="Heading 1 2 3" xfId="1699" xr:uid="{00000000-0005-0000-0000-00009F060000}"/>
    <cellStyle name="Heading 1 2 4" xfId="1700" xr:uid="{00000000-0005-0000-0000-0000A0060000}"/>
    <cellStyle name="Heading 1 2 5" xfId="1701" xr:uid="{00000000-0005-0000-0000-0000A1060000}"/>
    <cellStyle name="Heading 1 2 6" xfId="1702" xr:uid="{00000000-0005-0000-0000-0000A2060000}"/>
    <cellStyle name="Heading 1 2 7" xfId="1703" xr:uid="{00000000-0005-0000-0000-0000A3060000}"/>
    <cellStyle name="Heading 1 2 8" xfId="1704" xr:uid="{00000000-0005-0000-0000-0000A4060000}"/>
    <cellStyle name="Heading 1 2 9" xfId="1705" xr:uid="{00000000-0005-0000-0000-0000A5060000}"/>
    <cellStyle name="Heading 1 20" xfId="1706" xr:uid="{00000000-0005-0000-0000-0000A6060000}"/>
    <cellStyle name="Heading 1 21" xfId="1707" xr:uid="{00000000-0005-0000-0000-0000A7060000}"/>
    <cellStyle name="Heading 1 22" xfId="1708" xr:uid="{00000000-0005-0000-0000-0000A8060000}"/>
    <cellStyle name="Heading 1 23" xfId="1709" xr:uid="{00000000-0005-0000-0000-0000A9060000}"/>
    <cellStyle name="Heading 1 24" xfId="1710" xr:uid="{00000000-0005-0000-0000-0000AA060000}"/>
    <cellStyle name="Heading 1 25" xfId="1711" xr:uid="{00000000-0005-0000-0000-0000AB060000}"/>
    <cellStyle name="Heading 1 3" xfId="1712" xr:uid="{00000000-0005-0000-0000-0000AC060000}"/>
    <cellStyle name="Heading 1 4" xfId="1713" xr:uid="{00000000-0005-0000-0000-0000AD060000}"/>
    <cellStyle name="Heading 1 5" xfId="1714" xr:uid="{00000000-0005-0000-0000-0000AE060000}"/>
    <cellStyle name="Heading 1 6" xfId="1715" xr:uid="{00000000-0005-0000-0000-0000AF060000}"/>
    <cellStyle name="Heading 1 7" xfId="1716" xr:uid="{00000000-0005-0000-0000-0000B0060000}"/>
    <cellStyle name="Heading 1 8" xfId="1717" xr:uid="{00000000-0005-0000-0000-0000B1060000}"/>
    <cellStyle name="Heading 1 9" xfId="1718" xr:uid="{00000000-0005-0000-0000-0000B2060000}"/>
    <cellStyle name="Heading 2 10" xfId="1719" xr:uid="{00000000-0005-0000-0000-0000B3060000}"/>
    <cellStyle name="Heading 2 11" xfId="1720" xr:uid="{00000000-0005-0000-0000-0000B4060000}"/>
    <cellStyle name="Heading 2 12" xfId="1721" xr:uid="{00000000-0005-0000-0000-0000B5060000}"/>
    <cellStyle name="Heading 2 13" xfId="1722" xr:uid="{00000000-0005-0000-0000-0000B6060000}"/>
    <cellStyle name="Heading 2 14" xfId="1723" xr:uid="{00000000-0005-0000-0000-0000B7060000}"/>
    <cellStyle name="Heading 2 15" xfId="1724" xr:uid="{00000000-0005-0000-0000-0000B8060000}"/>
    <cellStyle name="Heading 2 16" xfId="1725" xr:uid="{00000000-0005-0000-0000-0000B9060000}"/>
    <cellStyle name="Heading 2 17" xfId="1726" xr:uid="{00000000-0005-0000-0000-0000BA060000}"/>
    <cellStyle name="Heading 2 18" xfId="1727" xr:uid="{00000000-0005-0000-0000-0000BB060000}"/>
    <cellStyle name="Heading 2 19" xfId="1728" xr:uid="{00000000-0005-0000-0000-0000BC060000}"/>
    <cellStyle name="Heading 2 2" xfId="1729" xr:uid="{00000000-0005-0000-0000-0000BD060000}"/>
    <cellStyle name="Heading 2 2 10" xfId="1730" xr:uid="{00000000-0005-0000-0000-0000BE060000}"/>
    <cellStyle name="Heading 2 2 2" xfId="1731" xr:uid="{00000000-0005-0000-0000-0000BF060000}"/>
    <cellStyle name="Heading 2 2 2 2" xfId="1732" xr:uid="{00000000-0005-0000-0000-0000C0060000}"/>
    <cellStyle name="Heading 2 2 2 2 2" xfId="1733" xr:uid="{00000000-0005-0000-0000-0000C1060000}"/>
    <cellStyle name="Heading 2 2 2 2 2 2" xfId="1734" xr:uid="{00000000-0005-0000-0000-0000C2060000}"/>
    <cellStyle name="Heading 2 2 2 2 2 3" xfId="1735" xr:uid="{00000000-0005-0000-0000-0000C3060000}"/>
    <cellStyle name="Heading 2 2 2 2 3" xfId="1736" xr:uid="{00000000-0005-0000-0000-0000C4060000}"/>
    <cellStyle name="Heading 2 2 2 2 4" xfId="1737" xr:uid="{00000000-0005-0000-0000-0000C5060000}"/>
    <cellStyle name="Heading 2 2 2 2 5" xfId="1738" xr:uid="{00000000-0005-0000-0000-0000C6060000}"/>
    <cellStyle name="Heading 2 2 2 2 6" xfId="1739" xr:uid="{00000000-0005-0000-0000-0000C7060000}"/>
    <cellStyle name="Heading 2 2 2 3" xfId="1740" xr:uid="{00000000-0005-0000-0000-0000C8060000}"/>
    <cellStyle name="Heading 2 2 2 4" xfId="1741" xr:uid="{00000000-0005-0000-0000-0000C9060000}"/>
    <cellStyle name="Heading 2 2 2 5" xfId="1742" xr:uid="{00000000-0005-0000-0000-0000CA060000}"/>
    <cellStyle name="Heading 2 2 2 6" xfId="1743" xr:uid="{00000000-0005-0000-0000-0000CB060000}"/>
    <cellStyle name="Heading 2 2 3" xfId="1744" xr:uid="{00000000-0005-0000-0000-0000CC060000}"/>
    <cellStyle name="Heading 2 2 4" xfId="1745" xr:uid="{00000000-0005-0000-0000-0000CD060000}"/>
    <cellStyle name="Heading 2 2 5" xfId="1746" xr:uid="{00000000-0005-0000-0000-0000CE060000}"/>
    <cellStyle name="Heading 2 2 6" xfId="1747" xr:uid="{00000000-0005-0000-0000-0000CF060000}"/>
    <cellStyle name="Heading 2 2 7" xfId="1748" xr:uid="{00000000-0005-0000-0000-0000D0060000}"/>
    <cellStyle name="Heading 2 2 8" xfId="1749" xr:uid="{00000000-0005-0000-0000-0000D1060000}"/>
    <cellStyle name="Heading 2 2 9" xfId="1750" xr:uid="{00000000-0005-0000-0000-0000D2060000}"/>
    <cellStyle name="Heading 2 20" xfId="1751" xr:uid="{00000000-0005-0000-0000-0000D3060000}"/>
    <cellStyle name="Heading 2 21" xfId="1752" xr:uid="{00000000-0005-0000-0000-0000D4060000}"/>
    <cellStyle name="Heading 2 22" xfId="1753" xr:uid="{00000000-0005-0000-0000-0000D5060000}"/>
    <cellStyle name="Heading 2 23" xfId="1754" xr:uid="{00000000-0005-0000-0000-0000D6060000}"/>
    <cellStyle name="Heading 2 24" xfId="1755" xr:uid="{00000000-0005-0000-0000-0000D7060000}"/>
    <cellStyle name="Heading 2 25" xfId="1756" xr:uid="{00000000-0005-0000-0000-0000D8060000}"/>
    <cellStyle name="Heading 2 3" xfId="1757" xr:uid="{00000000-0005-0000-0000-0000D9060000}"/>
    <cellStyle name="Heading 2 4" xfId="1758" xr:uid="{00000000-0005-0000-0000-0000DA060000}"/>
    <cellStyle name="Heading 2 5" xfId="1759" xr:uid="{00000000-0005-0000-0000-0000DB060000}"/>
    <cellStyle name="Heading 2 6" xfId="1760" xr:uid="{00000000-0005-0000-0000-0000DC060000}"/>
    <cellStyle name="Heading 2 7" xfId="1761" xr:uid="{00000000-0005-0000-0000-0000DD060000}"/>
    <cellStyle name="Heading 2 8" xfId="1762" xr:uid="{00000000-0005-0000-0000-0000DE060000}"/>
    <cellStyle name="Heading 2 9" xfId="1763" xr:uid="{00000000-0005-0000-0000-0000DF060000}"/>
    <cellStyle name="Heading 3 10" xfId="1764" xr:uid="{00000000-0005-0000-0000-0000E0060000}"/>
    <cellStyle name="Heading 3 11" xfId="1765" xr:uid="{00000000-0005-0000-0000-0000E1060000}"/>
    <cellStyle name="Heading 3 12" xfId="1766" xr:uid="{00000000-0005-0000-0000-0000E2060000}"/>
    <cellStyle name="Heading 3 13" xfId="1767" xr:uid="{00000000-0005-0000-0000-0000E3060000}"/>
    <cellStyle name="Heading 3 14" xfId="1768" xr:uid="{00000000-0005-0000-0000-0000E4060000}"/>
    <cellStyle name="Heading 3 15" xfId="1769" xr:uid="{00000000-0005-0000-0000-0000E5060000}"/>
    <cellStyle name="Heading 3 16" xfId="1770" xr:uid="{00000000-0005-0000-0000-0000E6060000}"/>
    <cellStyle name="Heading 3 17" xfId="1771" xr:uid="{00000000-0005-0000-0000-0000E7060000}"/>
    <cellStyle name="Heading 3 18" xfId="1772" xr:uid="{00000000-0005-0000-0000-0000E8060000}"/>
    <cellStyle name="Heading 3 19" xfId="1773" xr:uid="{00000000-0005-0000-0000-0000E9060000}"/>
    <cellStyle name="Heading 3 2" xfId="1774" xr:uid="{00000000-0005-0000-0000-0000EA060000}"/>
    <cellStyle name="Heading 3 2 10" xfId="1775" xr:uid="{00000000-0005-0000-0000-0000EB060000}"/>
    <cellStyle name="Heading 3 2 2" xfId="1776" xr:uid="{00000000-0005-0000-0000-0000EC060000}"/>
    <cellStyle name="Heading 3 2 2 2" xfId="1777" xr:uid="{00000000-0005-0000-0000-0000ED060000}"/>
    <cellStyle name="Heading 3 2 2 2 2" xfId="1778" xr:uid="{00000000-0005-0000-0000-0000EE060000}"/>
    <cellStyle name="Heading 3 2 2 2 2 2" xfId="1779" xr:uid="{00000000-0005-0000-0000-0000EF060000}"/>
    <cellStyle name="Heading 3 2 2 2 2 3" xfId="1780" xr:uid="{00000000-0005-0000-0000-0000F0060000}"/>
    <cellStyle name="Heading 3 2 2 2 3" xfId="1781" xr:uid="{00000000-0005-0000-0000-0000F1060000}"/>
    <cellStyle name="Heading 3 2 2 2 4" xfId="1782" xr:uid="{00000000-0005-0000-0000-0000F2060000}"/>
    <cellStyle name="Heading 3 2 2 2 5" xfId="1783" xr:uid="{00000000-0005-0000-0000-0000F3060000}"/>
    <cellStyle name="Heading 3 2 2 2 6" xfId="1784" xr:uid="{00000000-0005-0000-0000-0000F4060000}"/>
    <cellStyle name="Heading 3 2 2 3" xfId="1785" xr:uid="{00000000-0005-0000-0000-0000F5060000}"/>
    <cellStyle name="Heading 3 2 2 4" xfId="1786" xr:uid="{00000000-0005-0000-0000-0000F6060000}"/>
    <cellStyle name="Heading 3 2 2 5" xfId="1787" xr:uid="{00000000-0005-0000-0000-0000F7060000}"/>
    <cellStyle name="Heading 3 2 2 6" xfId="1788" xr:uid="{00000000-0005-0000-0000-0000F8060000}"/>
    <cellStyle name="Heading 3 2 3" xfId="1789" xr:uid="{00000000-0005-0000-0000-0000F9060000}"/>
    <cellStyle name="Heading 3 2 4" xfId="1790" xr:uid="{00000000-0005-0000-0000-0000FA060000}"/>
    <cellStyle name="Heading 3 2 5" xfId="1791" xr:uid="{00000000-0005-0000-0000-0000FB060000}"/>
    <cellStyle name="Heading 3 2 6" xfId="1792" xr:uid="{00000000-0005-0000-0000-0000FC060000}"/>
    <cellStyle name="Heading 3 2 7" xfId="1793" xr:uid="{00000000-0005-0000-0000-0000FD060000}"/>
    <cellStyle name="Heading 3 2 8" xfId="1794" xr:uid="{00000000-0005-0000-0000-0000FE060000}"/>
    <cellStyle name="Heading 3 2 9" xfId="1795" xr:uid="{00000000-0005-0000-0000-0000FF060000}"/>
    <cellStyle name="Heading 3 20" xfId="1796" xr:uid="{00000000-0005-0000-0000-000000070000}"/>
    <cellStyle name="Heading 3 21" xfId="1797" xr:uid="{00000000-0005-0000-0000-000001070000}"/>
    <cellStyle name="Heading 3 22" xfId="1798" xr:uid="{00000000-0005-0000-0000-000002070000}"/>
    <cellStyle name="Heading 3 23" xfId="1799" xr:uid="{00000000-0005-0000-0000-000003070000}"/>
    <cellStyle name="Heading 3 3" xfId="1800" xr:uid="{00000000-0005-0000-0000-000004070000}"/>
    <cellStyle name="Heading 3 4" xfId="1801" xr:uid="{00000000-0005-0000-0000-000005070000}"/>
    <cellStyle name="Heading 3 5" xfId="1802" xr:uid="{00000000-0005-0000-0000-000006070000}"/>
    <cellStyle name="Heading 3 6" xfId="1803" xr:uid="{00000000-0005-0000-0000-000007070000}"/>
    <cellStyle name="Heading 3 7" xfId="1804" xr:uid="{00000000-0005-0000-0000-000008070000}"/>
    <cellStyle name="Heading 3 8" xfId="1805" xr:uid="{00000000-0005-0000-0000-000009070000}"/>
    <cellStyle name="Heading 3 9" xfId="1806" xr:uid="{00000000-0005-0000-0000-00000A070000}"/>
    <cellStyle name="Heading 4 10" xfId="1807" xr:uid="{00000000-0005-0000-0000-00000B070000}"/>
    <cellStyle name="Heading 4 11" xfId="1808" xr:uid="{00000000-0005-0000-0000-00000C070000}"/>
    <cellStyle name="Heading 4 12" xfId="1809" xr:uid="{00000000-0005-0000-0000-00000D070000}"/>
    <cellStyle name="Heading 4 13" xfId="1810" xr:uid="{00000000-0005-0000-0000-00000E070000}"/>
    <cellStyle name="Heading 4 14" xfId="1811" xr:uid="{00000000-0005-0000-0000-00000F070000}"/>
    <cellStyle name="Heading 4 15" xfId="1812" xr:uid="{00000000-0005-0000-0000-000010070000}"/>
    <cellStyle name="Heading 4 16" xfId="1813" xr:uid="{00000000-0005-0000-0000-000011070000}"/>
    <cellStyle name="Heading 4 17" xfId="1814" xr:uid="{00000000-0005-0000-0000-000012070000}"/>
    <cellStyle name="Heading 4 18" xfId="1815" xr:uid="{00000000-0005-0000-0000-000013070000}"/>
    <cellStyle name="Heading 4 19" xfId="1816" xr:uid="{00000000-0005-0000-0000-000014070000}"/>
    <cellStyle name="Heading 4 2" xfId="1817" xr:uid="{00000000-0005-0000-0000-000015070000}"/>
    <cellStyle name="Heading 4 2 10" xfId="1818" xr:uid="{00000000-0005-0000-0000-000016070000}"/>
    <cellStyle name="Heading 4 2 2" xfId="1819" xr:uid="{00000000-0005-0000-0000-000017070000}"/>
    <cellStyle name="Heading 4 2 2 2" xfId="1820" xr:uid="{00000000-0005-0000-0000-000018070000}"/>
    <cellStyle name="Heading 4 2 2 2 2" xfId="1821" xr:uid="{00000000-0005-0000-0000-000019070000}"/>
    <cellStyle name="Heading 4 2 2 2 2 2" xfId="1822" xr:uid="{00000000-0005-0000-0000-00001A070000}"/>
    <cellStyle name="Heading 4 2 2 2 2 3" xfId="1823" xr:uid="{00000000-0005-0000-0000-00001B070000}"/>
    <cellStyle name="Heading 4 2 2 2 3" xfId="1824" xr:uid="{00000000-0005-0000-0000-00001C070000}"/>
    <cellStyle name="Heading 4 2 2 2 4" xfId="1825" xr:uid="{00000000-0005-0000-0000-00001D070000}"/>
    <cellStyle name="Heading 4 2 2 2 5" xfId="1826" xr:uid="{00000000-0005-0000-0000-00001E070000}"/>
    <cellStyle name="Heading 4 2 2 2 6" xfId="1827" xr:uid="{00000000-0005-0000-0000-00001F070000}"/>
    <cellStyle name="Heading 4 2 2 3" xfId="1828" xr:uid="{00000000-0005-0000-0000-000020070000}"/>
    <cellStyle name="Heading 4 2 2 4" xfId="1829" xr:uid="{00000000-0005-0000-0000-000021070000}"/>
    <cellStyle name="Heading 4 2 2 5" xfId="1830" xr:uid="{00000000-0005-0000-0000-000022070000}"/>
    <cellStyle name="Heading 4 2 2 6" xfId="1831" xr:uid="{00000000-0005-0000-0000-000023070000}"/>
    <cellStyle name="Heading 4 2 3" xfId="1832" xr:uid="{00000000-0005-0000-0000-000024070000}"/>
    <cellStyle name="Heading 4 2 4" xfId="1833" xr:uid="{00000000-0005-0000-0000-000025070000}"/>
    <cellStyle name="Heading 4 2 5" xfId="1834" xr:uid="{00000000-0005-0000-0000-000026070000}"/>
    <cellStyle name="Heading 4 2 6" xfId="1835" xr:uid="{00000000-0005-0000-0000-000027070000}"/>
    <cellStyle name="Heading 4 2 7" xfId="1836" xr:uid="{00000000-0005-0000-0000-000028070000}"/>
    <cellStyle name="Heading 4 2 8" xfId="1837" xr:uid="{00000000-0005-0000-0000-000029070000}"/>
    <cellStyle name="Heading 4 2 9" xfId="1838" xr:uid="{00000000-0005-0000-0000-00002A070000}"/>
    <cellStyle name="Heading 4 20" xfId="1839" xr:uid="{00000000-0005-0000-0000-00002B070000}"/>
    <cellStyle name="Heading 4 21" xfId="1840" xr:uid="{00000000-0005-0000-0000-00002C070000}"/>
    <cellStyle name="Heading 4 22" xfId="1841" xr:uid="{00000000-0005-0000-0000-00002D070000}"/>
    <cellStyle name="Heading 4 23" xfId="1842" xr:uid="{00000000-0005-0000-0000-00002E070000}"/>
    <cellStyle name="Heading 4 3" xfId="1843" xr:uid="{00000000-0005-0000-0000-00002F070000}"/>
    <cellStyle name="Heading 4 4" xfId="1844" xr:uid="{00000000-0005-0000-0000-000030070000}"/>
    <cellStyle name="Heading 4 5" xfId="1845" xr:uid="{00000000-0005-0000-0000-000031070000}"/>
    <cellStyle name="Heading 4 6" xfId="1846" xr:uid="{00000000-0005-0000-0000-000032070000}"/>
    <cellStyle name="Heading 4 7" xfId="1847" xr:uid="{00000000-0005-0000-0000-000033070000}"/>
    <cellStyle name="Heading 4 8" xfId="1848" xr:uid="{00000000-0005-0000-0000-000034070000}"/>
    <cellStyle name="Heading 4 9" xfId="1849" xr:uid="{00000000-0005-0000-0000-000035070000}"/>
    <cellStyle name="Input 10" xfId="1850" xr:uid="{00000000-0005-0000-0000-000036070000}"/>
    <cellStyle name="Input 11" xfId="1851" xr:uid="{00000000-0005-0000-0000-000037070000}"/>
    <cellStyle name="Input 12" xfId="1852" xr:uid="{00000000-0005-0000-0000-000038070000}"/>
    <cellStyle name="Input 13" xfId="1853" xr:uid="{00000000-0005-0000-0000-000039070000}"/>
    <cellStyle name="Input 14" xfId="1854" xr:uid="{00000000-0005-0000-0000-00003A070000}"/>
    <cellStyle name="Input 15" xfId="1855" xr:uid="{00000000-0005-0000-0000-00003B070000}"/>
    <cellStyle name="Input 16" xfId="1856" xr:uid="{00000000-0005-0000-0000-00003C070000}"/>
    <cellStyle name="Input 17" xfId="1857" xr:uid="{00000000-0005-0000-0000-00003D070000}"/>
    <cellStyle name="Input 18" xfId="1858" xr:uid="{00000000-0005-0000-0000-00003E070000}"/>
    <cellStyle name="Input 19" xfId="1859" xr:uid="{00000000-0005-0000-0000-00003F070000}"/>
    <cellStyle name="Input 2" xfId="1860" xr:uid="{00000000-0005-0000-0000-000040070000}"/>
    <cellStyle name="Input 2 10" xfId="1861" xr:uid="{00000000-0005-0000-0000-000041070000}"/>
    <cellStyle name="Input 2 2" xfId="1862" xr:uid="{00000000-0005-0000-0000-000042070000}"/>
    <cellStyle name="Input 2 2 2" xfId="1863" xr:uid="{00000000-0005-0000-0000-000043070000}"/>
    <cellStyle name="Input 2 2 2 2" xfId="1864" xr:uid="{00000000-0005-0000-0000-000044070000}"/>
    <cellStyle name="Input 2 2 2 2 2" xfId="1865" xr:uid="{00000000-0005-0000-0000-000045070000}"/>
    <cellStyle name="Input 2 2 2 2 3" xfId="1866" xr:uid="{00000000-0005-0000-0000-000046070000}"/>
    <cellStyle name="Input 2 2 2 3" xfId="1867" xr:uid="{00000000-0005-0000-0000-000047070000}"/>
    <cellStyle name="Input 2 2 2 4" xfId="1868" xr:uid="{00000000-0005-0000-0000-000048070000}"/>
    <cellStyle name="Input 2 2 2 5" xfId="1869" xr:uid="{00000000-0005-0000-0000-000049070000}"/>
    <cellStyle name="Input 2 2 2 6" xfId="1870" xr:uid="{00000000-0005-0000-0000-00004A070000}"/>
    <cellStyle name="Input 2 2 3" xfId="1871" xr:uid="{00000000-0005-0000-0000-00004B070000}"/>
    <cellStyle name="Input 2 2 4" xfId="1872" xr:uid="{00000000-0005-0000-0000-00004C070000}"/>
    <cellStyle name="Input 2 2 5" xfId="1873" xr:uid="{00000000-0005-0000-0000-00004D070000}"/>
    <cellStyle name="Input 2 2 6" xfId="1874" xr:uid="{00000000-0005-0000-0000-00004E070000}"/>
    <cellStyle name="Input 2 3" xfId="1875" xr:uid="{00000000-0005-0000-0000-00004F070000}"/>
    <cellStyle name="Input 2 4" xfId="1876" xr:uid="{00000000-0005-0000-0000-000050070000}"/>
    <cellStyle name="Input 2 5" xfId="1877" xr:uid="{00000000-0005-0000-0000-000051070000}"/>
    <cellStyle name="Input 2 6" xfId="1878" xr:uid="{00000000-0005-0000-0000-000052070000}"/>
    <cellStyle name="Input 2 7" xfId="1879" xr:uid="{00000000-0005-0000-0000-000053070000}"/>
    <cellStyle name="Input 2 8" xfId="1880" xr:uid="{00000000-0005-0000-0000-000054070000}"/>
    <cellStyle name="Input 2 9" xfId="1881" xr:uid="{00000000-0005-0000-0000-000055070000}"/>
    <cellStyle name="Input 20" xfId="1882" xr:uid="{00000000-0005-0000-0000-000056070000}"/>
    <cellStyle name="Input 21" xfId="1883" xr:uid="{00000000-0005-0000-0000-000057070000}"/>
    <cellStyle name="Input 22" xfId="1884" xr:uid="{00000000-0005-0000-0000-000058070000}"/>
    <cellStyle name="Input 23" xfId="1885" xr:uid="{00000000-0005-0000-0000-000059070000}"/>
    <cellStyle name="Input 3" xfId="1886" xr:uid="{00000000-0005-0000-0000-00005A070000}"/>
    <cellStyle name="Input 4" xfId="1887" xr:uid="{00000000-0005-0000-0000-00005B070000}"/>
    <cellStyle name="Input 5" xfId="1888" xr:uid="{00000000-0005-0000-0000-00005C070000}"/>
    <cellStyle name="Input 6" xfId="1889" xr:uid="{00000000-0005-0000-0000-00005D070000}"/>
    <cellStyle name="Input 7" xfId="1890" xr:uid="{00000000-0005-0000-0000-00005E070000}"/>
    <cellStyle name="Input 8" xfId="1891" xr:uid="{00000000-0005-0000-0000-00005F070000}"/>
    <cellStyle name="Input 9" xfId="1892" xr:uid="{00000000-0005-0000-0000-000060070000}"/>
    <cellStyle name="LineItemPrompt" xfId="1893" xr:uid="{00000000-0005-0000-0000-000061070000}"/>
    <cellStyle name="LineItemValue" xfId="1894" xr:uid="{00000000-0005-0000-0000-000062070000}"/>
    <cellStyle name="Linked Cell 10" xfId="1895" xr:uid="{00000000-0005-0000-0000-000063070000}"/>
    <cellStyle name="Linked Cell 11" xfId="1896" xr:uid="{00000000-0005-0000-0000-000064070000}"/>
    <cellStyle name="Linked Cell 12" xfId="1897" xr:uid="{00000000-0005-0000-0000-000065070000}"/>
    <cellStyle name="Linked Cell 13" xfId="1898" xr:uid="{00000000-0005-0000-0000-000066070000}"/>
    <cellStyle name="Linked Cell 14" xfId="1899" xr:uid="{00000000-0005-0000-0000-000067070000}"/>
    <cellStyle name="Linked Cell 15" xfId="1900" xr:uid="{00000000-0005-0000-0000-000068070000}"/>
    <cellStyle name="Linked Cell 16" xfId="1901" xr:uid="{00000000-0005-0000-0000-000069070000}"/>
    <cellStyle name="Linked Cell 17" xfId="1902" xr:uid="{00000000-0005-0000-0000-00006A070000}"/>
    <cellStyle name="Linked Cell 18" xfId="1903" xr:uid="{00000000-0005-0000-0000-00006B070000}"/>
    <cellStyle name="Linked Cell 19" xfId="1904" xr:uid="{00000000-0005-0000-0000-00006C070000}"/>
    <cellStyle name="Linked Cell 2" xfId="1905" xr:uid="{00000000-0005-0000-0000-00006D070000}"/>
    <cellStyle name="Linked Cell 2 10" xfId="1906" xr:uid="{00000000-0005-0000-0000-00006E070000}"/>
    <cellStyle name="Linked Cell 2 2" xfId="1907" xr:uid="{00000000-0005-0000-0000-00006F070000}"/>
    <cellStyle name="Linked Cell 2 2 2" xfId="1908" xr:uid="{00000000-0005-0000-0000-000070070000}"/>
    <cellStyle name="Linked Cell 2 2 2 2" xfId="1909" xr:uid="{00000000-0005-0000-0000-000071070000}"/>
    <cellStyle name="Linked Cell 2 2 2 2 2" xfId="1910" xr:uid="{00000000-0005-0000-0000-000072070000}"/>
    <cellStyle name="Linked Cell 2 2 2 2 3" xfId="1911" xr:uid="{00000000-0005-0000-0000-000073070000}"/>
    <cellStyle name="Linked Cell 2 2 2 3" xfId="1912" xr:uid="{00000000-0005-0000-0000-000074070000}"/>
    <cellStyle name="Linked Cell 2 2 2 4" xfId="1913" xr:uid="{00000000-0005-0000-0000-000075070000}"/>
    <cellStyle name="Linked Cell 2 2 2 5" xfId="1914" xr:uid="{00000000-0005-0000-0000-000076070000}"/>
    <cellStyle name="Linked Cell 2 2 2 6" xfId="1915" xr:uid="{00000000-0005-0000-0000-000077070000}"/>
    <cellStyle name="Linked Cell 2 2 3" xfId="1916" xr:uid="{00000000-0005-0000-0000-000078070000}"/>
    <cellStyle name="Linked Cell 2 2 4" xfId="1917" xr:uid="{00000000-0005-0000-0000-000079070000}"/>
    <cellStyle name="Linked Cell 2 2 5" xfId="1918" xr:uid="{00000000-0005-0000-0000-00007A070000}"/>
    <cellStyle name="Linked Cell 2 2 6" xfId="1919" xr:uid="{00000000-0005-0000-0000-00007B070000}"/>
    <cellStyle name="Linked Cell 2 3" xfId="1920" xr:uid="{00000000-0005-0000-0000-00007C070000}"/>
    <cellStyle name="Linked Cell 2 4" xfId="1921" xr:uid="{00000000-0005-0000-0000-00007D070000}"/>
    <cellStyle name="Linked Cell 2 5" xfId="1922" xr:uid="{00000000-0005-0000-0000-00007E070000}"/>
    <cellStyle name="Linked Cell 2 6" xfId="1923" xr:uid="{00000000-0005-0000-0000-00007F070000}"/>
    <cellStyle name="Linked Cell 2 7" xfId="1924" xr:uid="{00000000-0005-0000-0000-000080070000}"/>
    <cellStyle name="Linked Cell 2 8" xfId="1925" xr:uid="{00000000-0005-0000-0000-000081070000}"/>
    <cellStyle name="Linked Cell 2 9" xfId="1926" xr:uid="{00000000-0005-0000-0000-000082070000}"/>
    <cellStyle name="Linked Cell 20" xfId="1927" xr:uid="{00000000-0005-0000-0000-000083070000}"/>
    <cellStyle name="Linked Cell 21" xfId="1928" xr:uid="{00000000-0005-0000-0000-000084070000}"/>
    <cellStyle name="Linked Cell 22" xfId="1929" xr:uid="{00000000-0005-0000-0000-000085070000}"/>
    <cellStyle name="Linked Cell 23" xfId="1930" xr:uid="{00000000-0005-0000-0000-000086070000}"/>
    <cellStyle name="Linked Cell 3" xfId="1931" xr:uid="{00000000-0005-0000-0000-000087070000}"/>
    <cellStyle name="Linked Cell 4" xfId="1932" xr:uid="{00000000-0005-0000-0000-000088070000}"/>
    <cellStyle name="Linked Cell 5" xfId="1933" xr:uid="{00000000-0005-0000-0000-000089070000}"/>
    <cellStyle name="Linked Cell 6" xfId="1934" xr:uid="{00000000-0005-0000-0000-00008A070000}"/>
    <cellStyle name="Linked Cell 7" xfId="1935" xr:uid="{00000000-0005-0000-0000-00008B070000}"/>
    <cellStyle name="Linked Cell 8" xfId="1936" xr:uid="{00000000-0005-0000-0000-00008C070000}"/>
    <cellStyle name="Linked Cell 9" xfId="1937" xr:uid="{00000000-0005-0000-0000-00008D070000}"/>
    <cellStyle name="Neutral 10" xfId="1938" xr:uid="{00000000-0005-0000-0000-00008E070000}"/>
    <cellStyle name="Neutral 11" xfId="1939" xr:uid="{00000000-0005-0000-0000-00008F070000}"/>
    <cellStyle name="Neutral 12" xfId="1940" xr:uid="{00000000-0005-0000-0000-000090070000}"/>
    <cellStyle name="Neutral 13" xfId="1941" xr:uid="{00000000-0005-0000-0000-000091070000}"/>
    <cellStyle name="Neutral 14" xfId="1942" xr:uid="{00000000-0005-0000-0000-000092070000}"/>
    <cellStyle name="Neutral 15" xfId="1943" xr:uid="{00000000-0005-0000-0000-000093070000}"/>
    <cellStyle name="Neutral 16" xfId="1944" xr:uid="{00000000-0005-0000-0000-000094070000}"/>
    <cellStyle name="Neutral 17" xfId="1945" xr:uid="{00000000-0005-0000-0000-000095070000}"/>
    <cellStyle name="Neutral 18" xfId="1946" xr:uid="{00000000-0005-0000-0000-000096070000}"/>
    <cellStyle name="Neutral 19" xfId="1947" xr:uid="{00000000-0005-0000-0000-000097070000}"/>
    <cellStyle name="Neutral 2" xfId="1948" xr:uid="{00000000-0005-0000-0000-000098070000}"/>
    <cellStyle name="Neutral 2 10" xfId="1949" xr:uid="{00000000-0005-0000-0000-000099070000}"/>
    <cellStyle name="Neutral 2 2" xfId="1950" xr:uid="{00000000-0005-0000-0000-00009A070000}"/>
    <cellStyle name="Neutral 2 2 2" xfId="1951" xr:uid="{00000000-0005-0000-0000-00009B070000}"/>
    <cellStyle name="Neutral 2 2 2 2" xfId="1952" xr:uid="{00000000-0005-0000-0000-00009C070000}"/>
    <cellStyle name="Neutral 2 2 2 2 2" xfId="1953" xr:uid="{00000000-0005-0000-0000-00009D070000}"/>
    <cellStyle name="Neutral 2 2 2 2 3" xfId="1954" xr:uid="{00000000-0005-0000-0000-00009E070000}"/>
    <cellStyle name="Neutral 2 2 2 3" xfId="1955" xr:uid="{00000000-0005-0000-0000-00009F070000}"/>
    <cellStyle name="Neutral 2 2 2 4" xfId="1956" xr:uid="{00000000-0005-0000-0000-0000A0070000}"/>
    <cellStyle name="Neutral 2 2 2 5" xfId="1957" xr:uid="{00000000-0005-0000-0000-0000A1070000}"/>
    <cellStyle name="Neutral 2 2 2 6" xfId="1958" xr:uid="{00000000-0005-0000-0000-0000A2070000}"/>
    <cellStyle name="Neutral 2 2 3" xfId="1959" xr:uid="{00000000-0005-0000-0000-0000A3070000}"/>
    <cellStyle name="Neutral 2 2 4" xfId="1960" xr:uid="{00000000-0005-0000-0000-0000A4070000}"/>
    <cellStyle name="Neutral 2 2 5" xfId="1961" xr:uid="{00000000-0005-0000-0000-0000A5070000}"/>
    <cellStyle name="Neutral 2 2 6" xfId="1962" xr:uid="{00000000-0005-0000-0000-0000A6070000}"/>
    <cellStyle name="Neutral 2 3" xfId="1963" xr:uid="{00000000-0005-0000-0000-0000A7070000}"/>
    <cellStyle name="Neutral 2 4" xfId="1964" xr:uid="{00000000-0005-0000-0000-0000A8070000}"/>
    <cellStyle name="Neutral 2 5" xfId="1965" xr:uid="{00000000-0005-0000-0000-0000A9070000}"/>
    <cellStyle name="Neutral 2 6" xfId="1966" xr:uid="{00000000-0005-0000-0000-0000AA070000}"/>
    <cellStyle name="Neutral 2 7" xfId="1967" xr:uid="{00000000-0005-0000-0000-0000AB070000}"/>
    <cellStyle name="Neutral 2 8" xfId="1968" xr:uid="{00000000-0005-0000-0000-0000AC070000}"/>
    <cellStyle name="Neutral 2 9" xfId="1969" xr:uid="{00000000-0005-0000-0000-0000AD070000}"/>
    <cellStyle name="Neutral 20" xfId="1970" xr:uid="{00000000-0005-0000-0000-0000AE070000}"/>
    <cellStyle name="Neutral 21" xfId="1971" xr:uid="{00000000-0005-0000-0000-0000AF070000}"/>
    <cellStyle name="Neutral 22" xfId="1972" xr:uid="{00000000-0005-0000-0000-0000B0070000}"/>
    <cellStyle name="Neutral 23" xfId="1973" xr:uid="{00000000-0005-0000-0000-0000B1070000}"/>
    <cellStyle name="Neutral 3" xfId="1974" xr:uid="{00000000-0005-0000-0000-0000B2070000}"/>
    <cellStyle name="Neutral 4" xfId="1975" xr:uid="{00000000-0005-0000-0000-0000B3070000}"/>
    <cellStyle name="Neutral 5" xfId="1976" xr:uid="{00000000-0005-0000-0000-0000B4070000}"/>
    <cellStyle name="Neutral 6" xfId="1977" xr:uid="{00000000-0005-0000-0000-0000B5070000}"/>
    <cellStyle name="Neutral 7" xfId="1978" xr:uid="{00000000-0005-0000-0000-0000B6070000}"/>
    <cellStyle name="Neutral 8" xfId="1979" xr:uid="{00000000-0005-0000-0000-0000B7070000}"/>
    <cellStyle name="Neutral 9" xfId="1980" xr:uid="{00000000-0005-0000-0000-0000B8070000}"/>
    <cellStyle name="Normal" xfId="0" builtinId="0"/>
    <cellStyle name="Normal 10" xfId="1981" xr:uid="{00000000-0005-0000-0000-0000BA070000}"/>
    <cellStyle name="Normal 11" xfId="1982" xr:uid="{00000000-0005-0000-0000-0000BB070000}"/>
    <cellStyle name="Normal 11 2" xfId="1983" xr:uid="{00000000-0005-0000-0000-0000BC070000}"/>
    <cellStyle name="Normal 11 2 6" xfId="2404" xr:uid="{F45809A2-35E8-4D38-BB74-F0332F0DB3C8}"/>
    <cellStyle name="Normal 11 3" xfId="1984" xr:uid="{00000000-0005-0000-0000-0000BD070000}"/>
    <cellStyle name="Normal 11 4" xfId="1985" xr:uid="{00000000-0005-0000-0000-0000BE070000}"/>
    <cellStyle name="Normal 11 5" xfId="1986" xr:uid="{00000000-0005-0000-0000-0000BF070000}"/>
    <cellStyle name="Normal 12" xfId="1987" xr:uid="{00000000-0005-0000-0000-0000C0070000}"/>
    <cellStyle name="Normal 12 2" xfId="2389" xr:uid="{00000000-0005-0000-0000-0000C1070000}"/>
    <cellStyle name="Normal 13" xfId="1988" xr:uid="{00000000-0005-0000-0000-0000C2070000}"/>
    <cellStyle name="Normal 13 2" xfId="1989" xr:uid="{00000000-0005-0000-0000-0000C3070000}"/>
    <cellStyle name="Normal 13 3" xfId="1990" xr:uid="{00000000-0005-0000-0000-0000C4070000}"/>
    <cellStyle name="Normal 13 4" xfId="1991" xr:uid="{00000000-0005-0000-0000-0000C5070000}"/>
    <cellStyle name="Normal 13 5" xfId="1992" xr:uid="{00000000-0005-0000-0000-0000C6070000}"/>
    <cellStyle name="Normal 14" xfId="1993" xr:uid="{00000000-0005-0000-0000-0000C7070000}"/>
    <cellStyle name="Normal 15" xfId="1994" xr:uid="{00000000-0005-0000-0000-0000C8070000}"/>
    <cellStyle name="Normal 16" xfId="1995" xr:uid="{00000000-0005-0000-0000-0000C9070000}"/>
    <cellStyle name="Normal 17" xfId="1996" xr:uid="{00000000-0005-0000-0000-0000CA070000}"/>
    <cellStyle name="Normal 18" xfId="1997" xr:uid="{00000000-0005-0000-0000-0000CB070000}"/>
    <cellStyle name="Normal 19" xfId="1998" xr:uid="{00000000-0005-0000-0000-0000CC070000}"/>
    <cellStyle name="Normal 2" xfId="6" xr:uid="{00000000-0005-0000-0000-0000CD070000}"/>
    <cellStyle name="Normal 2 10" xfId="1999" xr:uid="{00000000-0005-0000-0000-0000CE070000}"/>
    <cellStyle name="Normal 2 11" xfId="2000" xr:uid="{00000000-0005-0000-0000-0000CF070000}"/>
    <cellStyle name="Normal 2 12" xfId="2001" xr:uid="{00000000-0005-0000-0000-0000D0070000}"/>
    <cellStyle name="Normal 2 13" xfId="2002" xr:uid="{00000000-0005-0000-0000-0000D1070000}"/>
    <cellStyle name="Normal 2 14" xfId="2003" xr:uid="{00000000-0005-0000-0000-0000D2070000}"/>
    <cellStyle name="Normal 2 15" xfId="2004" xr:uid="{00000000-0005-0000-0000-0000D3070000}"/>
    <cellStyle name="Normal 2 16" xfId="2005" xr:uid="{00000000-0005-0000-0000-0000D4070000}"/>
    <cellStyle name="Normal 2 17" xfId="2006" xr:uid="{00000000-0005-0000-0000-0000D5070000}"/>
    <cellStyle name="Normal 2 18" xfId="2007" xr:uid="{00000000-0005-0000-0000-0000D6070000}"/>
    <cellStyle name="Normal 2 19" xfId="2008" xr:uid="{00000000-0005-0000-0000-0000D7070000}"/>
    <cellStyle name="Normal 2 19 2" xfId="2009" xr:uid="{00000000-0005-0000-0000-0000D8070000}"/>
    <cellStyle name="Normal 2 19 3" xfId="2010" xr:uid="{00000000-0005-0000-0000-0000D9070000}"/>
    <cellStyle name="Normal 2 19 4" xfId="2011" xr:uid="{00000000-0005-0000-0000-0000DA070000}"/>
    <cellStyle name="Normal 2 19 5" xfId="2012" xr:uid="{00000000-0005-0000-0000-0000DB070000}"/>
    <cellStyle name="Normal 2 2" xfId="9" xr:uid="{00000000-0005-0000-0000-0000DC070000}"/>
    <cellStyle name="Normal 2 2 2" xfId="2013" xr:uid="{00000000-0005-0000-0000-0000DD070000}"/>
    <cellStyle name="Normal 2 2 2 2" xfId="2014" xr:uid="{00000000-0005-0000-0000-0000DE070000}"/>
    <cellStyle name="Normal 2 2 2 3" xfId="2015" xr:uid="{00000000-0005-0000-0000-0000DF070000}"/>
    <cellStyle name="Normal 2 2 2 4" xfId="2394" xr:uid="{00000000-0005-0000-0000-0000E0070000}"/>
    <cellStyle name="Normal 2 2 3" xfId="2016" xr:uid="{00000000-0005-0000-0000-0000E1070000}"/>
    <cellStyle name="Normal 2 2 4" xfId="2398" xr:uid="{ACFC608E-534E-4AA0-8E75-F4A79400E981}"/>
    <cellStyle name="Normal 2 20" xfId="2017" xr:uid="{00000000-0005-0000-0000-0000E2070000}"/>
    <cellStyle name="Normal 2 21" xfId="2018" xr:uid="{00000000-0005-0000-0000-0000E3070000}"/>
    <cellStyle name="Normal 2 22" xfId="2019" xr:uid="{00000000-0005-0000-0000-0000E4070000}"/>
    <cellStyle name="Normal 2 23" xfId="2020" xr:uid="{00000000-0005-0000-0000-0000E5070000}"/>
    <cellStyle name="Normal 2 24" xfId="2021" xr:uid="{00000000-0005-0000-0000-0000E6070000}"/>
    <cellStyle name="Normal 2 25" xfId="2022" xr:uid="{00000000-0005-0000-0000-0000E7070000}"/>
    <cellStyle name="Normal 2 26" xfId="2023" xr:uid="{00000000-0005-0000-0000-0000E8070000}"/>
    <cellStyle name="Normal 2 27" xfId="2393" xr:uid="{00000000-0005-0000-0000-0000E9070000}"/>
    <cellStyle name="Normal 2 28" xfId="2397" xr:uid="{271C0249-4C23-4942-B3A7-40F06ABCD4E6}"/>
    <cellStyle name="Normal 2 3" xfId="2024" xr:uid="{00000000-0005-0000-0000-0000EA070000}"/>
    <cellStyle name="Normal 2 4" xfId="2025" xr:uid="{00000000-0005-0000-0000-0000EB070000}"/>
    <cellStyle name="Normal 2 4 2" xfId="2390" xr:uid="{00000000-0005-0000-0000-0000EC070000}"/>
    <cellStyle name="Normal 2 5" xfId="2026" xr:uid="{00000000-0005-0000-0000-0000ED070000}"/>
    <cellStyle name="Normal 2 6" xfId="2027" xr:uid="{00000000-0005-0000-0000-0000EE070000}"/>
    <cellStyle name="Normal 2 7" xfId="2028" xr:uid="{00000000-0005-0000-0000-0000EF070000}"/>
    <cellStyle name="Normal 2 8" xfId="2029" xr:uid="{00000000-0005-0000-0000-0000F0070000}"/>
    <cellStyle name="Normal 2 9" xfId="2030" xr:uid="{00000000-0005-0000-0000-0000F1070000}"/>
    <cellStyle name="Normal 20" xfId="2031" xr:uid="{00000000-0005-0000-0000-0000F2070000}"/>
    <cellStyle name="Normal 20 2" xfId="2032" xr:uid="{00000000-0005-0000-0000-0000F3070000}"/>
    <cellStyle name="Normal 20 3" xfId="2033" xr:uid="{00000000-0005-0000-0000-0000F4070000}"/>
    <cellStyle name="Normal 20 4" xfId="2034" xr:uid="{00000000-0005-0000-0000-0000F5070000}"/>
    <cellStyle name="Normal 20 5" xfId="2035" xr:uid="{00000000-0005-0000-0000-0000F6070000}"/>
    <cellStyle name="Normal 21" xfId="2036" xr:uid="{00000000-0005-0000-0000-0000F7070000}"/>
    <cellStyle name="Normal 22" xfId="2037" xr:uid="{00000000-0005-0000-0000-0000F8070000}"/>
    <cellStyle name="Normal 23" xfId="2038" xr:uid="{00000000-0005-0000-0000-0000F9070000}"/>
    <cellStyle name="Normal 24" xfId="2039" xr:uid="{00000000-0005-0000-0000-0000FA070000}"/>
    <cellStyle name="Normal 25" xfId="2040" xr:uid="{00000000-0005-0000-0000-0000FB070000}"/>
    <cellStyle name="Normal 26" xfId="2041" xr:uid="{00000000-0005-0000-0000-0000FC070000}"/>
    <cellStyle name="Normal 27" xfId="2042" xr:uid="{00000000-0005-0000-0000-0000FD070000}"/>
    <cellStyle name="Normal 28" xfId="2043" xr:uid="{00000000-0005-0000-0000-0000FE070000}"/>
    <cellStyle name="Normal 29" xfId="2044" xr:uid="{00000000-0005-0000-0000-0000FF070000}"/>
    <cellStyle name="Normal 3" xfId="4" xr:uid="{00000000-0005-0000-0000-000000080000}"/>
    <cellStyle name="Normal 3 10" xfId="2045" xr:uid="{00000000-0005-0000-0000-000001080000}"/>
    <cellStyle name="Normal 3 11" xfId="2046" xr:uid="{00000000-0005-0000-0000-000002080000}"/>
    <cellStyle name="Normal 3 12" xfId="2047" xr:uid="{00000000-0005-0000-0000-000003080000}"/>
    <cellStyle name="Normal 3 13" xfId="2048" xr:uid="{00000000-0005-0000-0000-000004080000}"/>
    <cellStyle name="Normal 3 14" xfId="2049" xr:uid="{00000000-0005-0000-0000-000005080000}"/>
    <cellStyle name="Normal 3 15" xfId="2050" xr:uid="{00000000-0005-0000-0000-000006080000}"/>
    <cellStyle name="Normal 3 16" xfId="2051" xr:uid="{00000000-0005-0000-0000-000007080000}"/>
    <cellStyle name="Normal 3 17" xfId="2052" xr:uid="{00000000-0005-0000-0000-000008080000}"/>
    <cellStyle name="Normal 3 18" xfId="2053" xr:uid="{00000000-0005-0000-0000-000009080000}"/>
    <cellStyle name="Normal 3 2" xfId="2054" xr:uid="{00000000-0005-0000-0000-00000A080000}"/>
    <cellStyle name="Normal 3 3" xfId="2055" xr:uid="{00000000-0005-0000-0000-00000B080000}"/>
    <cellStyle name="Normal 3 4" xfId="2056" xr:uid="{00000000-0005-0000-0000-00000C080000}"/>
    <cellStyle name="Normal 3 5" xfId="2057" xr:uid="{00000000-0005-0000-0000-00000D080000}"/>
    <cellStyle name="Normal 3 6" xfId="2058" xr:uid="{00000000-0005-0000-0000-00000E080000}"/>
    <cellStyle name="Normal 3 7" xfId="2059" xr:uid="{00000000-0005-0000-0000-00000F080000}"/>
    <cellStyle name="Normal 3 8" xfId="2060" xr:uid="{00000000-0005-0000-0000-000010080000}"/>
    <cellStyle name="Normal 3 9" xfId="2061" xr:uid="{00000000-0005-0000-0000-000011080000}"/>
    <cellStyle name="Normal 30" xfId="2062" xr:uid="{00000000-0005-0000-0000-000012080000}"/>
    <cellStyle name="Normal 31" xfId="2063" xr:uid="{00000000-0005-0000-0000-000013080000}"/>
    <cellStyle name="Normal 31 2" xfId="2064" xr:uid="{00000000-0005-0000-0000-000014080000}"/>
    <cellStyle name="Normal 31 3" xfId="2065" xr:uid="{00000000-0005-0000-0000-000015080000}"/>
    <cellStyle name="Normal 31 4" xfId="2066" xr:uid="{00000000-0005-0000-0000-000016080000}"/>
    <cellStyle name="Normal 31 5" xfId="2067" xr:uid="{00000000-0005-0000-0000-000017080000}"/>
    <cellStyle name="Normal 32" xfId="2068" xr:uid="{00000000-0005-0000-0000-000018080000}"/>
    <cellStyle name="Normal 33" xfId="2069" xr:uid="{00000000-0005-0000-0000-000019080000}"/>
    <cellStyle name="Normal 34" xfId="2070" xr:uid="{00000000-0005-0000-0000-00001A080000}"/>
    <cellStyle name="Normal 35" xfId="2071" xr:uid="{00000000-0005-0000-0000-00001B080000}"/>
    <cellStyle name="Normal 36" xfId="2383" xr:uid="{00000000-0005-0000-0000-00001C080000}"/>
    <cellStyle name="Normal 36 2" xfId="2072" xr:uid="{00000000-0005-0000-0000-00001D080000}"/>
    <cellStyle name="Normal 36 3" xfId="2073" xr:uid="{00000000-0005-0000-0000-00001E080000}"/>
    <cellStyle name="Normal 36 4" xfId="2074" xr:uid="{00000000-0005-0000-0000-00001F080000}"/>
    <cellStyle name="Normal 36 5" xfId="2075" xr:uid="{00000000-0005-0000-0000-000020080000}"/>
    <cellStyle name="Normal 37" xfId="2076" xr:uid="{00000000-0005-0000-0000-000021080000}"/>
    <cellStyle name="Normal 38" xfId="2077" xr:uid="{00000000-0005-0000-0000-000022080000}"/>
    <cellStyle name="Normal 39" xfId="2386" xr:uid="{00000000-0005-0000-0000-000023080000}"/>
    <cellStyle name="Normal 4" xfId="2078" xr:uid="{00000000-0005-0000-0000-000024080000}"/>
    <cellStyle name="Normal 40" xfId="2079" xr:uid="{00000000-0005-0000-0000-000025080000}"/>
    <cellStyle name="Normal 41" xfId="2387" xr:uid="{00000000-0005-0000-0000-000026080000}"/>
    <cellStyle name="Normal 41 2" xfId="2388" xr:uid="{00000000-0005-0000-0000-000027080000}"/>
    <cellStyle name="Normal 41 3" xfId="2401" xr:uid="{C80310C1-CABA-4FA7-85FB-B1D88221EE84}"/>
    <cellStyle name="Normal 42" xfId="2080" xr:uid="{00000000-0005-0000-0000-000028080000}"/>
    <cellStyle name="Normal 43" xfId="2081" xr:uid="{00000000-0005-0000-0000-000029080000}"/>
    <cellStyle name="Normal 44" xfId="2395" xr:uid="{884BB825-C8A3-42D6-B08C-15430C0701FC}"/>
    <cellStyle name="Normal 45" xfId="2082" xr:uid="{00000000-0005-0000-0000-00002A080000}"/>
    <cellStyle name="Normal 46" xfId="2083" xr:uid="{00000000-0005-0000-0000-00002B080000}"/>
    <cellStyle name="Normal 47" xfId="2396" xr:uid="{1E706C08-39A4-4ACE-BA17-442BB7CE3BCA}"/>
    <cellStyle name="Normal 48" xfId="2084" xr:uid="{00000000-0005-0000-0000-00002C080000}"/>
    <cellStyle name="Normal 49" xfId="2085" xr:uid="{00000000-0005-0000-0000-00002D080000}"/>
    <cellStyle name="Normal 5" xfId="2086" xr:uid="{00000000-0005-0000-0000-00002E080000}"/>
    <cellStyle name="Normal 50" xfId="2087" xr:uid="{00000000-0005-0000-0000-00002F080000}"/>
    <cellStyle name="Normal 51" xfId="2088" xr:uid="{00000000-0005-0000-0000-000030080000}"/>
    <cellStyle name="Normal 52" xfId="2089" xr:uid="{00000000-0005-0000-0000-000031080000}"/>
    <cellStyle name="Normal 53" xfId="2402" xr:uid="{44A80050-AA8D-43CF-9427-76744AFBF136}"/>
    <cellStyle name="Normal 6" xfId="2090" xr:uid="{00000000-0005-0000-0000-000032080000}"/>
    <cellStyle name="Normal 7" xfId="2091" xr:uid="{00000000-0005-0000-0000-000033080000}"/>
    <cellStyle name="Normal 8" xfId="2092" xr:uid="{00000000-0005-0000-0000-000034080000}"/>
    <cellStyle name="Normal 9" xfId="2093" xr:uid="{00000000-0005-0000-0000-000035080000}"/>
    <cellStyle name="Note 10" xfId="2094" xr:uid="{00000000-0005-0000-0000-000036080000}"/>
    <cellStyle name="Note 10 2" xfId="2095" xr:uid="{00000000-0005-0000-0000-000037080000}"/>
    <cellStyle name="Note 10 3" xfId="2096" xr:uid="{00000000-0005-0000-0000-000038080000}"/>
    <cellStyle name="Note 10 4" xfId="2097" xr:uid="{00000000-0005-0000-0000-000039080000}"/>
    <cellStyle name="Note 10 5" xfId="2098" xr:uid="{00000000-0005-0000-0000-00003A080000}"/>
    <cellStyle name="Note 11" xfId="2099" xr:uid="{00000000-0005-0000-0000-00003B080000}"/>
    <cellStyle name="Note 11 2" xfId="2100" xr:uid="{00000000-0005-0000-0000-00003C080000}"/>
    <cellStyle name="Note 11 3" xfId="2101" xr:uid="{00000000-0005-0000-0000-00003D080000}"/>
    <cellStyle name="Note 11 4" xfId="2102" xr:uid="{00000000-0005-0000-0000-00003E080000}"/>
    <cellStyle name="Note 11 5" xfId="2103" xr:uid="{00000000-0005-0000-0000-00003F080000}"/>
    <cellStyle name="Note 12" xfId="2104" xr:uid="{00000000-0005-0000-0000-000040080000}"/>
    <cellStyle name="Note 13" xfId="2105" xr:uid="{00000000-0005-0000-0000-000041080000}"/>
    <cellStyle name="Note 14" xfId="2106" xr:uid="{00000000-0005-0000-0000-000042080000}"/>
    <cellStyle name="Note 15" xfId="2107" xr:uid="{00000000-0005-0000-0000-000043080000}"/>
    <cellStyle name="Note 15 2" xfId="2108" xr:uid="{00000000-0005-0000-0000-000044080000}"/>
    <cellStyle name="Note 15 3" xfId="2109" xr:uid="{00000000-0005-0000-0000-000045080000}"/>
    <cellStyle name="Note 15 4" xfId="2110" xr:uid="{00000000-0005-0000-0000-000046080000}"/>
    <cellStyle name="Note 15 5" xfId="2111" xr:uid="{00000000-0005-0000-0000-000047080000}"/>
    <cellStyle name="Note 16" xfId="2112" xr:uid="{00000000-0005-0000-0000-000048080000}"/>
    <cellStyle name="Note 16 2" xfId="2113" xr:uid="{00000000-0005-0000-0000-000049080000}"/>
    <cellStyle name="Note 16 3" xfId="2114" xr:uid="{00000000-0005-0000-0000-00004A080000}"/>
    <cellStyle name="Note 16 4" xfId="2115" xr:uid="{00000000-0005-0000-0000-00004B080000}"/>
    <cellStyle name="Note 16 5" xfId="2116" xr:uid="{00000000-0005-0000-0000-00004C080000}"/>
    <cellStyle name="Note 17" xfId="2117" xr:uid="{00000000-0005-0000-0000-00004D080000}"/>
    <cellStyle name="Note 18" xfId="2118" xr:uid="{00000000-0005-0000-0000-00004E080000}"/>
    <cellStyle name="Note 18 2" xfId="2119" xr:uid="{00000000-0005-0000-0000-00004F080000}"/>
    <cellStyle name="Note 18 3" xfId="2120" xr:uid="{00000000-0005-0000-0000-000050080000}"/>
    <cellStyle name="Note 18 4" xfId="2121" xr:uid="{00000000-0005-0000-0000-000051080000}"/>
    <cellStyle name="Note 18 5" xfId="2122" xr:uid="{00000000-0005-0000-0000-000052080000}"/>
    <cellStyle name="Note 19" xfId="2123" xr:uid="{00000000-0005-0000-0000-000053080000}"/>
    <cellStyle name="Note 2" xfId="2124" xr:uid="{00000000-0005-0000-0000-000054080000}"/>
    <cellStyle name="Note 2 2" xfId="2125" xr:uid="{00000000-0005-0000-0000-000055080000}"/>
    <cellStyle name="Note 2 2 2" xfId="2126" xr:uid="{00000000-0005-0000-0000-000056080000}"/>
    <cellStyle name="Note 2 2 3" xfId="2127" xr:uid="{00000000-0005-0000-0000-000057080000}"/>
    <cellStyle name="Note 2 3" xfId="2128" xr:uid="{00000000-0005-0000-0000-000058080000}"/>
    <cellStyle name="Note 20" xfId="2129" xr:uid="{00000000-0005-0000-0000-000059080000}"/>
    <cellStyle name="Note 21" xfId="2130" xr:uid="{00000000-0005-0000-0000-00005A080000}"/>
    <cellStyle name="Note 22" xfId="2131" xr:uid="{00000000-0005-0000-0000-00005B080000}"/>
    <cellStyle name="Note 23" xfId="2132" xr:uid="{00000000-0005-0000-0000-00005C080000}"/>
    <cellStyle name="Note 24" xfId="2133" xr:uid="{00000000-0005-0000-0000-00005D080000}"/>
    <cellStyle name="Note 25" xfId="2134" xr:uid="{00000000-0005-0000-0000-00005E080000}"/>
    <cellStyle name="Note 26" xfId="2135" xr:uid="{00000000-0005-0000-0000-00005F080000}"/>
    <cellStyle name="Note 27" xfId="2136" xr:uid="{00000000-0005-0000-0000-000060080000}"/>
    <cellStyle name="Note 28" xfId="2137" xr:uid="{00000000-0005-0000-0000-000061080000}"/>
    <cellStyle name="Note 29" xfId="2138" xr:uid="{00000000-0005-0000-0000-000062080000}"/>
    <cellStyle name="Note 3" xfId="2139" xr:uid="{00000000-0005-0000-0000-000063080000}"/>
    <cellStyle name="Note 30" xfId="2140" xr:uid="{00000000-0005-0000-0000-000064080000}"/>
    <cellStyle name="Note 31" xfId="2141" xr:uid="{00000000-0005-0000-0000-000065080000}"/>
    <cellStyle name="Note 32" xfId="2142" xr:uid="{00000000-0005-0000-0000-000066080000}"/>
    <cellStyle name="Note 33" xfId="2143" xr:uid="{00000000-0005-0000-0000-000067080000}"/>
    <cellStyle name="Note 34" xfId="2144" xr:uid="{00000000-0005-0000-0000-000068080000}"/>
    <cellStyle name="Note 35" xfId="2145" xr:uid="{00000000-0005-0000-0000-000069080000}"/>
    <cellStyle name="Note 4" xfId="2146" xr:uid="{00000000-0005-0000-0000-00006A080000}"/>
    <cellStyle name="Note 5" xfId="2147" xr:uid="{00000000-0005-0000-0000-00006B080000}"/>
    <cellStyle name="Note 6" xfId="2148" xr:uid="{00000000-0005-0000-0000-00006C080000}"/>
    <cellStyle name="Note 7" xfId="2149" xr:uid="{00000000-0005-0000-0000-00006D080000}"/>
    <cellStyle name="Note 8" xfId="2150" xr:uid="{00000000-0005-0000-0000-00006E080000}"/>
    <cellStyle name="Note 9" xfId="2151" xr:uid="{00000000-0005-0000-0000-00006F080000}"/>
    <cellStyle name="Note 9 2" xfId="2152" xr:uid="{00000000-0005-0000-0000-000070080000}"/>
    <cellStyle name="Note 9 3" xfId="2153" xr:uid="{00000000-0005-0000-0000-000071080000}"/>
    <cellStyle name="Note 9 4" xfId="2154" xr:uid="{00000000-0005-0000-0000-000072080000}"/>
    <cellStyle name="Note 9 5" xfId="2155" xr:uid="{00000000-0005-0000-0000-000073080000}"/>
    <cellStyle name="Output 10" xfId="2156" xr:uid="{00000000-0005-0000-0000-000074080000}"/>
    <cellStyle name="Output 11" xfId="2157" xr:uid="{00000000-0005-0000-0000-000075080000}"/>
    <cellStyle name="Output 12" xfId="2158" xr:uid="{00000000-0005-0000-0000-000076080000}"/>
    <cellStyle name="Output 13" xfId="2159" xr:uid="{00000000-0005-0000-0000-000077080000}"/>
    <cellStyle name="Output 14" xfId="2160" xr:uid="{00000000-0005-0000-0000-000078080000}"/>
    <cellStyle name="Output 15" xfId="2161" xr:uid="{00000000-0005-0000-0000-000079080000}"/>
    <cellStyle name="Output 16" xfId="2162" xr:uid="{00000000-0005-0000-0000-00007A080000}"/>
    <cellStyle name="Output 17" xfId="2163" xr:uid="{00000000-0005-0000-0000-00007B080000}"/>
    <cellStyle name="Output 18" xfId="2164" xr:uid="{00000000-0005-0000-0000-00007C080000}"/>
    <cellStyle name="Output 19" xfId="2165" xr:uid="{00000000-0005-0000-0000-00007D080000}"/>
    <cellStyle name="Output 2" xfId="2166" xr:uid="{00000000-0005-0000-0000-00007E080000}"/>
    <cellStyle name="Output 2 10" xfId="2167" xr:uid="{00000000-0005-0000-0000-00007F080000}"/>
    <cellStyle name="Output 2 2" xfId="2168" xr:uid="{00000000-0005-0000-0000-000080080000}"/>
    <cellStyle name="Output 2 2 2" xfId="2169" xr:uid="{00000000-0005-0000-0000-000081080000}"/>
    <cellStyle name="Output 2 2 2 2" xfId="2170" xr:uid="{00000000-0005-0000-0000-000082080000}"/>
    <cellStyle name="Output 2 2 2 2 2" xfId="2171" xr:uid="{00000000-0005-0000-0000-000083080000}"/>
    <cellStyle name="Output 2 2 2 2 3" xfId="2172" xr:uid="{00000000-0005-0000-0000-000084080000}"/>
    <cellStyle name="Output 2 2 2 3" xfId="2173" xr:uid="{00000000-0005-0000-0000-000085080000}"/>
    <cellStyle name="Output 2 2 2 4" xfId="2174" xr:uid="{00000000-0005-0000-0000-000086080000}"/>
    <cellStyle name="Output 2 2 2 5" xfId="2175" xr:uid="{00000000-0005-0000-0000-000087080000}"/>
    <cellStyle name="Output 2 2 2 6" xfId="2176" xr:uid="{00000000-0005-0000-0000-000088080000}"/>
    <cellStyle name="Output 2 2 3" xfId="2177" xr:uid="{00000000-0005-0000-0000-000089080000}"/>
    <cellStyle name="Output 2 2 4" xfId="2178" xr:uid="{00000000-0005-0000-0000-00008A080000}"/>
    <cellStyle name="Output 2 2 5" xfId="2179" xr:uid="{00000000-0005-0000-0000-00008B080000}"/>
    <cellStyle name="Output 2 2 6" xfId="2180" xr:uid="{00000000-0005-0000-0000-00008C080000}"/>
    <cellStyle name="Output 2 3" xfId="2181" xr:uid="{00000000-0005-0000-0000-00008D080000}"/>
    <cellStyle name="Output 2 4" xfId="2182" xr:uid="{00000000-0005-0000-0000-00008E080000}"/>
    <cellStyle name="Output 2 5" xfId="2183" xr:uid="{00000000-0005-0000-0000-00008F080000}"/>
    <cellStyle name="Output 2 6" xfId="2184" xr:uid="{00000000-0005-0000-0000-000090080000}"/>
    <cellStyle name="Output 2 7" xfId="2185" xr:uid="{00000000-0005-0000-0000-000091080000}"/>
    <cellStyle name="Output 2 8" xfId="2186" xr:uid="{00000000-0005-0000-0000-000092080000}"/>
    <cellStyle name="Output 2 9" xfId="2187" xr:uid="{00000000-0005-0000-0000-000093080000}"/>
    <cellStyle name="Output 20" xfId="2188" xr:uid="{00000000-0005-0000-0000-000094080000}"/>
    <cellStyle name="Output 21" xfId="2189" xr:uid="{00000000-0005-0000-0000-000095080000}"/>
    <cellStyle name="Output 22" xfId="2190" xr:uid="{00000000-0005-0000-0000-000096080000}"/>
    <cellStyle name="Output 23" xfId="2191" xr:uid="{00000000-0005-0000-0000-000097080000}"/>
    <cellStyle name="Output 3" xfId="2192" xr:uid="{00000000-0005-0000-0000-000098080000}"/>
    <cellStyle name="Output 4" xfId="2193" xr:uid="{00000000-0005-0000-0000-000099080000}"/>
    <cellStyle name="Output 5" xfId="2194" xr:uid="{00000000-0005-0000-0000-00009A080000}"/>
    <cellStyle name="Output 6" xfId="2195" xr:uid="{00000000-0005-0000-0000-00009B080000}"/>
    <cellStyle name="Output 7" xfId="2196" xr:uid="{00000000-0005-0000-0000-00009C080000}"/>
    <cellStyle name="Output 8" xfId="2197" xr:uid="{00000000-0005-0000-0000-00009D080000}"/>
    <cellStyle name="Output 9" xfId="2198" xr:uid="{00000000-0005-0000-0000-00009E080000}"/>
    <cellStyle name="Output Amounts" xfId="2199" xr:uid="{00000000-0005-0000-0000-00009F080000}"/>
    <cellStyle name="Output Column Headings" xfId="2200" xr:uid="{00000000-0005-0000-0000-0000A0080000}"/>
    <cellStyle name="Output Column Headings 2" xfId="2201" xr:uid="{00000000-0005-0000-0000-0000A1080000}"/>
    <cellStyle name="Output Column Headings 3" xfId="2202" xr:uid="{00000000-0005-0000-0000-0000A2080000}"/>
    <cellStyle name="Output Column Headings 4" xfId="2203" xr:uid="{00000000-0005-0000-0000-0000A3080000}"/>
    <cellStyle name="Output Column Headings 5" xfId="2204" xr:uid="{00000000-0005-0000-0000-0000A4080000}"/>
    <cellStyle name="Output Column Headings 6" xfId="2205" xr:uid="{00000000-0005-0000-0000-0000A5080000}"/>
    <cellStyle name="Output Column Headings 7" xfId="2206" xr:uid="{00000000-0005-0000-0000-0000A6080000}"/>
    <cellStyle name="Output Line Items" xfId="2207" xr:uid="{00000000-0005-0000-0000-0000A7080000}"/>
    <cellStyle name="Output Line Items 2" xfId="2208" xr:uid="{00000000-0005-0000-0000-0000A8080000}"/>
    <cellStyle name="Output Line Items 3" xfId="2209" xr:uid="{00000000-0005-0000-0000-0000A9080000}"/>
    <cellStyle name="Output Line Items 4" xfId="2210" xr:uid="{00000000-0005-0000-0000-0000AA080000}"/>
    <cellStyle name="Output Line Items 5" xfId="2211" xr:uid="{00000000-0005-0000-0000-0000AB080000}"/>
    <cellStyle name="Output Line Items 6" xfId="2212" xr:uid="{00000000-0005-0000-0000-0000AC080000}"/>
    <cellStyle name="Output Line Items 7" xfId="2213" xr:uid="{00000000-0005-0000-0000-0000AD080000}"/>
    <cellStyle name="Output Report Heading" xfId="2214" xr:uid="{00000000-0005-0000-0000-0000AE080000}"/>
    <cellStyle name="Output Report Heading 2" xfId="2215" xr:uid="{00000000-0005-0000-0000-0000AF080000}"/>
    <cellStyle name="Output Report Heading 3" xfId="2216" xr:uid="{00000000-0005-0000-0000-0000B0080000}"/>
    <cellStyle name="Output Report Heading 4" xfId="2217" xr:uid="{00000000-0005-0000-0000-0000B1080000}"/>
    <cellStyle name="Output Report Heading 5" xfId="2218" xr:uid="{00000000-0005-0000-0000-0000B2080000}"/>
    <cellStyle name="Output Report Heading 6" xfId="2219" xr:uid="{00000000-0005-0000-0000-0000B3080000}"/>
    <cellStyle name="Output Report Heading 7" xfId="2220" xr:uid="{00000000-0005-0000-0000-0000B4080000}"/>
    <cellStyle name="Output Report Title" xfId="2221" xr:uid="{00000000-0005-0000-0000-0000B5080000}"/>
    <cellStyle name="Output Report Title 2" xfId="2222" xr:uid="{00000000-0005-0000-0000-0000B6080000}"/>
    <cellStyle name="Output Report Title 3" xfId="2223" xr:uid="{00000000-0005-0000-0000-0000B7080000}"/>
    <cellStyle name="Output Report Title 4" xfId="2224" xr:uid="{00000000-0005-0000-0000-0000B8080000}"/>
    <cellStyle name="Output Report Title 5" xfId="2225" xr:uid="{00000000-0005-0000-0000-0000B9080000}"/>
    <cellStyle name="Output Report Title 6" xfId="2226" xr:uid="{00000000-0005-0000-0000-0000BA080000}"/>
    <cellStyle name="Output Report Title 7" xfId="2227" xr:uid="{00000000-0005-0000-0000-0000BB080000}"/>
    <cellStyle name="Percent" xfId="3" builtinId="5"/>
    <cellStyle name="Percent 10 4" xfId="2406" xr:uid="{2DB819B2-ABAB-49B0-BF5A-D996E59813DD}"/>
    <cellStyle name="Percent 2" xfId="7" xr:uid="{00000000-0005-0000-0000-0000BD080000}"/>
    <cellStyle name="Percent 2 2" xfId="2228" xr:uid="{00000000-0005-0000-0000-0000BE080000}"/>
    <cellStyle name="Percent 2 3" xfId="2229" xr:uid="{00000000-0005-0000-0000-0000BF080000}"/>
    <cellStyle name="Percent 2 3 2" xfId="2392" xr:uid="{00000000-0005-0000-0000-0000C0080000}"/>
    <cellStyle name="Percent 2 4" xfId="2230" xr:uid="{00000000-0005-0000-0000-0000C1080000}"/>
    <cellStyle name="Percent 2 5" xfId="2231" xr:uid="{00000000-0005-0000-0000-0000C2080000}"/>
    <cellStyle name="Percent 2 6" xfId="2232" xr:uid="{00000000-0005-0000-0000-0000C3080000}"/>
    <cellStyle name="Percent 3" xfId="2385" xr:uid="{00000000-0005-0000-0000-0000C4080000}"/>
    <cellStyle name="ReportTitlePrompt" xfId="2233" xr:uid="{00000000-0005-0000-0000-0000C5080000}"/>
    <cellStyle name="ReportTitleValue" xfId="2234" xr:uid="{00000000-0005-0000-0000-0000C6080000}"/>
    <cellStyle name="RowAcctAbovePrompt" xfId="2235" xr:uid="{00000000-0005-0000-0000-0000C7080000}"/>
    <cellStyle name="RowAcctSOBAbovePrompt" xfId="2236" xr:uid="{00000000-0005-0000-0000-0000C8080000}"/>
    <cellStyle name="RowAcctSOBValue" xfId="2237" xr:uid="{00000000-0005-0000-0000-0000C9080000}"/>
    <cellStyle name="RowAcctValue" xfId="2238" xr:uid="{00000000-0005-0000-0000-0000CA080000}"/>
    <cellStyle name="RowAttrAbovePrompt" xfId="2239" xr:uid="{00000000-0005-0000-0000-0000CB080000}"/>
    <cellStyle name="RowAttrValue" xfId="2240" xr:uid="{00000000-0005-0000-0000-0000CC080000}"/>
    <cellStyle name="RowColSetAbovePrompt" xfId="2241" xr:uid="{00000000-0005-0000-0000-0000CD080000}"/>
    <cellStyle name="RowColSetLeftPrompt" xfId="2242" xr:uid="{00000000-0005-0000-0000-0000CE080000}"/>
    <cellStyle name="RowColSetValue" xfId="2243" xr:uid="{00000000-0005-0000-0000-0000CF080000}"/>
    <cellStyle name="RowLeftPrompt" xfId="2244" xr:uid="{00000000-0005-0000-0000-0000D0080000}"/>
    <cellStyle name="SampleUsingFormatMask" xfId="2245" xr:uid="{00000000-0005-0000-0000-0000D1080000}"/>
    <cellStyle name="SampleWithNoFormatMask" xfId="2246" xr:uid="{00000000-0005-0000-0000-0000D2080000}"/>
    <cellStyle name="STYL5 - Style5" xfId="2247" xr:uid="{00000000-0005-0000-0000-0000D3080000}"/>
    <cellStyle name="STYL6 - Style6" xfId="2248" xr:uid="{00000000-0005-0000-0000-0000D4080000}"/>
    <cellStyle name="STYLE1 - Style1" xfId="2249" xr:uid="{00000000-0005-0000-0000-0000D5080000}"/>
    <cellStyle name="STYLE2 - Style2" xfId="2250" xr:uid="{00000000-0005-0000-0000-0000D6080000}"/>
    <cellStyle name="STYLE3 - Style3" xfId="2251" xr:uid="{00000000-0005-0000-0000-0000D7080000}"/>
    <cellStyle name="STYLE4 - Style4" xfId="2252" xr:uid="{00000000-0005-0000-0000-0000D8080000}"/>
    <cellStyle name="Title 10" xfId="2253" xr:uid="{00000000-0005-0000-0000-0000D9080000}"/>
    <cellStyle name="Title 11" xfId="2254" xr:uid="{00000000-0005-0000-0000-0000DA080000}"/>
    <cellStyle name="Title 12" xfId="2255" xr:uid="{00000000-0005-0000-0000-0000DB080000}"/>
    <cellStyle name="Title 13" xfId="2256" xr:uid="{00000000-0005-0000-0000-0000DC080000}"/>
    <cellStyle name="Title 14" xfId="2257" xr:uid="{00000000-0005-0000-0000-0000DD080000}"/>
    <cellStyle name="Title 15" xfId="2258" xr:uid="{00000000-0005-0000-0000-0000DE080000}"/>
    <cellStyle name="Title 16" xfId="2259" xr:uid="{00000000-0005-0000-0000-0000DF080000}"/>
    <cellStyle name="Title 17" xfId="2260" xr:uid="{00000000-0005-0000-0000-0000E0080000}"/>
    <cellStyle name="Title 17 2" xfId="2261" xr:uid="{00000000-0005-0000-0000-0000E1080000}"/>
    <cellStyle name="Title 17 3" xfId="2262" xr:uid="{00000000-0005-0000-0000-0000E2080000}"/>
    <cellStyle name="Title 17 4" xfId="2263" xr:uid="{00000000-0005-0000-0000-0000E3080000}"/>
    <cellStyle name="Title 17 5" xfId="2264" xr:uid="{00000000-0005-0000-0000-0000E4080000}"/>
    <cellStyle name="Title 18" xfId="2265" xr:uid="{00000000-0005-0000-0000-0000E5080000}"/>
    <cellStyle name="Title 19" xfId="2266" xr:uid="{00000000-0005-0000-0000-0000E6080000}"/>
    <cellStyle name="Title 2" xfId="2267" xr:uid="{00000000-0005-0000-0000-0000E7080000}"/>
    <cellStyle name="Title 2 2" xfId="2268" xr:uid="{00000000-0005-0000-0000-0000E8080000}"/>
    <cellStyle name="Title 2 2 2" xfId="2269" xr:uid="{00000000-0005-0000-0000-0000E9080000}"/>
    <cellStyle name="Title 2 2 2 2" xfId="2270" xr:uid="{00000000-0005-0000-0000-0000EA080000}"/>
    <cellStyle name="Title 2 2 2 3" xfId="2271" xr:uid="{00000000-0005-0000-0000-0000EB080000}"/>
    <cellStyle name="Title 2 2 3" xfId="2272" xr:uid="{00000000-0005-0000-0000-0000EC080000}"/>
    <cellStyle name="Title 2 2 4" xfId="2273" xr:uid="{00000000-0005-0000-0000-0000ED080000}"/>
    <cellStyle name="Title 2 2 5" xfId="2274" xr:uid="{00000000-0005-0000-0000-0000EE080000}"/>
    <cellStyle name="Title 2 2 6" xfId="2275" xr:uid="{00000000-0005-0000-0000-0000EF080000}"/>
    <cellStyle name="Title 2 3" xfId="2276" xr:uid="{00000000-0005-0000-0000-0000F0080000}"/>
    <cellStyle name="Title 2 4" xfId="2277" xr:uid="{00000000-0005-0000-0000-0000F1080000}"/>
    <cellStyle name="Title 2 5" xfId="2278" xr:uid="{00000000-0005-0000-0000-0000F2080000}"/>
    <cellStyle name="Title 2 6" xfId="2279" xr:uid="{00000000-0005-0000-0000-0000F3080000}"/>
    <cellStyle name="Title 2 7" xfId="2280" xr:uid="{00000000-0005-0000-0000-0000F4080000}"/>
    <cellStyle name="Title 2 8" xfId="2281" xr:uid="{00000000-0005-0000-0000-0000F5080000}"/>
    <cellStyle name="Title 2 9" xfId="2282" xr:uid="{00000000-0005-0000-0000-0000F6080000}"/>
    <cellStyle name="Title 20" xfId="2283" xr:uid="{00000000-0005-0000-0000-0000F7080000}"/>
    <cellStyle name="Title 21" xfId="2284" xr:uid="{00000000-0005-0000-0000-0000F8080000}"/>
    <cellStyle name="Title 22" xfId="2285" xr:uid="{00000000-0005-0000-0000-0000F9080000}"/>
    <cellStyle name="Title 23" xfId="2286" xr:uid="{00000000-0005-0000-0000-0000FA080000}"/>
    <cellStyle name="Title 3" xfId="2287" xr:uid="{00000000-0005-0000-0000-0000FB080000}"/>
    <cellStyle name="Title 4" xfId="2288" xr:uid="{00000000-0005-0000-0000-0000FC080000}"/>
    <cellStyle name="Title 5" xfId="2289" xr:uid="{00000000-0005-0000-0000-0000FD080000}"/>
    <cellStyle name="Title 6" xfId="2290" xr:uid="{00000000-0005-0000-0000-0000FE080000}"/>
    <cellStyle name="Title 7" xfId="2291" xr:uid="{00000000-0005-0000-0000-0000FF080000}"/>
    <cellStyle name="Title 8" xfId="2292" xr:uid="{00000000-0005-0000-0000-000000090000}"/>
    <cellStyle name="Title 9" xfId="2293" xr:uid="{00000000-0005-0000-0000-000001090000}"/>
    <cellStyle name="Total 10" xfId="2294" xr:uid="{00000000-0005-0000-0000-000002090000}"/>
    <cellStyle name="Total 11" xfId="2295" xr:uid="{00000000-0005-0000-0000-000003090000}"/>
    <cellStyle name="Total 12" xfId="2296" xr:uid="{00000000-0005-0000-0000-000004090000}"/>
    <cellStyle name="Total 13" xfId="2297" xr:uid="{00000000-0005-0000-0000-000005090000}"/>
    <cellStyle name="Total 14" xfId="2298" xr:uid="{00000000-0005-0000-0000-000006090000}"/>
    <cellStyle name="Total 15" xfId="2299" xr:uid="{00000000-0005-0000-0000-000007090000}"/>
    <cellStyle name="Total 16" xfId="2300" xr:uid="{00000000-0005-0000-0000-000008090000}"/>
    <cellStyle name="Total 17" xfId="2301" xr:uid="{00000000-0005-0000-0000-000009090000}"/>
    <cellStyle name="Total 18" xfId="2302" xr:uid="{00000000-0005-0000-0000-00000A090000}"/>
    <cellStyle name="Total 19" xfId="2303" xr:uid="{00000000-0005-0000-0000-00000B090000}"/>
    <cellStyle name="Total 2" xfId="2304" xr:uid="{00000000-0005-0000-0000-00000C090000}"/>
    <cellStyle name="Total 2 10" xfId="2305" xr:uid="{00000000-0005-0000-0000-00000D090000}"/>
    <cellStyle name="Total 2 2" xfId="2306" xr:uid="{00000000-0005-0000-0000-00000E090000}"/>
    <cellStyle name="Total 2 2 2" xfId="2307" xr:uid="{00000000-0005-0000-0000-00000F090000}"/>
    <cellStyle name="Total 2 2 2 2" xfId="2308" xr:uid="{00000000-0005-0000-0000-000010090000}"/>
    <cellStyle name="Total 2 2 2 2 2" xfId="2309" xr:uid="{00000000-0005-0000-0000-000011090000}"/>
    <cellStyle name="Total 2 2 2 2 3" xfId="2310" xr:uid="{00000000-0005-0000-0000-000012090000}"/>
    <cellStyle name="Total 2 2 2 3" xfId="2311" xr:uid="{00000000-0005-0000-0000-000013090000}"/>
    <cellStyle name="Total 2 2 2 4" xfId="2312" xr:uid="{00000000-0005-0000-0000-000014090000}"/>
    <cellStyle name="Total 2 2 2 5" xfId="2313" xr:uid="{00000000-0005-0000-0000-000015090000}"/>
    <cellStyle name="Total 2 2 2 6" xfId="2314" xr:uid="{00000000-0005-0000-0000-000016090000}"/>
    <cellStyle name="Total 2 2 3" xfId="2315" xr:uid="{00000000-0005-0000-0000-000017090000}"/>
    <cellStyle name="Total 2 2 4" xfId="2316" xr:uid="{00000000-0005-0000-0000-000018090000}"/>
    <cellStyle name="Total 2 2 5" xfId="2317" xr:uid="{00000000-0005-0000-0000-000019090000}"/>
    <cellStyle name="Total 2 2 6" xfId="2318" xr:uid="{00000000-0005-0000-0000-00001A090000}"/>
    <cellStyle name="Total 2 3" xfId="2319" xr:uid="{00000000-0005-0000-0000-00001B090000}"/>
    <cellStyle name="Total 2 4" xfId="2320" xr:uid="{00000000-0005-0000-0000-00001C090000}"/>
    <cellStyle name="Total 2 5" xfId="2321" xr:uid="{00000000-0005-0000-0000-00001D090000}"/>
    <cellStyle name="Total 2 6" xfId="2322" xr:uid="{00000000-0005-0000-0000-00001E090000}"/>
    <cellStyle name="Total 2 7" xfId="2323" xr:uid="{00000000-0005-0000-0000-00001F090000}"/>
    <cellStyle name="Total 2 8" xfId="2324" xr:uid="{00000000-0005-0000-0000-000020090000}"/>
    <cellStyle name="Total 2 9" xfId="2325" xr:uid="{00000000-0005-0000-0000-000021090000}"/>
    <cellStyle name="Total 20" xfId="2326" xr:uid="{00000000-0005-0000-0000-000022090000}"/>
    <cellStyle name="Total 21" xfId="2327" xr:uid="{00000000-0005-0000-0000-000023090000}"/>
    <cellStyle name="Total 22" xfId="2328" xr:uid="{00000000-0005-0000-0000-000024090000}"/>
    <cellStyle name="Total 23" xfId="2329" xr:uid="{00000000-0005-0000-0000-000025090000}"/>
    <cellStyle name="Total 24" xfId="2330" xr:uid="{00000000-0005-0000-0000-000026090000}"/>
    <cellStyle name="Total 25" xfId="2331" xr:uid="{00000000-0005-0000-0000-000027090000}"/>
    <cellStyle name="Total 3" xfId="2332" xr:uid="{00000000-0005-0000-0000-000028090000}"/>
    <cellStyle name="Total 4" xfId="2333" xr:uid="{00000000-0005-0000-0000-000029090000}"/>
    <cellStyle name="Total 5" xfId="2334" xr:uid="{00000000-0005-0000-0000-00002A090000}"/>
    <cellStyle name="Total 6" xfId="2335" xr:uid="{00000000-0005-0000-0000-00002B090000}"/>
    <cellStyle name="Total 7" xfId="2336" xr:uid="{00000000-0005-0000-0000-00002C090000}"/>
    <cellStyle name="Total 8" xfId="2337" xr:uid="{00000000-0005-0000-0000-00002D090000}"/>
    <cellStyle name="Total 9" xfId="2338" xr:uid="{00000000-0005-0000-0000-00002E090000}"/>
    <cellStyle name="UploadThisRowValue" xfId="2339" xr:uid="{00000000-0005-0000-0000-00002F090000}"/>
    <cellStyle name="Warning Text 10" xfId="2340" xr:uid="{00000000-0005-0000-0000-000030090000}"/>
    <cellStyle name="Warning Text 11" xfId="2341" xr:uid="{00000000-0005-0000-0000-000031090000}"/>
    <cellStyle name="Warning Text 12" xfId="2342" xr:uid="{00000000-0005-0000-0000-000032090000}"/>
    <cellStyle name="Warning Text 13" xfId="2343" xr:uid="{00000000-0005-0000-0000-000033090000}"/>
    <cellStyle name="Warning Text 14" xfId="2344" xr:uid="{00000000-0005-0000-0000-000034090000}"/>
    <cellStyle name="Warning Text 15" xfId="2345" xr:uid="{00000000-0005-0000-0000-000035090000}"/>
    <cellStyle name="Warning Text 16" xfId="2346" xr:uid="{00000000-0005-0000-0000-000036090000}"/>
    <cellStyle name="Warning Text 17" xfId="2347" xr:uid="{00000000-0005-0000-0000-000037090000}"/>
    <cellStyle name="Warning Text 18" xfId="2348" xr:uid="{00000000-0005-0000-0000-000038090000}"/>
    <cellStyle name="Warning Text 19" xfId="2349" xr:uid="{00000000-0005-0000-0000-000039090000}"/>
    <cellStyle name="Warning Text 2" xfId="2350" xr:uid="{00000000-0005-0000-0000-00003A090000}"/>
    <cellStyle name="Warning Text 2 10" xfId="2351" xr:uid="{00000000-0005-0000-0000-00003B090000}"/>
    <cellStyle name="Warning Text 2 2" xfId="2352" xr:uid="{00000000-0005-0000-0000-00003C090000}"/>
    <cellStyle name="Warning Text 2 2 2" xfId="2353" xr:uid="{00000000-0005-0000-0000-00003D090000}"/>
    <cellStyle name="Warning Text 2 2 2 2" xfId="2354" xr:uid="{00000000-0005-0000-0000-00003E090000}"/>
    <cellStyle name="Warning Text 2 2 2 2 2" xfId="2355" xr:uid="{00000000-0005-0000-0000-00003F090000}"/>
    <cellStyle name="Warning Text 2 2 2 2 3" xfId="2356" xr:uid="{00000000-0005-0000-0000-000040090000}"/>
    <cellStyle name="Warning Text 2 2 2 3" xfId="2357" xr:uid="{00000000-0005-0000-0000-000041090000}"/>
    <cellStyle name="Warning Text 2 2 2 4" xfId="2358" xr:uid="{00000000-0005-0000-0000-000042090000}"/>
    <cellStyle name="Warning Text 2 2 2 5" xfId="2359" xr:uid="{00000000-0005-0000-0000-000043090000}"/>
    <cellStyle name="Warning Text 2 2 2 6" xfId="2360" xr:uid="{00000000-0005-0000-0000-000044090000}"/>
    <cellStyle name="Warning Text 2 2 3" xfId="2361" xr:uid="{00000000-0005-0000-0000-000045090000}"/>
    <cellStyle name="Warning Text 2 2 4" xfId="2362" xr:uid="{00000000-0005-0000-0000-000046090000}"/>
    <cellStyle name="Warning Text 2 2 5" xfId="2363" xr:uid="{00000000-0005-0000-0000-000047090000}"/>
    <cellStyle name="Warning Text 2 2 6" xfId="2364" xr:uid="{00000000-0005-0000-0000-000048090000}"/>
    <cellStyle name="Warning Text 2 3" xfId="2365" xr:uid="{00000000-0005-0000-0000-000049090000}"/>
    <cellStyle name="Warning Text 2 4" xfId="2366" xr:uid="{00000000-0005-0000-0000-00004A090000}"/>
    <cellStyle name="Warning Text 2 5" xfId="2367" xr:uid="{00000000-0005-0000-0000-00004B090000}"/>
    <cellStyle name="Warning Text 2 6" xfId="2368" xr:uid="{00000000-0005-0000-0000-00004C090000}"/>
    <cellStyle name="Warning Text 2 7" xfId="2369" xr:uid="{00000000-0005-0000-0000-00004D090000}"/>
    <cellStyle name="Warning Text 2 8" xfId="2370" xr:uid="{00000000-0005-0000-0000-00004E090000}"/>
    <cellStyle name="Warning Text 2 9" xfId="2371" xr:uid="{00000000-0005-0000-0000-00004F090000}"/>
    <cellStyle name="Warning Text 20" xfId="2372" xr:uid="{00000000-0005-0000-0000-000050090000}"/>
    <cellStyle name="Warning Text 21" xfId="2373" xr:uid="{00000000-0005-0000-0000-000051090000}"/>
    <cellStyle name="Warning Text 22" xfId="2374" xr:uid="{00000000-0005-0000-0000-000052090000}"/>
    <cellStyle name="Warning Text 23" xfId="2375" xr:uid="{00000000-0005-0000-0000-000053090000}"/>
    <cellStyle name="Warning Text 3" xfId="2376" xr:uid="{00000000-0005-0000-0000-000054090000}"/>
    <cellStyle name="Warning Text 4" xfId="2377" xr:uid="{00000000-0005-0000-0000-000055090000}"/>
    <cellStyle name="Warning Text 5" xfId="2378" xr:uid="{00000000-0005-0000-0000-000056090000}"/>
    <cellStyle name="Warning Text 6" xfId="2379" xr:uid="{00000000-0005-0000-0000-000057090000}"/>
    <cellStyle name="Warning Text 7" xfId="2380" xr:uid="{00000000-0005-0000-0000-000058090000}"/>
    <cellStyle name="Warning Text 8" xfId="2381" xr:uid="{00000000-0005-0000-0000-000059090000}"/>
    <cellStyle name="Warning Text 9" xfId="2382" xr:uid="{00000000-0005-0000-0000-00005A090000}"/>
  </cellStyles>
  <dxfs count="24">
    <dxf>
      <numFmt numFmtId="33" formatCode="_(* #,##0_);_(* \(#,##0\);_(* &quot;-&quot;_);_(@_)"/>
      <fill>
        <patternFill>
          <bgColor rgb="FF00B050"/>
        </patternFill>
      </fill>
    </dxf>
    <dxf>
      <numFmt numFmtId="35" formatCode="_(* #,##0.00_);_(* \(#,##0.00\);_(* &quot;-&quot;??_);_(@_)"/>
      <fill>
        <patternFill>
          <bgColor theme="5" tint="0.39994506668294322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  <color rgb="FFFFFF66"/>
      <color rgb="FFCCFFCC"/>
      <color rgb="FFFFE89F"/>
      <color rgb="FFFFFFCC"/>
      <color rgb="FFD8E4BC"/>
      <color rgb="FFE5EFE5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externalLink" Target="externalLinks/externalLink1.xml"/><Relationship Id="rId170" Type="http://schemas.openxmlformats.org/officeDocument/2006/relationships/externalLink" Target="externalLinks/externalLink12.xml"/><Relationship Id="rId191" Type="http://schemas.openxmlformats.org/officeDocument/2006/relationships/externalLink" Target="externalLinks/externalLink33.xml"/><Relationship Id="rId205" Type="http://schemas.openxmlformats.org/officeDocument/2006/relationships/externalLink" Target="externalLinks/externalLink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.xml"/><Relationship Id="rId181" Type="http://schemas.openxmlformats.org/officeDocument/2006/relationships/externalLink" Target="externalLinks/externalLink2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externalLink" Target="externalLinks/externalLink13.xml"/><Relationship Id="rId192" Type="http://schemas.openxmlformats.org/officeDocument/2006/relationships/externalLink" Target="externalLinks/externalLink34.xml"/><Relationship Id="rId206" Type="http://schemas.openxmlformats.org/officeDocument/2006/relationships/externalLink" Target="externalLinks/externalLink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externalLink" Target="externalLinks/externalLink3.xml"/><Relationship Id="rId182" Type="http://schemas.openxmlformats.org/officeDocument/2006/relationships/externalLink" Target="externalLinks/externalLink2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externalLink" Target="externalLinks/externalLink14.xml"/><Relationship Id="rId193" Type="http://schemas.openxmlformats.org/officeDocument/2006/relationships/externalLink" Target="externalLinks/externalLink35.xml"/><Relationship Id="rId207" Type="http://schemas.openxmlformats.org/officeDocument/2006/relationships/externalLink" Target="externalLinks/externalLink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4.xml"/><Relationship Id="rId183" Type="http://schemas.openxmlformats.org/officeDocument/2006/relationships/externalLink" Target="externalLinks/externalLink25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externalLink" Target="externalLinks/externalLink15.xml"/><Relationship Id="rId194" Type="http://schemas.openxmlformats.org/officeDocument/2006/relationships/externalLink" Target="externalLinks/externalLink36.xml"/><Relationship Id="rId208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5.xml"/><Relationship Id="rId184" Type="http://schemas.openxmlformats.org/officeDocument/2006/relationships/externalLink" Target="externalLinks/externalLink26.xml"/><Relationship Id="rId189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6.xml"/><Relationship Id="rId179" Type="http://schemas.openxmlformats.org/officeDocument/2006/relationships/externalLink" Target="externalLinks/externalLink21.xml"/><Relationship Id="rId195" Type="http://schemas.openxmlformats.org/officeDocument/2006/relationships/externalLink" Target="externalLinks/externalLink37.xml"/><Relationship Id="rId209" Type="http://schemas.openxmlformats.org/officeDocument/2006/relationships/externalLink" Target="externalLinks/externalLink51.xml"/><Relationship Id="rId190" Type="http://schemas.openxmlformats.org/officeDocument/2006/relationships/externalLink" Target="externalLinks/externalLink32.xml"/><Relationship Id="rId204" Type="http://schemas.openxmlformats.org/officeDocument/2006/relationships/externalLink" Target="externalLinks/externalLink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6.xml"/><Relationship Id="rId169" Type="http://schemas.openxmlformats.org/officeDocument/2006/relationships/externalLink" Target="externalLinks/externalLink11.xml"/><Relationship Id="rId185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22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externalLink" Target="externalLinks/externalLink17.xml"/><Relationship Id="rId196" Type="http://schemas.openxmlformats.org/officeDocument/2006/relationships/externalLink" Target="externalLinks/externalLink38.xml"/><Relationship Id="rId200" Type="http://schemas.openxmlformats.org/officeDocument/2006/relationships/externalLink" Target="externalLinks/externalLink4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7.xml"/><Relationship Id="rId186" Type="http://schemas.openxmlformats.org/officeDocument/2006/relationships/externalLink" Target="externalLinks/externalLink28.xml"/><Relationship Id="rId211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externalLink" Target="externalLinks/externalLink18.xml"/><Relationship Id="rId197" Type="http://schemas.openxmlformats.org/officeDocument/2006/relationships/externalLink" Target="externalLinks/externalLink39.xml"/><Relationship Id="rId201" Type="http://schemas.openxmlformats.org/officeDocument/2006/relationships/externalLink" Target="externalLinks/externalLink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externalLink" Target="externalLinks/externalLink8.xml"/><Relationship Id="rId187" Type="http://schemas.openxmlformats.org/officeDocument/2006/relationships/externalLink" Target="externalLinks/externalLink29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externalLink" Target="externalLinks/externalLink19.xml"/><Relationship Id="rId198" Type="http://schemas.openxmlformats.org/officeDocument/2006/relationships/externalLink" Target="externalLinks/externalLink40.xml"/><Relationship Id="rId202" Type="http://schemas.openxmlformats.org/officeDocument/2006/relationships/externalLink" Target="externalLinks/externalLink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externalLink" Target="externalLinks/externalLink9.xml"/><Relationship Id="rId188" Type="http://schemas.openxmlformats.org/officeDocument/2006/relationships/externalLink" Target="externalLinks/externalLink30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externalLink" Target="externalLinks/externalLink2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externalLink" Target="externalLinks/externalLink41.xml"/><Relationship Id="rId203" Type="http://schemas.openxmlformats.org/officeDocument/2006/relationships/externalLink" Target="externalLinks/externalLink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177799</xdr:colOff>
      <xdr:row>11</xdr:row>
      <xdr:rowOff>63500</xdr:rowOff>
    </xdr:from>
    <xdr:to>
      <xdr:col>21</xdr:col>
      <xdr:colOff>247649</xdr:colOff>
      <xdr:row>12</xdr:row>
      <xdr:rowOff>120650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0F4497-1364-4388-A92D-EFFBD84639CC}"/>
            </a:ext>
          </a:extLst>
        </xdr:cNvPr>
        <xdr:cNvSpPr txBox="1"/>
      </xdr:nvSpPr>
      <xdr:spPr>
        <a:xfrm>
          <a:off x="12722224" y="2159000"/>
          <a:ext cx="29749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UPDATED</a:t>
          </a:r>
          <a:r>
            <a:rPr lang="en-US" sz="1100" b="1" baseline="0">
              <a:solidFill>
                <a:srgbClr val="FF0000"/>
              </a:solidFill>
            </a:rPr>
            <a:t> WITH ACTUALS FROM THE OPEX TAB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200025</xdr:colOff>
      <xdr:row>8</xdr:row>
      <xdr:rowOff>66675</xdr:rowOff>
    </xdr:from>
    <xdr:to>
      <xdr:col>21</xdr:col>
      <xdr:colOff>269875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ABE045-0B82-4969-812E-E6DFE40C5A81}"/>
            </a:ext>
          </a:extLst>
        </xdr:cNvPr>
        <xdr:cNvSpPr txBox="1"/>
      </xdr:nvSpPr>
      <xdr:spPr>
        <a:xfrm>
          <a:off x="12744450" y="1590675"/>
          <a:ext cx="29749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UPDATED</a:t>
          </a:r>
          <a:r>
            <a:rPr lang="en-US" sz="1100" b="1" baseline="0">
              <a:solidFill>
                <a:srgbClr val="FF0000"/>
              </a:solidFill>
            </a:rPr>
            <a:t> WITH ACTUALS FROM THE OPEX TAB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200025</xdr:colOff>
      <xdr:row>1</xdr:row>
      <xdr:rowOff>95250</xdr:rowOff>
    </xdr:from>
    <xdr:to>
      <xdr:col>20</xdr:col>
      <xdr:colOff>361950</xdr:colOff>
      <xdr:row>7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8DF92DC-CFCB-4F87-9955-F2063DD2B7BF}"/>
            </a:ext>
          </a:extLst>
        </xdr:cNvPr>
        <xdr:cNvSpPr txBox="1"/>
      </xdr:nvSpPr>
      <xdr:spPr>
        <a:xfrm>
          <a:off x="12744450" y="285750"/>
          <a:ext cx="2486025" cy="1066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>
              <a:solidFill>
                <a:srgbClr val="FF0000"/>
              </a:solidFill>
            </a:rPr>
            <a:t>FORECASTED VALUES</a:t>
          </a:r>
          <a:r>
            <a:rPr lang="en-US" sz="1100" b="1" baseline="0">
              <a:solidFill>
                <a:srgbClr val="FF0000"/>
              </a:solidFill>
            </a:rPr>
            <a:t> FROM PY FILING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31</xdr:row>
      <xdr:rowOff>25400</xdr:rowOff>
    </xdr:from>
    <xdr:to>
      <xdr:col>4</xdr:col>
      <xdr:colOff>130175</xdr:colOff>
      <xdr:row>37</xdr:row>
      <xdr:rowOff>120650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1001CAF9-5478-4AA2-AE48-A9B007367770}"/>
            </a:ext>
          </a:extLst>
        </xdr:cNvPr>
        <xdr:cNvSpPr/>
      </xdr:nvSpPr>
      <xdr:spPr>
        <a:xfrm>
          <a:off x="2495550" y="5045075"/>
          <a:ext cx="187325" cy="106680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6%20Income%20Tax\Fixed%20Assets\Tax%20Return\AMENDED\1%20-%20Fixed%20Asset%20Summary-TY15%20(FY16)%20-%20Amend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6%20Income%20Tax\Fixed%20Assets\Tax%20Return\Sch%20M%20&amp;%20Basis%20Adjustments\FY16%20-%20TR15%20-%20AIC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6%20Income%20Tax\Fixed%20Assets\Tax%20Return\Sch%20M%20&amp;%20Basis%20Adjustments\FY16%20-%20TR15%20-%20Tax%20CWIP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Regulated%20Operations\Copy%20of%20REGULATED%20OPERATIONS%20FINANCIAL%20PACKAGES_Dec07-%20MV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yers\Desktop\Working%20Docs\Staff%20SAVE%20Revenue%20Requireme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Testimonies_StaffReports\Gas\Roanoke%20Gas\PUE-2012-00030%20SAVE%20Application\Staff%20Testimony\SCC\PUE-2011-00081-Roanoke%20Gas-Expedited%20Rate%20Case\Electronic%20Application\REVISED%20Filing%20Copy%20June%202011%20Rate%20Case%20PUE-2011-00081.xls?B594B78E" TargetMode="External"/><Relationship Id="rId1" Type="http://schemas.openxmlformats.org/officeDocument/2006/relationships/externalLinkPath" Target="file:///\\B594B78E\REVISED%20Filing%20Copy%20June%202011%20Rate%20Case%20PUE-2011-0008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story\AppData\Local\Microsoft\Windows\INetCache\Content.Outlook\Z92JZCP4\Atmos%20Financial%20Packages\FY2008\M9-Jun08\EssDB%20Jun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T\Actuals\LGE%20GLT%20OU%20Recovery%202013%2012%20FINAL%20RATE%20ADJ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R\2013\KU\KU%20ECR%20OU%20Recovery%202013.02%20es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urrent_Open%20CWIP%20Balances%20Repor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GA\ATP041\GASPURCH\01_WGL\MO_YR\Feb99\SHE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\DRSACCT\Service%20Company\Allocation%20Factors\2008%20Allocators\Monthly%20Updates\October%202008%20Allocat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N2021\CN-00xxxx%20-%20Gas%20Line%20Tracker%20Annual%20Filing\Support\2020%20True%20Up%20Support\LGE%20GLT%20OU%20Recovery%202020.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ssDB%20Mar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dSt-GA%20Rate%20Case\GA%20Rate%20Case%202009\13%20MFR%20and%20Workpapers%20public%202009WP%20as%20fil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Downloads\080%20-%20April%201080%20activity.txt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owerPlan\Testing\may%20qry_cap_ex_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dcotten\Local%20Settings\Temporary%20Internet%20Files\OLK3\Kentucky%20-%20CCS98%20as%20fil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story\AppData\Local\Microsoft\Windows\INetCache\Content.Outlook\Z92JZCP4\Atmos%20Financial%20Packages\FY2008\M10-Jul08\EssDB%20Jul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6%20Income%20Tax\Fixed%20Assets\Tax%20Return\Sch%20M%20&amp;%20Basis%20Adjustments\FY16%20-%20TR15%20-%20Cap%20Softwar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6%20Income%20Tax\Fixed%20Assets\Tax%20Return\Sch%20M%20&amp;%20Basis%20Adjustments\FY16%20-%20TR15%20-%20Cap%20COR%20and%20Proceed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T\Actuals\LGE%20GLT%20OU%20Recovery%202013%2009%20est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usan49\Application%20Data\Microsoft\Excel\Increase%20in%20Service%20Co%20Cost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apital%20Expenditure%20reports\Capital%20Expenditures%20-%20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R\2013\LGE\LGE%20ECR%20OU%20Recovery%202013.02%20est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ax%20-%20Income\Income%20Tax\FY14%20Income%20Tax\Provision\Q3\Qtrly%20Provision%20Cal%20-%203Q%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venue%20Requirements\Mid-States\VIRGINIA\2018%20AIF\Revenue%20Requirement%20Model\FY2018%20AIF%20-%20AS%20FILED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venue%20Requirements\Mid-States\VIRGINIA\2018%20AIF\Revenue%20Requirement%20Model\FY2018%20AIF%20-%20working%20copy-fully%20link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SACCT\Service%20Company\Allocation%20Factors\2003%20Allocators\Monthly%20Updates\December%202003%20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story\AppData\Local\Microsoft\Windows\INetCache\Content.Outlook\Z92JZCP4\Atmos%20Financial%20Packages\FY2008\M11-Aug08\EssDB%20Aug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t%20Accounting\Monthly%20Reports\Depr_Cap_Exp\Current_Depreciation_Exp_Ca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>
        <row r="22">
          <cell r="E22">
            <v>-308760275.12999994</v>
          </cell>
        </row>
      </sheetData>
      <sheetData sheetId="5"/>
      <sheetData sheetId="6">
        <row r="64">
          <cell r="D64">
            <v>10473764669.439999</v>
          </cell>
        </row>
      </sheetData>
      <sheetData sheetId="7">
        <row r="64">
          <cell r="D64">
            <v>9495600.8699999992</v>
          </cell>
        </row>
      </sheetData>
      <sheetData sheetId="8">
        <row r="64">
          <cell r="D64">
            <v>14745580.35</v>
          </cell>
        </row>
      </sheetData>
      <sheetData sheetId="9">
        <row r="64">
          <cell r="D64">
            <v>8392478.4000000004</v>
          </cell>
        </row>
      </sheetData>
      <sheetData sheetId="10">
        <row r="64">
          <cell r="D64">
            <v>23341313.16</v>
          </cell>
        </row>
      </sheetData>
      <sheetData sheetId="11">
        <row r="64">
          <cell r="D64">
            <v>0</v>
          </cell>
        </row>
      </sheetData>
      <sheetData sheetId="12"/>
      <sheetData sheetId="13"/>
      <sheetData sheetId="14"/>
      <sheetData sheetId="15">
        <row r="74">
          <cell r="AR74">
            <v>-69674.100000000006</v>
          </cell>
        </row>
      </sheetData>
      <sheetData sheetId="16">
        <row r="64">
          <cell r="D64">
            <v>0.22999999998137355</v>
          </cell>
        </row>
      </sheetData>
      <sheetData sheetId="17">
        <row r="64">
          <cell r="D64">
            <v>9.8800000001117585</v>
          </cell>
        </row>
      </sheetData>
      <sheetData sheetId="18">
        <row r="64">
          <cell r="D64">
            <v>52369</v>
          </cell>
        </row>
      </sheetData>
      <sheetData sheetId="19"/>
      <sheetData sheetId="20"/>
      <sheetData sheetId="21">
        <row r="64">
          <cell r="D64">
            <v>37241231.939999998</v>
          </cell>
        </row>
      </sheetData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/>
          <cell r="H9">
            <v>322379398.08000004</v>
          </cell>
          <cell r="I9">
            <v>322379398.83000004</v>
          </cell>
          <cell r="J9">
            <v>-0.75</v>
          </cell>
          <cell r="K9"/>
          <cell r="L9"/>
          <cell r="M9"/>
          <cell r="N9"/>
          <cell r="O9"/>
          <cell r="P9"/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/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/>
          <cell r="H10">
            <v>867653618.45000005</v>
          </cell>
          <cell r="I10">
            <v>867653618.51999986</v>
          </cell>
          <cell r="J10">
            <v>-6.9999814033508301E-2</v>
          </cell>
          <cell r="K10"/>
          <cell r="L10"/>
          <cell r="M10"/>
          <cell r="N10"/>
          <cell r="O10"/>
          <cell r="P10"/>
          <cell r="Q10"/>
          <cell r="R10">
            <v>81939071.340000004</v>
          </cell>
          <cell r="S10">
            <v>-8940087.8800000008</v>
          </cell>
          <cell r="T10">
            <v>-50984.999999999993</v>
          </cell>
          <cell r="U10"/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/>
          <cell r="H11">
            <v>708623423.56999993</v>
          </cell>
          <cell r="I11">
            <v>708623424.68999994</v>
          </cell>
          <cell r="J11">
            <v>-1.1200000047683716</v>
          </cell>
          <cell r="K11"/>
          <cell r="L11"/>
          <cell r="M11"/>
          <cell r="N11"/>
          <cell r="O11"/>
          <cell r="P11"/>
          <cell r="Q11"/>
          <cell r="R11">
            <v>72934406.359999985</v>
          </cell>
          <cell r="S11">
            <v>-13698077.699999999</v>
          </cell>
          <cell r="T11">
            <v>36081.999999999993</v>
          </cell>
          <cell r="U11"/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/>
          <cell r="H12">
            <v>1112550621.6500001</v>
          </cell>
          <cell r="I12">
            <v>1112550620.4000001</v>
          </cell>
          <cell r="J12">
            <v>1.25</v>
          </cell>
          <cell r="K12"/>
          <cell r="L12">
            <v>60722</v>
          </cell>
          <cell r="M12">
            <v>-60722</v>
          </cell>
          <cell r="N12"/>
          <cell r="O12"/>
          <cell r="P12"/>
          <cell r="Q12"/>
          <cell r="R12">
            <v>106199097.48000006</v>
          </cell>
          <cell r="S12">
            <v>-18380864.020000003</v>
          </cell>
          <cell r="T12">
            <v>23174.58</v>
          </cell>
          <cell r="U12"/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/>
          <cell r="H13">
            <v>590990494.44999993</v>
          </cell>
          <cell r="I13">
            <v>590990495.22000003</v>
          </cell>
          <cell r="J13">
            <v>-0.77000010013580322</v>
          </cell>
          <cell r="K13"/>
          <cell r="L13"/>
          <cell r="M13"/>
          <cell r="N13"/>
          <cell r="O13"/>
          <cell r="P13"/>
          <cell r="Q13"/>
          <cell r="R13">
            <v>30325789.840000007</v>
          </cell>
          <cell r="S13">
            <v>-6917221.4899999993</v>
          </cell>
          <cell r="T13">
            <v>15876.080000000002</v>
          </cell>
          <cell r="U13"/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/>
          <cell r="H14">
            <v>588956484.12000012</v>
          </cell>
          <cell r="I14">
            <v>588956484.72000003</v>
          </cell>
          <cell r="J14">
            <v>-0.59999990463256836</v>
          </cell>
          <cell r="K14"/>
          <cell r="L14"/>
          <cell r="M14"/>
          <cell r="N14"/>
          <cell r="O14"/>
          <cell r="P14"/>
          <cell r="Q14"/>
          <cell r="R14">
            <v>60152479.109999999</v>
          </cell>
          <cell r="S14">
            <v>-18194289.989999998</v>
          </cell>
          <cell r="T14">
            <v>27810</v>
          </cell>
          <cell r="U14"/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/>
          <cell r="H15">
            <v>3876019791.5300002</v>
          </cell>
          <cell r="I15">
            <v>3876019792.1199999</v>
          </cell>
          <cell r="J15">
            <v>-0.58999967575073242</v>
          </cell>
          <cell r="K15"/>
          <cell r="L15"/>
          <cell r="M15"/>
          <cell r="N15"/>
          <cell r="O15"/>
          <cell r="P15"/>
          <cell r="Q15"/>
          <cell r="R15">
            <v>354270394.86000007</v>
          </cell>
          <cell r="S15">
            <v>-41035334.299999997</v>
          </cell>
          <cell r="T15">
            <v>564110.08000000007</v>
          </cell>
          <cell r="U15"/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/>
          <cell r="H16">
            <v>2402205627.1800003</v>
          </cell>
          <cell r="I16">
            <v>2406590863.04</v>
          </cell>
          <cell r="J16">
            <v>-4385235.8599996567</v>
          </cell>
          <cell r="K16"/>
          <cell r="L16"/>
          <cell r="M16"/>
          <cell r="N16"/>
          <cell r="O16"/>
          <cell r="P16"/>
          <cell r="Q16"/>
          <cell r="R16">
            <v>466915104.19</v>
          </cell>
          <cell r="S16">
            <v>-19674365.93</v>
          </cell>
          <cell r="T16">
            <v>-616068.15999999992</v>
          </cell>
          <cell r="U16"/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/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/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/>
          <cell r="Q17"/>
          <cell r="R17">
            <v>1207242994.5500002</v>
          </cell>
          <cell r="S17">
            <v>-184595359.56999999</v>
          </cell>
          <cell r="T17">
            <v>-0.42000000074040145</v>
          </cell>
          <cell r="U17"/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/>
          <cell r="H18">
            <v>37241230.939999998</v>
          </cell>
          <cell r="I18">
            <v>37241231.07</v>
          </cell>
          <cell r="J18">
            <v>-0.13000000268220901</v>
          </cell>
          <cell r="K18"/>
          <cell r="L18">
            <v>0</v>
          </cell>
          <cell r="M18"/>
          <cell r="N18">
            <v>0</v>
          </cell>
          <cell r="O18"/>
          <cell r="P18"/>
          <cell r="Q18"/>
          <cell r="R18">
            <v>-33795.579999999994</v>
          </cell>
          <cell r="S18">
            <v>-147199.5</v>
          </cell>
          <cell r="T18">
            <v>0</v>
          </cell>
          <cell r="U18"/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/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>
            <v>0</v>
          </cell>
          <cell r="N19">
            <v>0</v>
          </cell>
          <cell r="O19"/>
          <cell r="P19"/>
          <cell r="Q19"/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/>
          <cell r="H20">
            <v>0</v>
          </cell>
          <cell r="I20">
            <v>0</v>
          </cell>
          <cell r="J20">
            <v>0</v>
          </cell>
          <cell r="K20"/>
          <cell r="L20">
            <v>0</v>
          </cell>
          <cell r="M20">
            <v>0</v>
          </cell>
          <cell r="N20">
            <v>0</v>
          </cell>
          <cell r="O20"/>
          <cell r="P20"/>
          <cell r="Q20"/>
          <cell r="R20">
            <v>0</v>
          </cell>
          <cell r="S20">
            <v>-284890.77</v>
          </cell>
          <cell r="T20">
            <v>0</v>
          </cell>
          <cell r="U20"/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/>
          <cell r="H21">
            <v>9495600.0699999984</v>
          </cell>
          <cell r="I21">
            <v>9495600.8199999984</v>
          </cell>
          <cell r="J21">
            <v>-0.75</v>
          </cell>
          <cell r="K21"/>
          <cell r="L21">
            <v>-693109.9</v>
          </cell>
          <cell r="M21">
            <v>693109.9</v>
          </cell>
          <cell r="N21">
            <v>0</v>
          </cell>
          <cell r="O21"/>
          <cell r="P21"/>
          <cell r="Q21"/>
          <cell r="R21">
            <v>738146</v>
          </cell>
          <cell r="S21">
            <v>0</v>
          </cell>
          <cell r="T21">
            <v>0</v>
          </cell>
          <cell r="U21"/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/>
          <cell r="H22">
            <v>14745579.35</v>
          </cell>
          <cell r="I22">
            <v>14745579.439999999</v>
          </cell>
          <cell r="J22">
            <v>-8.9999999850988388E-2</v>
          </cell>
          <cell r="K22"/>
          <cell r="L22">
            <v>0</v>
          </cell>
          <cell r="M22">
            <v>0</v>
          </cell>
          <cell r="N22">
            <v>0</v>
          </cell>
          <cell r="O22"/>
          <cell r="P22"/>
          <cell r="Q22"/>
          <cell r="R22">
            <v>207718.1</v>
          </cell>
          <cell r="S22">
            <v>0</v>
          </cell>
          <cell r="T22">
            <v>0</v>
          </cell>
          <cell r="U22"/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/>
          <cell r="H23">
            <v>8392478.4000000004</v>
          </cell>
          <cell r="I23">
            <v>8392478.7599999998</v>
          </cell>
          <cell r="J23">
            <v>-0.35999999940395355</v>
          </cell>
          <cell r="K23"/>
          <cell r="L23">
            <v>0</v>
          </cell>
          <cell r="M23">
            <v>0</v>
          </cell>
          <cell r="N23">
            <v>0</v>
          </cell>
          <cell r="O23"/>
          <cell r="P23"/>
          <cell r="Q23"/>
          <cell r="R23">
            <v>116870.76</v>
          </cell>
          <cell r="S23">
            <v>0</v>
          </cell>
          <cell r="T23">
            <v>0</v>
          </cell>
          <cell r="U23"/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/>
          <cell r="H24">
            <v>-0.28000000003725289</v>
          </cell>
          <cell r="I24">
            <v>0</v>
          </cell>
          <cell r="J24">
            <v>-0.28000000003725289</v>
          </cell>
          <cell r="K24"/>
          <cell r="L24">
            <v>-0.01</v>
          </cell>
          <cell r="M24">
            <v>0.01</v>
          </cell>
          <cell r="N24">
            <v>0</v>
          </cell>
          <cell r="O24"/>
          <cell r="P24"/>
          <cell r="Q24"/>
          <cell r="R24">
            <v>0.01</v>
          </cell>
          <cell r="S24">
            <v>0</v>
          </cell>
          <cell r="T24">
            <v>0</v>
          </cell>
          <cell r="U24"/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/>
          <cell r="H25">
            <v>52369</v>
          </cell>
          <cell r="I25">
            <v>52368.66</v>
          </cell>
          <cell r="J25">
            <v>0.33999999999650754</v>
          </cell>
          <cell r="K25"/>
          <cell r="L25">
            <v>0</v>
          </cell>
          <cell r="M25">
            <v>0</v>
          </cell>
          <cell r="N25">
            <v>0</v>
          </cell>
          <cell r="O25"/>
          <cell r="P25"/>
          <cell r="Q25"/>
          <cell r="R25">
            <v>0</v>
          </cell>
          <cell r="S25">
            <v>0</v>
          </cell>
          <cell r="T25">
            <v>0</v>
          </cell>
          <cell r="U25"/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/>
          <cell r="H26">
            <v>23341312.77</v>
          </cell>
          <cell r="I26">
            <v>23341313.069999997</v>
          </cell>
          <cell r="J26">
            <v>-0.29999999701976776</v>
          </cell>
          <cell r="K26"/>
          <cell r="L26">
            <v>0</v>
          </cell>
          <cell r="M26">
            <v>0</v>
          </cell>
          <cell r="N26">
            <v>0</v>
          </cell>
          <cell r="O26"/>
          <cell r="P26"/>
          <cell r="Q26"/>
          <cell r="R26">
            <v>827878.82000000007</v>
          </cell>
          <cell r="S26">
            <v>-2738.54</v>
          </cell>
          <cell r="T26">
            <v>0</v>
          </cell>
          <cell r="U26"/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/>
          <cell r="H27">
            <v>-0.42000000004190952</v>
          </cell>
          <cell r="I27">
            <v>0</v>
          </cell>
          <cell r="J27">
            <v>-0.42000000004190952</v>
          </cell>
          <cell r="K27"/>
          <cell r="L27">
            <v>0</v>
          </cell>
          <cell r="M27">
            <v>0</v>
          </cell>
          <cell r="N27">
            <v>0</v>
          </cell>
          <cell r="O27"/>
          <cell r="P27"/>
          <cell r="Q27"/>
          <cell r="R27">
            <v>0</v>
          </cell>
          <cell r="S27">
            <v>0</v>
          </cell>
          <cell r="T27">
            <v>0</v>
          </cell>
          <cell r="U27"/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/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/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/>
          <cell r="Q28"/>
          <cell r="R28">
            <v>1856818.11</v>
          </cell>
          <cell r="S28">
            <v>-434828.81</v>
          </cell>
          <cell r="T28">
            <v>0</v>
          </cell>
          <cell r="U28"/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/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/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/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/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/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V30"/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/>
          <cell r="F31"/>
          <cell r="H31">
            <v>4385236.87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Y31">
            <v>-8773764990.7099991</v>
          </cell>
        </row>
        <row r="32">
          <cell r="A32"/>
          <cell r="B32" t="str">
            <v xml:space="preserve">TOTAL FIXED ASSET BOOK COST  </v>
          </cell>
          <cell r="C32">
            <v>9542963641.8700027</v>
          </cell>
          <cell r="D32"/>
          <cell r="E32"/>
          <cell r="F32"/>
          <cell r="G32"/>
          <cell r="H32">
            <v>10567033265.730001</v>
          </cell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V32"/>
          <cell r="X32"/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/>
          <cell r="H33">
            <v>10469379460.669998</v>
          </cell>
          <cell r="Q33"/>
          <cell r="R33"/>
          <cell r="S33"/>
          <cell r="T33"/>
          <cell r="U33"/>
          <cell r="V33"/>
          <cell r="W33"/>
          <cell r="X33"/>
          <cell r="Y33"/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/>
          <cell r="L41">
            <v>-1037.260000000686</v>
          </cell>
          <cell r="M41"/>
          <cell r="N41"/>
          <cell r="O41"/>
          <cell r="P41">
            <v>1037.260000000686</v>
          </cell>
          <cell r="Q41"/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/>
          <cell r="L42">
            <v>-8375.9400000000023</v>
          </cell>
          <cell r="M42"/>
          <cell r="N42"/>
          <cell r="O42"/>
          <cell r="P42">
            <v>8375.9400000000023</v>
          </cell>
          <cell r="Q42"/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/>
          <cell r="L43">
            <v>160123.31</v>
          </cell>
          <cell r="M43"/>
          <cell r="N43"/>
          <cell r="O43"/>
          <cell r="P43">
            <v>-160123.31</v>
          </cell>
          <cell r="Q43"/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/>
          <cell r="L44">
            <v>4356.9099999995397</v>
          </cell>
          <cell r="M44"/>
          <cell r="N44"/>
          <cell r="O44"/>
          <cell r="P44">
            <v>-4356.9099999995397</v>
          </cell>
          <cell r="Q44"/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/>
          <cell r="L45">
            <v>3174.3499999997803</v>
          </cell>
          <cell r="M45"/>
          <cell r="N45"/>
          <cell r="O45"/>
          <cell r="P45">
            <v>-3174.3499999997803</v>
          </cell>
          <cell r="Q45"/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/>
          <cell r="L46">
            <v>135403.28</v>
          </cell>
          <cell r="M46"/>
          <cell r="N46"/>
          <cell r="O46"/>
          <cell r="P46">
            <v>-135403.28</v>
          </cell>
          <cell r="Q46"/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/>
          <cell r="L47">
            <v>-33028.460000000021</v>
          </cell>
          <cell r="M47"/>
          <cell r="N47"/>
          <cell r="O47"/>
          <cell r="P47">
            <v>33028.460000000021</v>
          </cell>
          <cell r="Q47"/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/>
          <cell r="L48">
            <v>22639.680000000135</v>
          </cell>
          <cell r="M48"/>
          <cell r="N48"/>
          <cell r="O48"/>
          <cell r="P48">
            <v>-22639.680000000135</v>
          </cell>
          <cell r="Q48"/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/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/>
          <cell r="L50">
            <v>0</v>
          </cell>
          <cell r="M50"/>
          <cell r="N50"/>
          <cell r="O50"/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/>
          <cell r="L51">
            <v>0</v>
          </cell>
          <cell r="M51"/>
          <cell r="N51"/>
          <cell r="O51"/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/>
          <cell r="L52">
            <v>35120.910000000003</v>
          </cell>
          <cell r="M52"/>
          <cell r="N52">
            <v>-284890.77</v>
          </cell>
          <cell r="O52">
            <v>249769.86</v>
          </cell>
          <cell r="P52"/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/>
          <cell r="L53">
            <v>0</v>
          </cell>
          <cell r="M53"/>
          <cell r="N53"/>
          <cell r="O53"/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/>
          <cell r="L54">
            <v>0</v>
          </cell>
          <cell r="M54"/>
          <cell r="N54"/>
          <cell r="O54"/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/>
          <cell r="L55">
            <v>0</v>
          </cell>
          <cell r="M55"/>
          <cell r="N55"/>
          <cell r="O55"/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/>
          <cell r="L56">
            <v>0</v>
          </cell>
          <cell r="M56"/>
          <cell r="N56"/>
          <cell r="O56"/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/>
          <cell r="L57">
            <v>0</v>
          </cell>
          <cell r="M57"/>
          <cell r="N57"/>
          <cell r="O57"/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/>
          <cell r="L58">
            <v>8900.2000000000007</v>
          </cell>
          <cell r="M58"/>
          <cell r="N58"/>
          <cell r="O58"/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/>
          <cell r="L59">
            <v>0</v>
          </cell>
          <cell r="M59"/>
          <cell r="N59"/>
          <cell r="O59"/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/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/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/>
          <cell r="J62"/>
          <cell r="K62"/>
          <cell r="O62">
            <v>249769.86</v>
          </cell>
          <cell r="Q62">
            <v>1097403.0100000002</v>
          </cell>
          <cell r="U62">
            <v>0</v>
          </cell>
          <cell r="W62"/>
          <cell r="X62"/>
          <cell r="Y62"/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/>
          <cell r="L77"/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/>
          <cell r="R77">
            <v>0</v>
          </cell>
          <cell r="S77"/>
          <cell r="T77">
            <v>15478658.629999995</v>
          </cell>
          <cell r="U77">
            <v>11307946.060000014</v>
          </cell>
          <cell r="V77"/>
          <cell r="W77"/>
          <cell r="X77"/>
          <cell r="Z77"/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/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/>
          <cell r="R78">
            <v>0</v>
          </cell>
          <cell r="S78"/>
          <cell r="T78">
            <v>3280093.6499999976</v>
          </cell>
          <cell r="U78">
            <v>80829368.650000021</v>
          </cell>
          <cell r="V78"/>
          <cell r="W78"/>
          <cell r="X78"/>
          <cell r="Z78"/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/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/>
          <cell r="R79">
            <v>5286179.2200000007</v>
          </cell>
          <cell r="S79"/>
          <cell r="T79">
            <v>7576279.4500000086</v>
          </cell>
          <cell r="U79">
            <v>70326661.519999981</v>
          </cell>
          <cell r="V79"/>
          <cell r="W79"/>
          <cell r="X79"/>
          <cell r="Z79"/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/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/>
          <cell r="R80">
            <v>0</v>
          </cell>
          <cell r="S80"/>
          <cell r="T80">
            <v>1543089.4200000614</v>
          </cell>
          <cell r="U80">
            <v>103436974.83</v>
          </cell>
          <cell r="V80"/>
          <cell r="W80"/>
          <cell r="X80"/>
          <cell r="Z80"/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/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/>
          <cell r="R81">
            <v>0</v>
          </cell>
          <cell r="S81"/>
          <cell r="T81">
            <v>-2552109.1300000045</v>
          </cell>
          <cell r="U81">
            <v>40931773.390000015</v>
          </cell>
          <cell r="V81"/>
          <cell r="W81"/>
          <cell r="X81"/>
          <cell r="Z81"/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/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/>
          <cell r="R82">
            <v>0</v>
          </cell>
          <cell r="S82"/>
          <cell r="T82">
            <v>3144877.2299999818</v>
          </cell>
          <cell r="U82">
            <v>61082326.230000019</v>
          </cell>
          <cell r="V82"/>
          <cell r="W82"/>
          <cell r="X82"/>
          <cell r="Z82"/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/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/>
          <cell r="R83">
            <v>32001744.939999949</v>
          </cell>
          <cell r="S83"/>
          <cell r="T83">
            <v>9992420.8799996674</v>
          </cell>
          <cell r="U83">
            <v>357113157.17000043</v>
          </cell>
          <cell r="V83"/>
          <cell r="W83"/>
          <cell r="X83"/>
          <cell r="Z83"/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/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/>
          <cell r="R84">
            <v>0</v>
          </cell>
          <cell r="S84"/>
          <cell r="T84">
            <v>16755410.999999985</v>
          </cell>
          <cell r="U84">
            <v>331050937.41999972</v>
          </cell>
          <cell r="V84"/>
          <cell r="W84"/>
          <cell r="X84"/>
          <cell r="Z84"/>
        </row>
        <row r="85">
          <cell r="A85" t="str">
            <v>Total AUT</v>
          </cell>
          <cell r="B85"/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/>
          <cell r="W85"/>
          <cell r="X85"/>
          <cell r="Z85"/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/>
          <cell r="L86"/>
          <cell r="M86"/>
          <cell r="N86"/>
          <cell r="O86">
            <v>-92967.64</v>
          </cell>
          <cell r="P86">
            <v>125202.98000000001</v>
          </cell>
          <cell r="Q86"/>
          <cell r="R86"/>
          <cell r="S86"/>
          <cell r="T86">
            <v>32235.340000000011</v>
          </cell>
          <cell r="U86">
            <v>291090.84000000003</v>
          </cell>
          <cell r="V86"/>
          <cell r="W86"/>
          <cell r="X86"/>
          <cell r="Z86"/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/>
          <cell r="L87"/>
          <cell r="M87"/>
          <cell r="N87"/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>
            <v>0</v>
          </cell>
          <cell r="V87"/>
          <cell r="W87"/>
          <cell r="X87"/>
          <cell r="Z87"/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/>
          <cell r="L88"/>
          <cell r="M88"/>
          <cell r="N88"/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>
            <v>0</v>
          </cell>
          <cell r="V88"/>
          <cell r="W88"/>
          <cell r="X88"/>
          <cell r="Z88"/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/>
          <cell r="L89"/>
          <cell r="M89"/>
          <cell r="N89"/>
          <cell r="O89">
            <v>0</v>
          </cell>
          <cell r="P89">
            <v>0</v>
          </cell>
          <cell r="Q89"/>
          <cell r="R89"/>
          <cell r="S89"/>
          <cell r="T89">
            <v>0</v>
          </cell>
          <cell r="U89">
            <v>752949.97</v>
          </cell>
          <cell r="V89"/>
          <cell r="W89"/>
          <cell r="X89"/>
          <cell r="Z89"/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/>
          <cell r="L90"/>
          <cell r="M90"/>
          <cell r="N90"/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>
            <v>221381.41</v>
          </cell>
          <cell r="V90"/>
          <cell r="W90"/>
          <cell r="X90"/>
          <cell r="Z90"/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/>
          <cell r="L91"/>
          <cell r="M91"/>
          <cell r="N91"/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>
            <v>116870.76</v>
          </cell>
          <cell r="V91"/>
          <cell r="W91"/>
          <cell r="X91"/>
          <cell r="Z91"/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/>
          <cell r="L92"/>
          <cell r="M92"/>
          <cell r="N92"/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>
            <v>0.01</v>
          </cell>
          <cell r="V92"/>
          <cell r="W92"/>
          <cell r="X92"/>
          <cell r="Z92"/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/>
          <cell r="L93"/>
          <cell r="M93"/>
          <cell r="N93"/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>
            <v>0</v>
          </cell>
          <cell r="V93"/>
          <cell r="W93"/>
          <cell r="X93"/>
          <cell r="Z93"/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/>
          <cell r="L94"/>
          <cell r="M94"/>
          <cell r="N94"/>
          <cell r="O94">
            <v>-291794.59000000003</v>
          </cell>
          <cell r="P94">
            <v>0</v>
          </cell>
          <cell r="Q94"/>
          <cell r="R94"/>
          <cell r="S94"/>
          <cell r="T94">
            <v>-291794.59000000003</v>
          </cell>
          <cell r="U94">
            <v>343613.33</v>
          </cell>
          <cell r="V94"/>
          <cell r="W94"/>
          <cell r="X94"/>
          <cell r="Z94"/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/>
          <cell r="L95"/>
          <cell r="M95"/>
          <cell r="N95"/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>
            <v>0</v>
          </cell>
          <cell r="V95"/>
          <cell r="W95"/>
          <cell r="X95"/>
          <cell r="Z95"/>
        </row>
        <row r="96">
          <cell r="A96" t="str">
            <v>Total Non-Reg</v>
          </cell>
          <cell r="B96"/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/>
          <cell r="T96">
            <v>-259559.25</v>
          </cell>
          <cell r="U96">
            <v>1725906.32</v>
          </cell>
          <cell r="V96"/>
          <cell r="W96"/>
          <cell r="X96"/>
          <cell r="Z96"/>
        </row>
        <row r="97">
          <cell r="A97" t="str">
            <v>Grand Total</v>
          </cell>
          <cell r="B97"/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/>
          <cell r="W97"/>
          <cell r="X97"/>
          <cell r="Z97"/>
        </row>
        <row r="98">
          <cell r="B98"/>
          <cell r="C98">
            <v>0.21999847888946533</v>
          </cell>
          <cell r="D98"/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/>
          <cell r="J98"/>
          <cell r="K98"/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/>
          <cell r="T98"/>
          <cell r="U98"/>
          <cell r="V98"/>
          <cell r="W98"/>
          <cell r="X98"/>
          <cell r="Y98"/>
          <cell r="Z98"/>
        </row>
        <row r="99">
          <cell r="B99" t="str">
            <v>per Financials</v>
          </cell>
          <cell r="C99">
            <v>280397625.01999956</v>
          </cell>
          <cell r="D99"/>
          <cell r="E99"/>
          <cell r="F99"/>
          <cell r="H99"/>
          <cell r="I99"/>
          <cell r="J99"/>
          <cell r="K99" t="str">
            <v>Per AUT Depr Expense</v>
          </cell>
          <cell r="L99">
            <v>-5571157.5299999993</v>
          </cell>
          <cell r="V99"/>
          <cell r="W99"/>
          <cell r="Z99"/>
        </row>
        <row r="100">
          <cell r="B100" t="str">
            <v>Difference</v>
          </cell>
          <cell r="C100">
            <v>0.22000044584274292</v>
          </cell>
          <cell r="D100"/>
          <cell r="E100"/>
          <cell r="F100"/>
          <cell r="H100"/>
          <cell r="I100"/>
          <cell r="J100"/>
          <cell r="K100"/>
          <cell r="L100">
            <v>0</v>
          </cell>
          <cell r="W100"/>
          <cell r="Z100"/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/>
          <cell r="L108">
            <v>1037.260000000686</v>
          </cell>
          <cell r="M108">
            <v>-1037.260000000686</v>
          </cell>
          <cell r="N108"/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/>
          <cell r="L109">
            <v>5837956.5300000003</v>
          </cell>
          <cell r="M109">
            <v>-5837956.5300000003</v>
          </cell>
          <cell r="N109"/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/>
          <cell r="L110">
            <v>3169308.2</v>
          </cell>
          <cell r="M110">
            <v>-3169308.2</v>
          </cell>
          <cell r="N110"/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/>
          <cell r="L111">
            <v>8825891.5</v>
          </cell>
          <cell r="M111">
            <v>-8825891.5</v>
          </cell>
          <cell r="N111"/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/>
          <cell r="L112">
            <v>2665533.0000000005</v>
          </cell>
          <cell r="M112">
            <v>-2665533.0000000005</v>
          </cell>
          <cell r="N112"/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/>
          <cell r="L113">
            <v>4508957.7</v>
          </cell>
          <cell r="M113">
            <v>-4508957.7</v>
          </cell>
          <cell r="N113"/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/>
          <cell r="L114">
            <v>20317394.759999994</v>
          </cell>
          <cell r="M114">
            <v>-20317394.759999994</v>
          </cell>
          <cell r="N114"/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/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/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/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/>
          <cell r="L117">
            <v>2674.7</v>
          </cell>
          <cell r="M117">
            <v>-2674.7</v>
          </cell>
          <cell r="N117"/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/>
          <cell r="L118">
            <v>0</v>
          </cell>
          <cell r="M118">
            <v>0</v>
          </cell>
          <cell r="N118"/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/>
          <cell r="L119">
            <v>0</v>
          </cell>
          <cell r="M119">
            <v>0</v>
          </cell>
          <cell r="N119"/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/>
          <cell r="L120">
            <v>0</v>
          </cell>
          <cell r="M120">
            <v>0</v>
          </cell>
          <cell r="N120"/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/>
          <cell r="L121">
            <v>0</v>
          </cell>
          <cell r="M121">
            <v>0</v>
          </cell>
          <cell r="N121"/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/>
          <cell r="L122">
            <v>0</v>
          </cell>
          <cell r="M122">
            <v>0</v>
          </cell>
          <cell r="N122"/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/>
          <cell r="L123">
            <v>0</v>
          </cell>
          <cell r="M123">
            <v>0</v>
          </cell>
          <cell r="N123"/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/>
          <cell r="L124">
            <v>0</v>
          </cell>
          <cell r="M124">
            <v>0</v>
          </cell>
          <cell r="N124"/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/>
          <cell r="L125">
            <v>-8900.2000000000007</v>
          </cell>
          <cell r="M125">
            <v>8900.2000000000007</v>
          </cell>
          <cell r="N125"/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/>
          <cell r="L126">
            <v>0</v>
          </cell>
          <cell r="M126">
            <v>0</v>
          </cell>
          <cell r="N126"/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/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/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/>
          <cell r="J129"/>
          <cell r="K129"/>
        </row>
        <row r="130">
          <cell r="B130" t="str">
            <v>per Financials</v>
          </cell>
          <cell r="C130">
            <v>17399396.52</v>
          </cell>
          <cell r="G130"/>
          <cell r="H130"/>
          <cell r="I130"/>
          <cell r="J130"/>
          <cell r="K130"/>
        </row>
        <row r="131">
          <cell r="B131" t="str">
            <v>Difference</v>
          </cell>
          <cell r="C131">
            <v>96.71000000089407</v>
          </cell>
          <cell r="D131"/>
          <cell r="G131"/>
          <cell r="H131"/>
          <cell r="I131"/>
          <cell r="J131"/>
          <cell r="K131"/>
          <cell r="X131"/>
        </row>
        <row r="132">
          <cell r="H132"/>
          <cell r="I132"/>
          <cell r="J132"/>
          <cell r="K132"/>
          <cell r="X132"/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/>
          <cell r="N14"/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/>
          <cell r="N15"/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/>
          <cell r="N16"/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/>
          <cell r="N17"/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/>
          <cell r="N18"/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/>
          <cell r="N19"/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/>
          <cell r="N20"/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/>
          <cell r="N21"/>
          <cell r="O21">
            <v>69096043.949999765</v>
          </cell>
        </row>
        <row r="22">
          <cell r="B22"/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/>
          <cell r="K22">
            <v>278316966.54999983</v>
          </cell>
          <cell r="L22">
            <v>-95945128.150000215</v>
          </cell>
          <cell r="M22"/>
          <cell r="N22"/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/>
          <cell r="N23"/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/>
          <cell r="L24">
            <v>0</v>
          </cell>
          <cell r="M24"/>
          <cell r="N24"/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/>
          <cell r="N25"/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/>
          <cell r="N26"/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/>
          <cell r="L27">
            <v>0</v>
          </cell>
          <cell r="M27"/>
          <cell r="N27"/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/>
          <cell r="L28">
            <v>0</v>
          </cell>
          <cell r="M28"/>
          <cell r="N28"/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/>
          <cell r="L29">
            <v>0</v>
          </cell>
          <cell r="M29"/>
          <cell r="N29"/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/>
          <cell r="N30"/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/>
          <cell r="K31">
            <v>2080658.6900000018</v>
          </cell>
          <cell r="L31">
            <v>-390471.04</v>
          </cell>
          <cell r="M31"/>
          <cell r="N31"/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/>
          <cell r="K32">
            <v>280397625.23999983</v>
          </cell>
          <cell r="L32">
            <v>-96335599.190000206</v>
          </cell>
          <cell r="M32"/>
          <cell r="N32"/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/>
          <cell r="M33"/>
          <cell r="N33"/>
          <cell r="O33">
            <v>184062025.83999798</v>
          </cell>
        </row>
        <row r="34">
          <cell r="B34"/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/>
          <cell r="K34">
            <v>0.22000026702880859</v>
          </cell>
          <cell r="L34"/>
          <cell r="M34"/>
          <cell r="N34"/>
          <cell r="O34">
            <v>0.21000164747238159</v>
          </cell>
        </row>
        <row r="35">
          <cell r="B35"/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/>
          <cell r="K35"/>
          <cell r="L35"/>
          <cell r="M35"/>
          <cell r="N35"/>
          <cell r="O35"/>
        </row>
        <row r="36">
          <cell r="B36" t="str">
            <v>per Financials</v>
          </cell>
          <cell r="C36">
            <v>9538578408.6299992</v>
          </cell>
          <cell r="D36"/>
          <cell r="E36"/>
          <cell r="F36"/>
          <cell r="G36">
            <v>10562648032.489998</v>
          </cell>
          <cell r="J36"/>
          <cell r="K36"/>
          <cell r="L36"/>
          <cell r="M36"/>
          <cell r="N36"/>
          <cell r="O36"/>
        </row>
        <row r="37">
          <cell r="B37"/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/>
          <cell r="K37"/>
          <cell r="L37"/>
          <cell r="M37"/>
          <cell r="N37"/>
          <cell r="O37"/>
        </row>
        <row r="38">
          <cell r="B38"/>
          <cell r="C38"/>
          <cell r="D38"/>
          <cell r="E38"/>
          <cell r="F38"/>
          <cell r="G38"/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/>
          <cell r="O16"/>
          <cell r="P16">
            <v>0</v>
          </cell>
          <cell r="Q16">
            <v>0</v>
          </cell>
          <cell r="R16"/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/>
          <cell r="O17"/>
          <cell r="P17">
            <v>0</v>
          </cell>
          <cell r="Q17">
            <v>-2785682.9100000011</v>
          </cell>
          <cell r="R17"/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/>
          <cell r="O18"/>
          <cell r="P18">
            <v>0</v>
          </cell>
          <cell r="Q18">
            <v>-1996421.5300000003</v>
          </cell>
          <cell r="R18"/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/>
          <cell r="O19"/>
          <cell r="P19">
            <v>0</v>
          </cell>
          <cell r="Q19">
            <v>-3070098.6999999983</v>
          </cell>
          <cell r="R19"/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/>
          <cell r="O20"/>
          <cell r="P20">
            <v>0</v>
          </cell>
          <cell r="Q20">
            <v>-541254.78000000026</v>
          </cell>
          <cell r="R20"/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/>
          <cell r="O21"/>
          <cell r="P21">
            <v>0</v>
          </cell>
          <cell r="Q21">
            <v>-2130016.089999998</v>
          </cell>
          <cell r="R21"/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/>
          <cell r="O22"/>
          <cell r="P22">
            <v>0</v>
          </cell>
          <cell r="Q22">
            <v>-1735007.7499996051</v>
          </cell>
          <cell r="R22"/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/>
          <cell r="O23"/>
          <cell r="P23">
            <v>0</v>
          </cell>
          <cell r="Q23">
            <v>-2689474.96</v>
          </cell>
          <cell r="R23"/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/>
          <cell r="L24">
            <v>-17399444.230000019</v>
          </cell>
          <cell r="M24">
            <v>2451487.5100004124</v>
          </cell>
          <cell r="N24"/>
          <cell r="O24"/>
          <cell r="P24">
            <v>0</v>
          </cell>
          <cell r="Q24">
            <v>-14947956.719999604</v>
          </cell>
          <cell r="R24"/>
        </row>
        <row r="25">
          <cell r="B25"/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/>
          <cell r="O25"/>
          <cell r="P25">
            <v>0</v>
          </cell>
          <cell r="Q25">
            <v>-318.25999999999988</v>
          </cell>
          <cell r="R25"/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/>
          <cell r="O26"/>
          <cell r="P26">
            <v>0</v>
          </cell>
          <cell r="Q26">
            <v>0</v>
          </cell>
          <cell r="R26"/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/>
          <cell r="L27">
            <v>-49.3</v>
          </cell>
          <cell r="M27">
            <v>-268.95999999999987</v>
          </cell>
          <cell r="N27"/>
          <cell r="O27"/>
          <cell r="P27">
            <v>0</v>
          </cell>
          <cell r="Q27">
            <v>-318.25999999999988</v>
          </cell>
          <cell r="R27"/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/>
          <cell r="L28">
            <v>-17399493.53000002</v>
          </cell>
          <cell r="M28">
            <v>2451218.5500004124</v>
          </cell>
          <cell r="N28"/>
          <cell r="O28"/>
          <cell r="P28">
            <v>0</v>
          </cell>
          <cell r="Q28">
            <v>-14948274.979999604</v>
          </cell>
          <cell r="R28"/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/>
          <cell r="N29"/>
          <cell r="O29"/>
          <cell r="P29"/>
          <cell r="Q29">
            <v>-14948274.969999999</v>
          </cell>
          <cell r="R29"/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/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/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/>
          <cell r="L31"/>
          <cell r="M31"/>
          <cell r="N31"/>
          <cell r="O31"/>
          <cell r="P31"/>
          <cell r="Q31"/>
          <cell r="R31"/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/>
          <cell r="L32"/>
          <cell r="M32"/>
          <cell r="N32"/>
          <cell r="O32"/>
          <cell r="P32"/>
          <cell r="Q32"/>
          <cell r="R32"/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/>
          <cell r="L33"/>
          <cell r="M33"/>
          <cell r="N33"/>
          <cell r="O33"/>
          <cell r="P33"/>
          <cell r="Q33"/>
          <cell r="R33"/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/>
          <cell r="L34"/>
          <cell r="M34"/>
          <cell r="N34"/>
          <cell r="O34"/>
          <cell r="P34"/>
          <cell r="Q34"/>
          <cell r="R34"/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/>
          <cell r="L35"/>
          <cell r="M35"/>
          <cell r="N35"/>
          <cell r="O35"/>
          <cell r="P35"/>
          <cell r="Q35"/>
          <cell r="R35"/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/>
          <cell r="L36"/>
          <cell r="M36"/>
          <cell r="N36"/>
          <cell r="O36"/>
          <cell r="P36"/>
          <cell r="Q36"/>
          <cell r="R36"/>
        </row>
        <row r="37">
          <cell r="B37"/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/>
          <cell r="L37"/>
          <cell r="M37"/>
          <cell r="N37"/>
          <cell r="O37"/>
          <cell r="P37"/>
          <cell r="Q37"/>
          <cell r="R37"/>
        </row>
        <row r="38">
          <cell r="B38"/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/>
          <cell r="L38"/>
          <cell r="M38"/>
          <cell r="N38"/>
          <cell r="O38"/>
          <cell r="P38"/>
          <cell r="Q38"/>
          <cell r="R38"/>
        </row>
        <row r="39">
          <cell r="B39" t="str">
            <v>per Financials</v>
          </cell>
          <cell r="C39">
            <v>2898535331.2300005</v>
          </cell>
          <cell r="D39"/>
          <cell r="E39"/>
          <cell r="F39">
            <v>1210643.79</v>
          </cell>
          <cell r="G39"/>
          <cell r="H39">
            <v>2971442138.04</v>
          </cell>
          <cell r="K39"/>
          <cell r="L39"/>
          <cell r="M39"/>
          <cell r="N39"/>
          <cell r="O39"/>
          <cell r="P39"/>
          <cell r="Q39"/>
          <cell r="R39"/>
        </row>
        <row r="40">
          <cell r="B40"/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/>
          <cell r="L40"/>
          <cell r="M40"/>
          <cell r="N40"/>
          <cell r="O40"/>
          <cell r="P40"/>
          <cell r="Q40"/>
          <cell r="R40"/>
        </row>
        <row r="41">
          <cell r="B41"/>
          <cell r="C41"/>
          <cell r="D41"/>
          <cell r="E41"/>
          <cell r="F41"/>
          <cell r="G41"/>
          <cell r="H41"/>
          <cell r="K41"/>
          <cell r="L41"/>
          <cell r="M41"/>
          <cell r="N41"/>
          <cell r="O41"/>
          <cell r="P41"/>
          <cell r="Q41"/>
          <cell r="R41"/>
        </row>
        <row r="42">
          <cell r="B42"/>
          <cell r="C42"/>
          <cell r="D42"/>
          <cell r="E42"/>
          <cell r="F42"/>
          <cell r="G42"/>
          <cell r="H42"/>
          <cell r="K42"/>
          <cell r="L42"/>
          <cell r="M42"/>
          <cell r="N42"/>
          <cell r="O42"/>
          <cell r="P42"/>
          <cell r="Q42"/>
          <cell r="R42"/>
        </row>
        <row r="43">
          <cell r="B43"/>
          <cell r="C43"/>
          <cell r="D43"/>
          <cell r="E43"/>
          <cell r="F43"/>
          <cell r="G43"/>
          <cell r="H43"/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/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/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/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/>
          <cell r="P11" t="str">
            <v>September</v>
          </cell>
        </row>
        <row r="12"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</row>
        <row r="13"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/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/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/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/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/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/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/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/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/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/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/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/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/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/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/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/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/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/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/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/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/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/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/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/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/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/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/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/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/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/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/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/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/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/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/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/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/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/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/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/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/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/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/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/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/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/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/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/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/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/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/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/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/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/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/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/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/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/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/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/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/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/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/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/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/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/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/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/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/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/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/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/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/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/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/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/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/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/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/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/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/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/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/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/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/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/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/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/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/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/>
          <cell r="P103">
            <v>10651751298.859997</v>
          </cell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/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/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/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/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/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/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/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/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/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/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/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/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/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/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/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/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/>
          <cell r="P122">
            <v>7739127000.0599976</v>
          </cell>
        </row>
        <row r="123"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/>
          <cell r="P124">
            <v>1026858274.95</v>
          </cell>
        </row>
        <row r="125"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/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/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/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/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/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/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/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/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/>
          <cell r="P134">
            <v>512607059.02000046</v>
          </cell>
        </row>
        <row r="135"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</row>
        <row r="136"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/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/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/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/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/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/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/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/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/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/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/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/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/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/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/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/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/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/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/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/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/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/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/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/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/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/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/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/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/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/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/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/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/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/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/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/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/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/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/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/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/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/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/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/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/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/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/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/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/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/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/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/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/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/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/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/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/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/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/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/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/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/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/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/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/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/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/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/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/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/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/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/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/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/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/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/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/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/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/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/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/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/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/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/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/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/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/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/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/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/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/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/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/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/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/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/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/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/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/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/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/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/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/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/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/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/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/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/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/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/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/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/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/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/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/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/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/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/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/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/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/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/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/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/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/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/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/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/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/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/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/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/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/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/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/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/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/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/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/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/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/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/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/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/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/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/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/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/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/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/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/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/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/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/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/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/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/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/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/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/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/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/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/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/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/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/>
          <cell r="P302">
            <v>239038673.9600001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/>
          <cell r="P304">
            <v>10226326954.129999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/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/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/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/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/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/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/>
          <cell r="P315">
            <v>4142022683.4699993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/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/>
          <cell r="P318">
            <v>6580801318.9300003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/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/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/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/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/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/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/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/>
          <cell r="P328">
            <v>1549490186.1499999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/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/>
          <cell r="P331">
            <v>500409371.14999998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/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/>
          <cell r="D8"/>
          <cell r="E8"/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</row>
        <row r="44"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</row>
        <row r="48">
          <cell r="C48"/>
          <cell r="D48"/>
          <cell r="E48"/>
          <cell r="F48"/>
        </row>
        <row r="49"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</row>
        <row r="50">
          <cell r="C50"/>
          <cell r="D50">
            <v>-1684006.51</v>
          </cell>
          <cell r="E50">
            <v>-1333207.1899999899</v>
          </cell>
          <cell r="F50"/>
          <cell r="G50"/>
          <cell r="H50"/>
          <cell r="I50">
            <v>-5974302.8400000101</v>
          </cell>
          <cell r="J50"/>
          <cell r="K50"/>
          <cell r="L50"/>
          <cell r="M50"/>
          <cell r="N50"/>
          <cell r="O50"/>
          <cell r="P50"/>
          <cell r="Q50"/>
          <cell r="R50"/>
          <cell r="S50">
            <v>-8991516.5399999991</v>
          </cell>
        </row>
        <row r="51">
          <cell r="C51"/>
          <cell r="D51"/>
          <cell r="E51"/>
          <cell r="F51"/>
          <cell r="G51"/>
          <cell r="H51"/>
          <cell r="I51">
            <v>201474.41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>
            <v>201474.41</v>
          </cell>
        </row>
        <row r="52"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</row>
        <row r="60"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</row>
        <row r="61"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</row>
        <row r="62"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</row>
        <row r="63"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</row>
        <row r="66"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</row>
        <row r="67"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</row>
        <row r="68"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</row>
        <row r="8"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</row>
        <row r="9"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/>
          <cell r="B9"/>
          <cell r="C9"/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/>
        </row>
        <row r="10">
          <cell r="A10"/>
          <cell r="B10"/>
          <cell r="C10"/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/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/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/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/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/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/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/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/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/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/>
          <cell r="B27" t="str">
            <v>.Total Property Related Depreciation Including I/C Billing</v>
          </cell>
          <cell r="C27"/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/>
          <cell r="B30" t="str">
            <v>.Total Depreciation</v>
          </cell>
          <cell r="C30"/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D32"/>
        </row>
        <row r="33">
          <cell r="D33"/>
        </row>
        <row r="34">
          <cell r="D34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/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/>
          <cell r="F15">
            <v>291794.59000000003</v>
          </cell>
          <cell r="G15">
            <v>291794.59000000003</v>
          </cell>
          <cell r="L15" t="str">
            <v>212 Total</v>
          </cell>
          <cell r="M15"/>
          <cell r="N15"/>
          <cell r="O15"/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/>
          <cell r="D16"/>
          <cell r="E16"/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/>
          <cell r="F17">
            <v>0</v>
          </cell>
          <cell r="G17">
            <v>0</v>
          </cell>
          <cell r="L17" t="str">
            <v>232 Total</v>
          </cell>
          <cell r="M17"/>
          <cell r="N17"/>
          <cell r="O17"/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/>
          <cell r="N19"/>
          <cell r="O19"/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/>
          <cell r="N21"/>
          <cell r="O21"/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/>
          <cell r="N23"/>
          <cell r="O23"/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/>
          <cell r="M24"/>
          <cell r="N24"/>
          <cell r="O24"/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/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/>
          <cell r="D26"/>
          <cell r="E26">
            <v>22761297.589999996</v>
          </cell>
          <cell r="F26">
            <v>59050890.300000057</v>
          </cell>
          <cell r="G26">
            <v>81812187.89000006</v>
          </cell>
          <cell r="L26"/>
          <cell r="M26"/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/>
          <cell r="D27" t="str">
            <v>from Gov/Non Govt Analysis</v>
          </cell>
          <cell r="E27" t="e">
            <v>#REF!</v>
          </cell>
          <cell r="F27"/>
          <cell r="G27" t="e">
            <v>#REF!</v>
          </cell>
          <cell r="L27" t="str">
            <v>010 Total</v>
          </cell>
          <cell r="M27"/>
          <cell r="N27"/>
          <cell r="O27"/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/>
          <cell r="M29"/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/>
          <cell r="N30"/>
          <cell r="O30"/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/>
          <cell r="M32"/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/>
          <cell r="M33"/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/>
          <cell r="M34"/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/>
          <cell r="M35"/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/>
          <cell r="M36"/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/>
          <cell r="M37"/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/>
          <cell r="M38"/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/>
          <cell r="M39"/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/>
          <cell r="M40"/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/>
          <cell r="N41"/>
          <cell r="O41"/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/>
          <cell r="M43"/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/>
          <cell r="M44"/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/>
          <cell r="M45"/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/>
          <cell r="M46"/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/>
          <cell r="N47"/>
          <cell r="O47"/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/>
          <cell r="M49"/>
          <cell r="N49"/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/>
          <cell r="M50"/>
          <cell r="N50"/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/>
          <cell r="M51"/>
          <cell r="N51"/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/>
          <cell r="M52"/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/>
          <cell r="M53"/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/>
          <cell r="N54"/>
          <cell r="O54"/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/>
          <cell r="M56"/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/>
          <cell r="N57"/>
          <cell r="O57"/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/>
          <cell r="N59"/>
          <cell r="O59"/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/>
          <cell r="N61"/>
          <cell r="O61"/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/>
          <cell r="N62"/>
          <cell r="O62"/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/>
          <cell r="M63"/>
          <cell r="N63"/>
          <cell r="O63"/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/>
          <cell r="M64"/>
          <cell r="N64"/>
          <cell r="O64"/>
          <cell r="P64"/>
          <cell r="Q64"/>
          <cell r="R64"/>
          <cell r="S64"/>
          <cell r="T64"/>
        </row>
        <row r="65">
          <cell r="L65"/>
          <cell r="M65"/>
          <cell r="N65"/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/>
          <cell r="T65"/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/>
          <cell r="B15"/>
          <cell r="C15" t="str">
            <v>AU020LGS Total</v>
          </cell>
          <cell r="D15"/>
          <cell r="E15"/>
          <cell r="F15">
            <v>-1093513.6099999992</v>
          </cell>
        </row>
        <row r="16">
          <cell r="A16"/>
          <cell r="B16"/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/>
          <cell r="B17"/>
          <cell r="C17" t="str">
            <v>AU020TLA Total</v>
          </cell>
          <cell r="D17"/>
          <cell r="E17"/>
          <cell r="F17">
            <v>-461381.0799999999</v>
          </cell>
        </row>
        <row r="18">
          <cell r="A18" t="str">
            <v>020 Total</v>
          </cell>
          <cell r="B18"/>
          <cell r="C18"/>
          <cell r="D18"/>
          <cell r="E18"/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/>
          <cell r="B20"/>
          <cell r="C20" t="str">
            <v>AU030WTX Total</v>
          </cell>
          <cell r="D20"/>
          <cell r="E20"/>
          <cell r="F20">
            <v>-213281.10999999996</v>
          </cell>
        </row>
        <row r="21">
          <cell r="A21"/>
          <cell r="B21"/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/>
          <cell r="B22"/>
          <cell r="C22" t="str">
            <v>AU030GOF Total</v>
          </cell>
          <cell r="D22"/>
          <cell r="E22"/>
          <cell r="F22">
            <v>-8519.64</v>
          </cell>
        </row>
        <row r="23">
          <cell r="A23"/>
          <cell r="B23"/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/>
          <cell r="B24"/>
          <cell r="C24" t="str">
            <v>AU030LUB Total</v>
          </cell>
          <cell r="D24"/>
          <cell r="E24"/>
          <cell r="F24">
            <v>-97383.400000000009</v>
          </cell>
        </row>
        <row r="25">
          <cell r="A25"/>
          <cell r="B25"/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/>
          <cell r="B26"/>
          <cell r="C26" t="str">
            <v>AU030AMR Total</v>
          </cell>
          <cell r="D26"/>
          <cell r="E26"/>
          <cell r="F26">
            <v>-20594.339999999997</v>
          </cell>
        </row>
        <row r="27">
          <cell r="A27"/>
          <cell r="B27"/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/>
          <cell r="B28"/>
          <cell r="C28" t="str">
            <v>AU030TRI Total</v>
          </cell>
          <cell r="D28"/>
          <cell r="E28"/>
          <cell r="F28">
            <v>-18492.920000000002</v>
          </cell>
        </row>
        <row r="29">
          <cell r="A29"/>
          <cell r="B29"/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/>
          <cell r="B30"/>
          <cell r="C30" t="str">
            <v>AU030FSD Total</v>
          </cell>
          <cell r="D30"/>
          <cell r="E30"/>
          <cell r="F30">
            <v>-268.04000000000002</v>
          </cell>
        </row>
        <row r="31">
          <cell r="A31" t="str">
            <v>030 Total</v>
          </cell>
          <cell r="B31"/>
          <cell r="C31"/>
          <cell r="D31"/>
          <cell r="E31"/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/>
          <cell r="B33"/>
          <cell r="C33" t="str">
            <v>AU050WKG Total</v>
          </cell>
          <cell r="D33"/>
          <cell r="E33"/>
          <cell r="F33">
            <v>-178946.74</v>
          </cell>
        </row>
        <row r="34">
          <cell r="A34"/>
          <cell r="B34"/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/>
          <cell r="B35"/>
          <cell r="C35" t="str">
            <v>AU050TN Total</v>
          </cell>
          <cell r="D35"/>
          <cell r="E35"/>
          <cell r="F35">
            <v>-113320.35999999997</v>
          </cell>
        </row>
        <row r="36">
          <cell r="A36"/>
          <cell r="B36"/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/>
          <cell r="B37"/>
          <cell r="C37" t="str">
            <v>AU050GOF Total</v>
          </cell>
          <cell r="D37"/>
          <cell r="E37"/>
          <cell r="F37">
            <v>-5479.7699999999986</v>
          </cell>
        </row>
        <row r="38">
          <cell r="A38"/>
          <cell r="B38"/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/>
          <cell r="B39"/>
          <cell r="C39" t="str">
            <v>AU050VA Total</v>
          </cell>
          <cell r="D39"/>
          <cell r="E39"/>
          <cell r="F39">
            <v>-62703.120000000024</v>
          </cell>
        </row>
        <row r="40">
          <cell r="A40" t="str">
            <v>050 Total</v>
          </cell>
          <cell r="B40"/>
          <cell r="C40"/>
          <cell r="D40"/>
          <cell r="E40"/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/>
          <cell r="B42"/>
          <cell r="C42" t="str">
            <v>AU060GOF Total</v>
          </cell>
          <cell r="D42"/>
          <cell r="E42"/>
          <cell r="F42">
            <v>-7898.4599999999982</v>
          </cell>
        </row>
        <row r="43">
          <cell r="A43"/>
          <cell r="B43"/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/>
          <cell r="B44"/>
          <cell r="C44" t="str">
            <v>AU060KS Total</v>
          </cell>
          <cell r="D44"/>
          <cell r="E44"/>
          <cell r="F44">
            <v>-195132.34000000003</v>
          </cell>
        </row>
        <row r="45">
          <cell r="A45"/>
          <cell r="B45"/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/>
          <cell r="B46"/>
          <cell r="C46"/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/>
          <cell r="B47"/>
          <cell r="C47"/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/>
          <cell r="B48"/>
          <cell r="C48"/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/>
          <cell r="B49"/>
          <cell r="C49" t="str">
            <v>AU060CO Total</v>
          </cell>
          <cell r="D49"/>
          <cell r="E49"/>
          <cell r="F49">
            <v>-96482.25</v>
          </cell>
        </row>
        <row r="50">
          <cell r="A50" t="str">
            <v>060 Total</v>
          </cell>
          <cell r="B50"/>
          <cell r="C50"/>
          <cell r="D50"/>
          <cell r="E50"/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/>
          <cell r="B52"/>
          <cell r="C52" t="str">
            <v>AU070MVG Total</v>
          </cell>
          <cell r="D52"/>
          <cell r="E52"/>
          <cell r="F52">
            <v>-1388304.2000000009</v>
          </cell>
        </row>
        <row r="53">
          <cell r="A53" t="str">
            <v>070 Total</v>
          </cell>
          <cell r="B53"/>
          <cell r="C53"/>
          <cell r="D53"/>
          <cell r="E53"/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/>
          <cell r="B55"/>
          <cell r="C55" t="str">
            <v>AU080GOF Total</v>
          </cell>
          <cell r="D55"/>
          <cell r="E55"/>
          <cell r="F55">
            <v>-1195136.1499999997</v>
          </cell>
        </row>
        <row r="56">
          <cell r="A56" t="str">
            <v>080 Total</v>
          </cell>
          <cell r="B56"/>
          <cell r="C56"/>
          <cell r="D56"/>
          <cell r="E56"/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/>
          <cell r="B58"/>
          <cell r="C58" t="str">
            <v>AU180APT Total</v>
          </cell>
          <cell r="D58"/>
          <cell r="E58"/>
          <cell r="F58">
            <v>-414320.00000000006</v>
          </cell>
        </row>
        <row r="59">
          <cell r="A59" t="str">
            <v>180 Total</v>
          </cell>
          <cell r="B59"/>
          <cell r="C59"/>
          <cell r="D59"/>
          <cell r="E59"/>
          <cell r="F59">
            <v>-414320.00000000006</v>
          </cell>
        </row>
        <row r="60">
          <cell r="A60" t="str">
            <v>Grand Total</v>
          </cell>
          <cell r="B60"/>
          <cell r="C60"/>
          <cell r="D60"/>
          <cell r="E60"/>
          <cell r="F60">
            <v>-5571157.5299999993</v>
          </cell>
        </row>
        <row r="61">
          <cell r="A61"/>
          <cell r="B61"/>
          <cell r="C61"/>
          <cell r="D61"/>
          <cell r="E61"/>
          <cell r="F61"/>
        </row>
        <row r="62">
          <cell r="A62"/>
          <cell r="B62"/>
          <cell r="C62"/>
          <cell r="D62"/>
          <cell r="E62"/>
          <cell r="F62"/>
        </row>
        <row r="63">
          <cell r="A63"/>
          <cell r="B63"/>
          <cell r="C63"/>
          <cell r="D63"/>
          <cell r="E63"/>
          <cell r="F63"/>
        </row>
        <row r="64">
          <cell r="A64"/>
          <cell r="B64"/>
          <cell r="C64"/>
          <cell r="D64"/>
          <cell r="E64"/>
          <cell r="F64"/>
        </row>
        <row r="65">
          <cell r="A65"/>
          <cell r="B65"/>
          <cell r="C65"/>
          <cell r="D65"/>
          <cell r="E65"/>
          <cell r="F65"/>
        </row>
        <row r="66">
          <cell r="A66"/>
          <cell r="B66"/>
          <cell r="C66"/>
          <cell r="D66"/>
          <cell r="E66"/>
          <cell r="F66"/>
        </row>
        <row r="67">
          <cell r="A67"/>
          <cell r="B67"/>
          <cell r="C67"/>
          <cell r="D67"/>
          <cell r="E67"/>
          <cell r="F67"/>
        </row>
        <row r="68">
          <cell r="A68"/>
          <cell r="B68"/>
          <cell r="C68"/>
          <cell r="D68"/>
          <cell r="E68"/>
          <cell r="F68"/>
        </row>
        <row r="69">
          <cell r="A69"/>
          <cell r="B69"/>
          <cell r="C69"/>
          <cell r="D69"/>
          <cell r="E69"/>
          <cell r="F69"/>
        </row>
        <row r="70">
          <cell r="A70"/>
          <cell r="B70"/>
          <cell r="C70"/>
          <cell r="D70"/>
          <cell r="E70"/>
          <cell r="F70"/>
        </row>
        <row r="71">
          <cell r="A71"/>
          <cell r="B71"/>
          <cell r="C71"/>
          <cell r="D71"/>
          <cell r="E71"/>
          <cell r="F71"/>
        </row>
        <row r="72">
          <cell r="A72"/>
          <cell r="B72"/>
          <cell r="C72"/>
          <cell r="D72"/>
          <cell r="E72"/>
          <cell r="F72"/>
        </row>
        <row r="73">
          <cell r="A73"/>
          <cell r="B73"/>
          <cell r="C73"/>
          <cell r="D73"/>
          <cell r="E73"/>
          <cell r="F73"/>
        </row>
        <row r="74">
          <cell r="A74"/>
          <cell r="B74"/>
          <cell r="C74"/>
          <cell r="D74"/>
          <cell r="E74"/>
          <cell r="F74"/>
        </row>
        <row r="75">
          <cell r="A75"/>
          <cell r="B75"/>
          <cell r="C75"/>
          <cell r="D75"/>
          <cell r="E75"/>
          <cell r="F75"/>
        </row>
        <row r="76">
          <cell r="A76"/>
          <cell r="B76"/>
          <cell r="C76"/>
          <cell r="D76"/>
          <cell r="E76"/>
          <cell r="F76"/>
        </row>
        <row r="77">
          <cell r="A77"/>
          <cell r="B77"/>
          <cell r="C77"/>
          <cell r="D77"/>
          <cell r="E77"/>
          <cell r="F77"/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/>
          <cell r="C13" t="str">
            <v>AU010SSU Total</v>
          </cell>
          <cell r="D13"/>
          <cell r="E13">
            <v>-124959.76000000001</v>
          </cell>
          <cell r="F13">
            <v>439729.32</v>
          </cell>
          <cell r="G13">
            <v>314769.56</v>
          </cell>
          <cell r="K13"/>
          <cell r="L13"/>
          <cell r="M13"/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/>
          <cell r="D14"/>
          <cell r="E14">
            <v>-124959.76000000001</v>
          </cell>
          <cell r="F14">
            <v>439729.32</v>
          </cell>
          <cell r="G14">
            <v>314769.56</v>
          </cell>
          <cell r="K14"/>
          <cell r="L14" t="str">
            <v>010 Total</v>
          </cell>
          <cell r="M14"/>
          <cell r="N14"/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/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/>
          <cell r="C16" t="str">
            <v>AU020LGS Total</v>
          </cell>
          <cell r="D16"/>
          <cell r="E16">
            <v>-38855.850000000064</v>
          </cell>
          <cell r="F16">
            <v>77208.620000000097</v>
          </cell>
          <cell r="G16">
            <v>38352.770000000033</v>
          </cell>
          <cell r="K16"/>
          <cell r="L16"/>
          <cell r="M16"/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/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/>
          <cell r="L17" t="str">
            <v>020 Total</v>
          </cell>
          <cell r="M17"/>
          <cell r="N17"/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/>
          <cell r="C18" t="str">
            <v>AU020TLA Total</v>
          </cell>
          <cell r="D18"/>
          <cell r="E18">
            <v>-16874.760000000009</v>
          </cell>
          <cell r="F18">
            <v>20494.76999999999</v>
          </cell>
          <cell r="G18">
            <v>3620.0099999999802</v>
          </cell>
          <cell r="K18"/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/>
          <cell r="D19"/>
          <cell r="E19">
            <v>-55730.610000000073</v>
          </cell>
          <cell r="F19">
            <v>97703.390000000087</v>
          </cell>
          <cell r="G19">
            <v>41972.780000000013</v>
          </cell>
          <cell r="K19"/>
          <cell r="L19"/>
          <cell r="M19"/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/>
          <cell r="L20"/>
          <cell r="M20"/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/>
          <cell r="C21" t="str">
            <v>AU030AMR Total</v>
          </cell>
          <cell r="D21"/>
          <cell r="E21">
            <v>-3951.3299999999986</v>
          </cell>
          <cell r="F21">
            <v>5915.2300000000005</v>
          </cell>
          <cell r="G21">
            <v>1963.9000000000019</v>
          </cell>
          <cell r="K21"/>
          <cell r="L21"/>
          <cell r="M21"/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/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/>
          <cell r="L22"/>
          <cell r="M22"/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/>
          <cell r="C23" t="str">
            <v>AU030AMRRU Total</v>
          </cell>
          <cell r="D23"/>
          <cell r="E23">
            <v>-4301.4399999999996</v>
          </cell>
          <cell r="F23">
            <v>865.75</v>
          </cell>
          <cell r="G23">
            <v>-3435.6899999999996</v>
          </cell>
          <cell r="K23"/>
          <cell r="L23"/>
          <cell r="M23"/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/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/>
          <cell r="L24"/>
          <cell r="M24"/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/>
          <cell r="C25" t="str">
            <v>AU030DHT Total</v>
          </cell>
          <cell r="D25"/>
          <cell r="E25">
            <v>-74.969999999999985</v>
          </cell>
          <cell r="F25">
            <v>46.03</v>
          </cell>
          <cell r="G25">
            <v>-28.939999999999984</v>
          </cell>
          <cell r="K25"/>
          <cell r="L25"/>
          <cell r="M25"/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/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/>
          <cell r="L26"/>
          <cell r="M26"/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/>
          <cell r="C27" t="str">
            <v>AU030DHTIR Total</v>
          </cell>
          <cell r="D27"/>
          <cell r="E27">
            <v>7.92</v>
          </cell>
          <cell r="F27">
            <v>0</v>
          </cell>
          <cell r="G27">
            <v>7.92</v>
          </cell>
          <cell r="K27"/>
          <cell r="L27"/>
          <cell r="M27"/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/>
          <cell r="C28" t="str">
            <v>AU030GOF</v>
          </cell>
          <cell r="D28" t="str">
            <v>010000</v>
          </cell>
          <cell r="E28">
            <v>0.01</v>
          </cell>
          <cell r="F28"/>
          <cell r="G28">
            <v>0.01</v>
          </cell>
          <cell r="K28"/>
          <cell r="L28" t="str">
            <v>030 Total</v>
          </cell>
          <cell r="M28"/>
          <cell r="N28"/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/>
          <cell r="C29" t="str">
            <v>AU030GOF Total</v>
          </cell>
          <cell r="D29"/>
          <cell r="E29">
            <v>0.01</v>
          </cell>
          <cell r="F29"/>
          <cell r="G29">
            <v>0.01</v>
          </cell>
          <cell r="K29"/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/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/>
          <cell r="L30"/>
          <cell r="M30"/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/>
          <cell r="C31" t="str">
            <v>AU030LUB Total</v>
          </cell>
          <cell r="D31"/>
          <cell r="E31">
            <v>-2784.780000000002</v>
          </cell>
          <cell r="F31">
            <v>5225.3599999999988</v>
          </cell>
          <cell r="G31">
            <v>2440.5799999999967</v>
          </cell>
          <cell r="K31"/>
          <cell r="L31"/>
          <cell r="M31"/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/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/>
          <cell r="L32"/>
          <cell r="M32"/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/>
          <cell r="C33" t="str">
            <v>AU030LUBEN Total</v>
          </cell>
          <cell r="D33"/>
          <cell r="E33">
            <v>-1151.74</v>
          </cell>
          <cell r="F33">
            <v>2127.7800000000002</v>
          </cell>
          <cell r="G33">
            <v>976.04000000000019</v>
          </cell>
          <cell r="K33"/>
          <cell r="L33"/>
          <cell r="M33"/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/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/>
          <cell r="L34" t="str">
            <v>050 Total</v>
          </cell>
          <cell r="M34"/>
          <cell r="N34"/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/>
          <cell r="C35" t="str">
            <v>AU030TRI Total</v>
          </cell>
          <cell r="D35"/>
          <cell r="E35">
            <v>-5146.6500000000005</v>
          </cell>
          <cell r="F35">
            <v>14498.869999999999</v>
          </cell>
          <cell r="G35">
            <v>9352.2199999999975</v>
          </cell>
          <cell r="K35"/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/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/>
          <cell r="L36"/>
          <cell r="M36"/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/>
          <cell r="C37" t="str">
            <v>AU030WTX Total</v>
          </cell>
          <cell r="D37"/>
          <cell r="E37">
            <v>-19664.030000000002</v>
          </cell>
          <cell r="F37">
            <v>45051.96</v>
          </cell>
          <cell r="G37">
            <v>25387.929999999997</v>
          </cell>
          <cell r="K37"/>
          <cell r="L37"/>
          <cell r="M37"/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/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/>
          <cell r="L38"/>
          <cell r="M38"/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/>
          <cell r="C39" t="str">
            <v>AU030WTXRU Total</v>
          </cell>
          <cell r="D39"/>
          <cell r="E39">
            <v>-2722.2400000000002</v>
          </cell>
          <cell r="F39">
            <v>7109.5000000000018</v>
          </cell>
          <cell r="G39">
            <v>4387.260000000002</v>
          </cell>
          <cell r="K39"/>
          <cell r="L39"/>
          <cell r="M39"/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/>
          <cell r="D40"/>
          <cell r="E40">
            <v>-39789.25</v>
          </cell>
          <cell r="F40">
            <v>80840.479999999996</v>
          </cell>
          <cell r="G40">
            <v>41051.229999999996</v>
          </cell>
          <cell r="K40"/>
          <cell r="L40"/>
          <cell r="M40"/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/>
          <cell r="L41" t="str">
            <v>060 Total</v>
          </cell>
          <cell r="M41"/>
          <cell r="N41"/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/>
          <cell r="C42" t="str">
            <v>AU050TN Total</v>
          </cell>
          <cell r="D42"/>
          <cell r="E42">
            <v>-78777.640000000058</v>
          </cell>
          <cell r="F42">
            <v>270859.74000000005</v>
          </cell>
          <cell r="G42">
            <v>192082.09999999998</v>
          </cell>
          <cell r="K42"/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/>
          <cell r="C43" t="str">
            <v>AU050VA</v>
          </cell>
          <cell r="D43" t="str">
            <v>096000</v>
          </cell>
          <cell r="E43"/>
          <cell r="F43">
            <v>28254.120000000003</v>
          </cell>
          <cell r="G43">
            <v>28254.120000000003</v>
          </cell>
          <cell r="K43"/>
          <cell r="L43"/>
          <cell r="M43"/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/>
          <cell r="C44" t="str">
            <v>AU050VA Total</v>
          </cell>
          <cell r="D44"/>
          <cell r="E44"/>
          <cell r="F44">
            <v>28254.120000000003</v>
          </cell>
          <cell r="G44">
            <v>28254.120000000003</v>
          </cell>
          <cell r="K44"/>
          <cell r="L44" t="str">
            <v>070 Total</v>
          </cell>
          <cell r="M44"/>
          <cell r="N44"/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/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/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/>
          <cell r="C46" t="str">
            <v>AU050WKG Total</v>
          </cell>
          <cell r="D46"/>
          <cell r="E46">
            <v>-195815.77000000019</v>
          </cell>
          <cell r="F46">
            <v>374239.61999999982</v>
          </cell>
          <cell r="G46">
            <v>178423.84999999963</v>
          </cell>
          <cell r="K46"/>
          <cell r="L46" t="str">
            <v>080 Total</v>
          </cell>
          <cell r="M46"/>
          <cell r="N46"/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/>
          <cell r="D47"/>
          <cell r="E47">
            <v>-274593.41000000027</v>
          </cell>
          <cell r="F47">
            <v>673353.47999999986</v>
          </cell>
          <cell r="G47">
            <v>398760.0699999996</v>
          </cell>
          <cell r="K47"/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/>
          <cell r="L48" t="str">
            <v>180 Total</v>
          </cell>
          <cell r="M48"/>
          <cell r="N48"/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/>
          <cell r="C49"/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/>
          <cell r="M49"/>
          <cell r="N49"/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/>
          <cell r="C50"/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/>
          <cell r="C51"/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/>
          <cell r="L51" t="str">
            <v>303 Total</v>
          </cell>
          <cell r="M51"/>
          <cell r="N51"/>
          <cell r="O51">
            <v>0</v>
          </cell>
          <cell r="P51">
            <v>32951</v>
          </cell>
          <cell r="Q51">
            <v>32951</v>
          </cell>
        </row>
        <row r="52">
          <cell r="B52"/>
          <cell r="C52" t="str">
            <v>AU060CO Total</v>
          </cell>
          <cell r="D52"/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/>
          <cell r="M52"/>
          <cell r="N52"/>
          <cell r="O52">
            <v>0</v>
          </cell>
          <cell r="P52">
            <v>32951</v>
          </cell>
          <cell r="Q52">
            <v>32951</v>
          </cell>
        </row>
        <row r="53">
          <cell r="B53"/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/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/>
          <cell r="C54" t="str">
            <v>AU060GOF Total</v>
          </cell>
          <cell r="D54"/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/>
          <cell r="M54"/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/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/>
          <cell r="L55" t="str">
            <v>234 Total</v>
          </cell>
          <cell r="M55"/>
          <cell r="N55"/>
          <cell r="O55">
            <v>0</v>
          </cell>
          <cell r="P55">
            <v>54478</v>
          </cell>
          <cell r="Q55">
            <v>54478</v>
          </cell>
        </row>
        <row r="56">
          <cell r="B56"/>
          <cell r="C56" t="str">
            <v>AU060KS Total</v>
          </cell>
          <cell r="D56"/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/>
          <cell r="M56"/>
          <cell r="N56"/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/>
          <cell r="D57"/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/>
          <cell r="L58" t="str">
            <v>233 Total</v>
          </cell>
          <cell r="M58"/>
          <cell r="N58"/>
          <cell r="O58">
            <v>0</v>
          </cell>
          <cell r="P58">
            <v>76074</v>
          </cell>
          <cell r="Q58">
            <v>76074</v>
          </cell>
        </row>
        <row r="59">
          <cell r="B59"/>
          <cell r="C59" t="str">
            <v>AU070MVG Total</v>
          </cell>
          <cell r="D59"/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/>
          <cell r="M59"/>
          <cell r="N59"/>
          <cell r="O59">
            <v>0</v>
          </cell>
          <cell r="P59">
            <v>76074</v>
          </cell>
          <cell r="Q59">
            <v>76074</v>
          </cell>
        </row>
        <row r="60">
          <cell r="B60"/>
          <cell r="C60" t="str">
            <v>AU070PBR</v>
          </cell>
          <cell r="D60" t="str">
            <v>171000</v>
          </cell>
          <cell r="E60">
            <v>-1072.6300000000001</v>
          </cell>
          <cell r="F60"/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/>
          <cell r="C61" t="str">
            <v>AU070PBR Total</v>
          </cell>
          <cell r="D61"/>
          <cell r="E61">
            <v>-1072.6300000000001</v>
          </cell>
          <cell r="F61"/>
          <cell r="G61">
            <v>-1072.6300000000001</v>
          </cell>
          <cell r="K61"/>
          <cell r="L61" t="str">
            <v>232 Total</v>
          </cell>
          <cell r="M61"/>
          <cell r="N61"/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/>
          <cell r="D62"/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/>
          <cell r="M62"/>
          <cell r="N62"/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/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/>
          <cell r="C64" t="str">
            <v>AU080GOF Total</v>
          </cell>
          <cell r="D64"/>
          <cell r="E64">
            <v>-360791.81999999989</v>
          </cell>
          <cell r="F64">
            <v>897808.79000000132</v>
          </cell>
          <cell r="G64">
            <v>537016.97000000137</v>
          </cell>
          <cell r="K64"/>
          <cell r="L64"/>
          <cell r="M64"/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/>
          <cell r="D65"/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/>
          <cell r="M65"/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/>
          <cell r="L66" t="str">
            <v>212 Total</v>
          </cell>
          <cell r="M66"/>
          <cell r="N66"/>
          <cell r="O66">
            <v>0</v>
          </cell>
          <cell r="P66">
            <v>9670</v>
          </cell>
          <cell r="Q66">
            <v>9670</v>
          </cell>
        </row>
        <row r="67">
          <cell r="B67"/>
          <cell r="C67" t="str">
            <v>AU180APT Total</v>
          </cell>
          <cell r="D67"/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/>
          <cell r="M67"/>
          <cell r="N67"/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/>
          <cell r="D68"/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/>
          <cell r="M68"/>
          <cell r="N68"/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/>
          <cell r="C69"/>
          <cell r="D69"/>
          <cell r="E69">
            <v>-2789817.12</v>
          </cell>
          <cell r="F69">
            <v>7644389.3000000007</v>
          </cell>
          <cell r="G69">
            <v>4854572.1800000006</v>
          </cell>
          <cell r="K69"/>
          <cell r="L69"/>
          <cell r="M69"/>
          <cell r="N69"/>
          <cell r="O69"/>
          <cell r="P69"/>
          <cell r="Q69"/>
        </row>
        <row r="70">
          <cell r="B70"/>
          <cell r="C70"/>
          <cell r="D70"/>
          <cell r="E70"/>
          <cell r="F70"/>
          <cell r="G70"/>
          <cell r="K70"/>
          <cell r="L70"/>
          <cell r="M70"/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/>
          <cell r="C71"/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/>
          <cell r="L71"/>
          <cell r="M71"/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/>
          <cell r="C72"/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/>
          <cell r="C73"/>
          <cell r="D73"/>
          <cell r="E73"/>
          <cell r="F73"/>
          <cell r="G73" t="str">
            <v>immaterial</v>
          </cell>
        </row>
        <row r="74">
          <cell r="B74"/>
          <cell r="C74"/>
          <cell r="D74"/>
          <cell r="E74"/>
          <cell r="F74"/>
          <cell r="G74"/>
        </row>
        <row r="75">
          <cell r="B75"/>
          <cell r="C75"/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/>
          <cell r="C76"/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/>
          <cell r="C77"/>
          <cell r="D77"/>
          <cell r="E77"/>
          <cell r="F77"/>
          <cell r="G77"/>
        </row>
        <row r="78">
          <cell r="B78"/>
          <cell r="C78"/>
          <cell r="D78"/>
          <cell r="E78"/>
          <cell r="F78"/>
          <cell r="G78"/>
        </row>
      </sheetData>
      <sheetData sheetId="47">
        <row r="12">
          <cell r="A12"/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/>
          <cell r="C13"/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/>
          <cell r="O13" t="str">
            <v>212 Total</v>
          </cell>
          <cell r="P13"/>
          <cell r="Q13"/>
          <cell r="R13">
            <v>-50599</v>
          </cell>
          <cell r="S13"/>
          <cell r="T13"/>
          <cell r="U13">
            <v>50599</v>
          </cell>
        </row>
        <row r="14">
          <cell r="A14" t="str">
            <v>010</v>
          </cell>
          <cell r="B14"/>
          <cell r="C14" t="str">
            <v>010 Total</v>
          </cell>
          <cell r="D14"/>
          <cell r="E14"/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/>
          <cell r="P14"/>
          <cell r="Q14"/>
          <cell r="R14">
            <v>-50599</v>
          </cell>
          <cell r="S14"/>
          <cell r="T14"/>
          <cell r="U14">
            <v>50599</v>
          </cell>
        </row>
        <row r="15">
          <cell r="A15"/>
          <cell r="B15"/>
          <cell r="C15" t="str">
            <v>030</v>
          </cell>
          <cell r="D15" t="str">
            <v>010</v>
          </cell>
          <cell r="E15" t="str">
            <v>AU030GOF</v>
          </cell>
          <cell r="F15"/>
          <cell r="G15"/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/>
          <cell r="C16" t="str">
            <v>030 Total</v>
          </cell>
          <cell r="D16"/>
          <cell r="E16"/>
          <cell r="F16"/>
          <cell r="G16"/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/>
          <cell r="O16"/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/>
          <cell r="B17"/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/>
          <cell r="O17" t="str">
            <v>010 Total</v>
          </cell>
          <cell r="P17"/>
          <cell r="Q17"/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/>
          <cell r="C18" t="str">
            <v>080 Total</v>
          </cell>
          <cell r="D18"/>
          <cell r="E18"/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/>
          <cell r="O18" t="str">
            <v>020</v>
          </cell>
          <cell r="P18" t="str">
            <v>007</v>
          </cell>
          <cell r="Q18"/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/>
          <cell r="B19"/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/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/>
          <cell r="O19"/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/>
          <cell r="C20" t="str">
            <v>180 Total</v>
          </cell>
          <cell r="D20"/>
          <cell r="E20"/>
          <cell r="F20">
            <v>57557.8</v>
          </cell>
          <cell r="G20"/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/>
          <cell r="O20" t="str">
            <v>020 Total</v>
          </cell>
          <cell r="P20"/>
          <cell r="Q20"/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/>
          <cell r="B21" t="str">
            <v>AUT Total</v>
          </cell>
          <cell r="C21"/>
          <cell r="D21"/>
          <cell r="E21"/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/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/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/>
          <cell r="O22" t="str">
            <v>030 Total</v>
          </cell>
          <cell r="P22"/>
          <cell r="Q22"/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/>
          <cell r="C23" t="str">
            <v>212 Total</v>
          </cell>
          <cell r="D23"/>
          <cell r="E23"/>
          <cell r="F23">
            <v>83209.25</v>
          </cell>
          <cell r="G23"/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/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/>
          <cell r="D24"/>
          <cell r="E24"/>
          <cell r="F24">
            <v>83209.25</v>
          </cell>
          <cell r="G24"/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/>
          <cell r="O24" t="str">
            <v>060 Total</v>
          </cell>
          <cell r="P24"/>
          <cell r="Q24"/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/>
          <cell r="D25"/>
          <cell r="E25"/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/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N26"/>
          <cell r="O26" t="str">
            <v>080 Total</v>
          </cell>
          <cell r="P26"/>
          <cell r="Q26"/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/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/>
          <cell r="O28" t="str">
            <v>180 Total</v>
          </cell>
          <cell r="P28"/>
          <cell r="Q28"/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/>
          <cell r="P29"/>
          <cell r="Q29"/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/>
          <cell r="P30"/>
          <cell r="Q30"/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/>
          <cell r="O31"/>
          <cell r="P31"/>
          <cell r="Q31"/>
          <cell r="R31"/>
          <cell r="S31"/>
          <cell r="T31"/>
          <cell r="U31"/>
        </row>
        <row r="32">
          <cell r="N32"/>
          <cell r="O32"/>
          <cell r="P32"/>
          <cell r="Q32"/>
          <cell r="R32"/>
          <cell r="S32"/>
          <cell r="T32"/>
          <cell r="U32"/>
        </row>
        <row r="33">
          <cell r="N33"/>
          <cell r="O33"/>
          <cell r="P33"/>
          <cell r="Q33"/>
          <cell r="R33"/>
          <cell r="S33"/>
          <cell r="T33"/>
          <cell r="U33"/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/>
          <cell r="K14"/>
          <cell r="L14"/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/>
          <cell r="K17"/>
          <cell r="L17"/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/>
          <cell r="K28"/>
          <cell r="L28"/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/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/>
          <cell r="K33"/>
          <cell r="L33"/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/>
          <cell r="K40"/>
          <cell r="L40"/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/>
          <cell r="K43"/>
          <cell r="L43"/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/>
          <cell r="K45"/>
          <cell r="L45"/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/>
          <cell r="K47"/>
          <cell r="L47"/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/>
          <cell r="J48"/>
          <cell r="K48"/>
          <cell r="L48"/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/>
          <cell r="K49"/>
          <cell r="L49"/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/>
        </row>
        <row r="51">
          <cell r="I51"/>
          <cell r="J51"/>
          <cell r="K51"/>
          <cell r="L51"/>
          <cell r="M51"/>
          <cell r="N51"/>
          <cell r="O51"/>
          <cell r="P51">
            <v>-56214209.940000191</v>
          </cell>
        </row>
        <row r="52">
          <cell r="I52"/>
          <cell r="J52"/>
          <cell r="K52"/>
          <cell r="L52"/>
          <cell r="M52"/>
          <cell r="N52"/>
          <cell r="O52">
            <v>5345706.3400000073</v>
          </cell>
          <cell r="P52"/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/>
          <cell r="F11">
            <v>414633.0700000003</v>
          </cell>
          <cell r="G11">
            <v>83.55</v>
          </cell>
          <cell r="H11">
            <v>525801.56999999948</v>
          </cell>
          <cell r="I11"/>
          <cell r="J11"/>
          <cell r="K11"/>
          <cell r="L11"/>
          <cell r="M11">
            <v>940518.18999999971</v>
          </cell>
          <cell r="N11">
            <v>-940518.18999999971</v>
          </cell>
        </row>
        <row r="12">
          <cell r="C12"/>
          <cell r="D12" t="str">
            <v>005000</v>
          </cell>
          <cell r="E12">
            <v>0</v>
          </cell>
          <cell r="F12">
            <v>1055935.9999999988</v>
          </cell>
          <cell r="G12"/>
          <cell r="H12">
            <v>1260538.2100000011</v>
          </cell>
          <cell r="I12"/>
          <cell r="J12"/>
          <cell r="K12"/>
          <cell r="L12"/>
          <cell r="M12">
            <v>2316474.21</v>
          </cell>
          <cell r="N12">
            <v>-2316474.21</v>
          </cell>
        </row>
        <row r="13">
          <cell r="C13"/>
          <cell r="D13" t="str">
            <v>006000</v>
          </cell>
          <cell r="E13"/>
          <cell r="F13">
            <v>22010.29</v>
          </cell>
          <cell r="G13"/>
          <cell r="H13">
            <v>32878.92</v>
          </cell>
          <cell r="I13"/>
          <cell r="J13"/>
          <cell r="K13"/>
          <cell r="L13"/>
          <cell r="M13">
            <v>54889.21</v>
          </cell>
          <cell r="N13">
            <v>-54889.21</v>
          </cell>
        </row>
        <row r="14">
          <cell r="C14"/>
          <cell r="D14" t="str">
            <v>013000</v>
          </cell>
          <cell r="E14"/>
          <cell r="F14">
            <v>13399.599999999999</v>
          </cell>
          <cell r="G14"/>
          <cell r="H14">
            <v>18181.840000000007</v>
          </cell>
          <cell r="I14"/>
          <cell r="J14"/>
          <cell r="K14"/>
          <cell r="L14"/>
          <cell r="M14">
            <v>31581.440000000006</v>
          </cell>
          <cell r="N14">
            <v>-31581.440000000006</v>
          </cell>
        </row>
        <row r="15">
          <cell r="C15"/>
          <cell r="D15" t="str">
            <v>016000</v>
          </cell>
          <cell r="E15"/>
          <cell r="F15">
            <v>542684.00000000047</v>
          </cell>
          <cell r="G15"/>
          <cell r="H15">
            <v>592743.29000000027</v>
          </cell>
          <cell r="I15"/>
          <cell r="J15"/>
          <cell r="K15"/>
          <cell r="L15"/>
          <cell r="M15">
            <v>1135427.2900000007</v>
          </cell>
          <cell r="N15">
            <v>-1135427.2900000007</v>
          </cell>
        </row>
        <row r="16">
          <cell r="C16"/>
          <cell r="D16" t="str">
            <v>018000</v>
          </cell>
          <cell r="E16"/>
          <cell r="F16">
            <v>186.69</v>
          </cell>
          <cell r="G16"/>
          <cell r="H16">
            <v>324.13</v>
          </cell>
          <cell r="I16"/>
          <cell r="J16"/>
          <cell r="K16"/>
          <cell r="L16"/>
          <cell r="M16">
            <v>510.82</v>
          </cell>
          <cell r="N16">
            <v>-510.82</v>
          </cell>
        </row>
        <row r="17">
          <cell r="C17"/>
          <cell r="D17" t="str">
            <v>020000</v>
          </cell>
          <cell r="E17"/>
          <cell r="F17">
            <v>10118.130000000008</v>
          </cell>
          <cell r="G17"/>
          <cell r="H17">
            <v>14703.95</v>
          </cell>
          <cell r="I17"/>
          <cell r="J17"/>
          <cell r="K17"/>
          <cell r="L17"/>
          <cell r="M17">
            <v>24822.080000000009</v>
          </cell>
          <cell r="N17">
            <v>-24822.080000000009</v>
          </cell>
        </row>
        <row r="18">
          <cell r="C18"/>
          <cell r="D18" t="str">
            <v>021000</v>
          </cell>
          <cell r="E18"/>
          <cell r="F18">
            <v>328851.44000000047</v>
          </cell>
          <cell r="G18">
            <v>-83.55</v>
          </cell>
          <cell r="H18">
            <v>453188.08999999973</v>
          </cell>
          <cell r="I18"/>
          <cell r="J18"/>
          <cell r="K18"/>
          <cell r="L18"/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/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/>
          <cell r="J19"/>
          <cell r="K19"/>
          <cell r="L19"/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/>
          <cell r="F20"/>
          <cell r="G20"/>
          <cell r="H20"/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/>
          <cell r="E21"/>
          <cell r="F21"/>
          <cell r="G21"/>
          <cell r="H21"/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/>
          <cell r="D22"/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/>
          <cell r="D23"/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/>
        </row>
        <row r="24">
          <cell r="C24"/>
          <cell r="D24"/>
          <cell r="E24"/>
          <cell r="F24"/>
          <cell r="G24"/>
          <cell r="H24"/>
          <cell r="I24"/>
          <cell r="J24"/>
          <cell r="K24"/>
          <cell r="L24" t="str">
            <v>Per Balance Sheet</v>
          </cell>
          <cell r="M24">
            <v>37287924.160000011</v>
          </cell>
          <cell r="N24"/>
        </row>
        <row r="25">
          <cell r="C25"/>
          <cell r="D25"/>
          <cell r="E25"/>
          <cell r="F25"/>
          <cell r="G25"/>
          <cell r="H25"/>
          <cell r="I25"/>
          <cell r="J25"/>
          <cell r="K25"/>
          <cell r="L25" t="str">
            <v>Proof</v>
          </cell>
          <cell r="M25">
            <v>-5.9604644775390625E-8</v>
          </cell>
          <cell r="N25"/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/>
          <cell r="V6" t="str">
            <v/>
          </cell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13">
          <cell r="A13" t="str">
            <v>Sum of Total AIC (sign flipped)</v>
          </cell>
        </row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/>
          <cell r="G50">
            <v>92967.64</v>
          </cell>
        </row>
        <row r="51">
          <cell r="E51"/>
          <cell r="F51"/>
          <cell r="G51">
            <v>92967.64</v>
          </cell>
        </row>
        <row r="52">
          <cell r="E52" t="str">
            <v>057</v>
          </cell>
          <cell r="F52"/>
          <cell r="G52">
            <v>291794.59000000003</v>
          </cell>
        </row>
        <row r="53">
          <cell r="E53"/>
          <cell r="F53"/>
          <cell r="G53">
            <v>291794.59000000003</v>
          </cell>
        </row>
        <row r="54">
          <cell r="E54"/>
          <cell r="F54"/>
          <cell r="G54">
            <v>384762.23000000004</v>
          </cell>
        </row>
        <row r="55">
          <cell r="E55" t="str">
            <v>012</v>
          </cell>
          <cell r="F55"/>
          <cell r="G55">
            <v>0</v>
          </cell>
        </row>
        <row r="56">
          <cell r="E56"/>
          <cell r="F56"/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/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/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/>
          <cell r="G61">
            <v>197786.62999999995</v>
          </cell>
        </row>
        <row r="62">
          <cell r="E62"/>
          <cell r="F62"/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/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/>
          <cell r="G65">
            <v>1177.1600000000001</v>
          </cell>
        </row>
        <row r="66">
          <cell r="E66"/>
          <cell r="F66"/>
          <cell r="G66">
            <v>1177.1600000000001</v>
          </cell>
        </row>
        <row r="67">
          <cell r="E67" t="str">
            <v>019</v>
          </cell>
          <cell r="F67"/>
          <cell r="G67">
            <v>131628.03999999998</v>
          </cell>
        </row>
        <row r="68">
          <cell r="E68"/>
          <cell r="F68"/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/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/>
          <cell r="G71">
            <v>401431.66</v>
          </cell>
        </row>
        <row r="72">
          <cell r="E72"/>
          <cell r="F72"/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/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/>
          <cell r="G75">
            <v>136007.70000000001</v>
          </cell>
        </row>
        <row r="76">
          <cell r="E76"/>
          <cell r="F76"/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/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/>
          <cell r="G80">
            <v>480542.10000000003</v>
          </cell>
        </row>
        <row r="81">
          <cell r="E81" t="str">
            <v>035</v>
          </cell>
          <cell r="F81"/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/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/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/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/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/>
          <cell r="F91">
            <v>2797795.8200000017</v>
          </cell>
          <cell r="G91">
            <v>3773140.1100000008</v>
          </cell>
        </row>
        <row r="92">
          <cell r="E92"/>
          <cell r="F92">
            <v>22761297.589999996</v>
          </cell>
          <cell r="G92">
            <v>58666128.070000067</v>
          </cell>
        </row>
        <row r="93">
          <cell r="E93"/>
          <cell r="F93">
            <v>22761297.589999996</v>
          </cell>
          <cell r="G93">
            <v>59050890.300000057</v>
          </cell>
        </row>
      </sheetData>
      <sheetData sheetId="3">
        <row r="13">
          <cell r="A13" t="str">
            <v>Co Rollup</v>
          </cell>
        </row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/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/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/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/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/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/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/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/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/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/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/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/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/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/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/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/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>
        <row r="10">
          <cell r="A10" t="str">
            <v>Sum of amount</v>
          </cell>
        </row>
      </sheetData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/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/>
          <cell r="G22"/>
          <cell r="H22"/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/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/>
          <cell r="G25"/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/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/>
          <cell r="G28"/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/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/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/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/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/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/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/>
          <cell r="G35"/>
          <cell r="H35"/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/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/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/>
          <cell r="G39"/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/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/>
          <cell r="G43"/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/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/>
          <cell r="G45"/>
          <cell r="H45"/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/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/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/>
          <cell r="G48"/>
          <cell r="H48"/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/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/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/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/>
          <cell r="G52"/>
          <cell r="H52"/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/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/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/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/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/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/>
          <cell r="G59"/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/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/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/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/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/>
          <cell r="G65"/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/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/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/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/>
          <cell r="G69"/>
          <cell r="H69"/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/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/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/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/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/>
          <cell r="G75"/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/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/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/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/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/>
          <cell r="G80"/>
          <cell r="H80"/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/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/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/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/>
          <cell r="G84"/>
          <cell r="H84"/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/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/>
          <cell r="G87"/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/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/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/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/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/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/>
          <cell r="G94"/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/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/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/>
          <cell r="G99"/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/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/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/>
          <cell r="G106"/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/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/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/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/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/>
          <cell r="G114"/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/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/>
          <cell r="G116"/>
          <cell r="H116"/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/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/>
          <cell r="G118"/>
          <cell r="H118"/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/>
          <cell r="E119"/>
          <cell r="F119"/>
          <cell r="G119"/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>
        <row r="9">
          <cell r="A9" t="str">
            <v>Sum of amount</v>
          </cell>
        </row>
      </sheetData>
      <sheetData sheetId="8"/>
      <sheetData sheetId="9"/>
      <sheetData sheetId="10">
        <row r="2">
          <cell r="F2" t="str">
            <v>070.32218</v>
          </cell>
        </row>
      </sheetData>
      <sheetData sheetId="11"/>
      <sheetData sheetId="12"/>
      <sheetData sheetId="13"/>
      <sheetData sheetId="14"/>
      <sheetData sheetId="15"/>
      <sheetData sheetId="16">
        <row r="4">
          <cell r="B4" t="str">
            <v>001</v>
          </cell>
        </row>
      </sheetData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/>
          <cell r="N43" t="str">
            <v>#N/A</v>
          </cell>
          <cell r="O43">
            <v>0</v>
          </cell>
          <cell r="P43"/>
          <cell r="Q43">
            <v>0</v>
          </cell>
          <cell r="V43" t="str">
            <v>056</v>
          </cell>
          <cell r="W43"/>
          <cell r="X43">
            <v>48.599999999999987</v>
          </cell>
          <cell r="Y43"/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/>
          <cell r="G44"/>
          <cell r="N44" t="str">
            <v>001</v>
          </cell>
          <cell r="O44">
            <v>-6053.3413630024634</v>
          </cell>
          <cell r="P44"/>
          <cell r="Q44">
            <v>-6053.3413630024634</v>
          </cell>
          <cell r="V44" t="str">
            <v>059</v>
          </cell>
          <cell r="W44"/>
          <cell r="X44">
            <v>220.3599999999999</v>
          </cell>
          <cell r="Y44"/>
        </row>
        <row r="45">
          <cell r="B45"/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/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/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/>
          <cell r="G46"/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/>
          <cell r="G47"/>
          <cell r="N47" t="str">
            <v>004</v>
          </cell>
          <cell r="O47">
            <v>-1246.395277030236</v>
          </cell>
          <cell r="P47"/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/>
          <cell r="F48">
            <v>-2</v>
          </cell>
          <cell r="G48"/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/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/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/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/>
          <cell r="G50"/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/>
          <cell r="D51">
            <v>-268.04000000000002</v>
          </cell>
          <cell r="E51">
            <v>268.04000000000002</v>
          </cell>
          <cell r="F51"/>
          <cell r="G51"/>
          <cell r="N51" t="str">
            <v>008</v>
          </cell>
          <cell r="O51">
            <v>31109.307946984871</v>
          </cell>
          <cell r="P51"/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/>
          <cell r="G52"/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/>
          <cell r="G53"/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/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/>
          <cell r="G54"/>
          <cell r="N54" t="str">
            <v>012</v>
          </cell>
          <cell r="O54">
            <v>-375.95337854082084</v>
          </cell>
          <cell r="P54"/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/>
          <cell r="G55"/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/>
          <cell r="G56"/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/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/>
          <cell r="G58"/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/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/>
          <cell r="G59"/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/>
          <cell r="G60"/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/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/>
          <cell r="N61" t="str">
            <v>022</v>
          </cell>
          <cell r="O61">
            <v>57</v>
          </cell>
          <cell r="P61"/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/>
          <cell r="G62"/>
          <cell r="N62" t="str">
            <v>024</v>
          </cell>
          <cell r="O62">
            <v>-486463.59152572532</v>
          </cell>
          <cell r="P62"/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/>
          <cell r="D63"/>
          <cell r="E63">
            <v>128128.04</v>
          </cell>
          <cell r="F63"/>
          <cell r="G63"/>
          <cell r="N63" t="str">
            <v>030</v>
          </cell>
          <cell r="O63">
            <v>-378.6957988138625</v>
          </cell>
          <cell r="P63"/>
          <cell r="Q63">
            <v>-378.6957988138625</v>
          </cell>
          <cell r="V63" t="str">
            <v>024</v>
          </cell>
          <cell r="W63">
            <v>890614.53</v>
          </cell>
          <cell r="X63"/>
          <cell r="Y63">
            <v>-890614.53</v>
          </cell>
        </row>
        <row r="64">
          <cell r="B64" t="str">
            <v>088</v>
          </cell>
          <cell r="C64">
            <v>227378</v>
          </cell>
          <cell r="D64"/>
          <cell r="E64"/>
          <cell r="F64"/>
          <cell r="G64"/>
          <cell r="N64" t="str">
            <v>031</v>
          </cell>
          <cell r="O64"/>
          <cell r="P64"/>
          <cell r="Q64"/>
          <cell r="V64" t="str">
            <v>030</v>
          </cell>
          <cell r="W64">
            <v>59.399999999999551</v>
          </cell>
          <cell r="X64"/>
          <cell r="Y64">
            <v>-33357.78</v>
          </cell>
        </row>
        <row r="65">
          <cell r="B65" t="str">
            <v>089</v>
          </cell>
          <cell r="C65">
            <v>0</v>
          </cell>
          <cell r="D65"/>
          <cell r="E65"/>
          <cell r="F65">
            <v>-1</v>
          </cell>
          <cell r="G65"/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/>
          <cell r="X65"/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/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/>
          <cell r="G67"/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/>
          <cell r="G68"/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/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/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/>
          <cell r="E70"/>
          <cell r="F70"/>
          <cell r="G70"/>
          <cell r="N70" t="str">
            <v>079</v>
          </cell>
          <cell r="O70">
            <v>-483899.80231079174</v>
          </cell>
          <cell r="P70"/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/>
          <cell r="G71"/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/>
          <cell r="Y71">
            <v>-1920185.2799999989</v>
          </cell>
        </row>
        <row r="72">
          <cell r="B72" t="str">
            <v>031</v>
          </cell>
          <cell r="C72"/>
          <cell r="D72">
            <v>-83.65</v>
          </cell>
          <cell r="E72"/>
          <cell r="F72"/>
          <cell r="G72"/>
          <cell r="N72" t="str">
            <v>088</v>
          </cell>
          <cell r="O72">
            <v>-885.31498530711519</v>
          </cell>
          <cell r="P72"/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/>
          <cell r="G73"/>
          <cell r="N73" t="str">
            <v>089</v>
          </cell>
          <cell r="O73">
            <v>0.29999999998835847</v>
          </cell>
          <cell r="P73"/>
          <cell r="Q73">
            <v>0.29999999998835847</v>
          </cell>
          <cell r="V73" t="str">
            <v>088</v>
          </cell>
          <cell r="W73">
            <v>-56208.5</v>
          </cell>
          <cell r="X73"/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/>
          <cell r="G74"/>
          <cell r="N74" t="str">
            <v>091</v>
          </cell>
          <cell r="O74">
            <v>136.01132090556555</v>
          </cell>
          <cell r="P74"/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/>
          <cell r="G75"/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/>
          <cell r="G76"/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/>
          <cell r="E77"/>
          <cell r="F77"/>
          <cell r="G77"/>
          <cell r="N77" t="str">
            <v>099</v>
          </cell>
          <cell r="O77">
            <v>0</v>
          </cell>
          <cell r="P77"/>
          <cell r="Q77">
            <v>0</v>
          </cell>
          <cell r="V77" t="str">
            <v>107</v>
          </cell>
          <cell r="W77">
            <v>-7777.5</v>
          </cell>
          <cell r="X77"/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/>
          <cell r="G78"/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/>
          <cell r="C79">
            <v>-72065</v>
          </cell>
          <cell r="D79">
            <v>1062222.2299999981</v>
          </cell>
          <cell r="E79">
            <v>6747835.550000025</v>
          </cell>
          <cell r="F79"/>
          <cell r="G79"/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/>
          <cell r="G80"/>
          <cell r="N80" t="str">
            <v>171</v>
          </cell>
          <cell r="O80"/>
          <cell r="P80"/>
          <cell r="Q80"/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/>
          <cell r="N81" t="str">
            <v>180</v>
          </cell>
          <cell r="O81">
            <v>-955888.31869384227</v>
          </cell>
          <cell r="P81"/>
          <cell r="Q81">
            <v>-955888.31869384227</v>
          </cell>
          <cell r="V81" t="str">
            <v>041</v>
          </cell>
          <cell r="W81"/>
          <cell r="X81"/>
          <cell r="Y81">
            <v>50.079999999999991</v>
          </cell>
        </row>
        <row r="82">
          <cell r="B82"/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/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/>
          <cell r="G83"/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/>
          <cell r="C84">
            <v>6602075</v>
          </cell>
          <cell r="D84">
            <v>-35211570.349999651</v>
          </cell>
          <cell r="E84">
            <v>90966398.309999734</v>
          </cell>
          <cell r="F84"/>
          <cell r="G84"/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/>
          <cell r="G85"/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/>
          <cell r="C86">
            <v>-11407844</v>
          </cell>
          <cell r="D86">
            <v>-11661959.900000013</v>
          </cell>
          <cell r="E86">
            <v>22239636.240000173</v>
          </cell>
          <cell r="F86"/>
          <cell r="G86"/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/>
          <cell r="D87">
            <v>0</v>
          </cell>
          <cell r="E87">
            <v>57667.64</v>
          </cell>
          <cell r="F87"/>
          <cell r="G87"/>
        </row>
        <row r="88">
          <cell r="B88" t="str">
            <v>059</v>
          </cell>
          <cell r="C88"/>
          <cell r="D88">
            <v>0</v>
          </cell>
          <cell r="E88">
            <v>186660.99999999997</v>
          </cell>
          <cell r="F88"/>
          <cell r="G88"/>
        </row>
        <row r="89">
          <cell r="B89" t="str">
            <v>212</v>
          </cell>
          <cell r="C89">
            <v>215716</v>
          </cell>
          <cell r="D89"/>
          <cell r="E89">
            <v>-50599</v>
          </cell>
          <cell r="F89">
            <v>4</v>
          </cell>
          <cell r="G89"/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/>
          <cell r="F90"/>
          <cell r="G90"/>
        </row>
        <row r="91">
          <cell r="B91"/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/>
        </row>
        <row r="92">
          <cell r="B92" t="str">
            <v>800</v>
          </cell>
          <cell r="C92">
            <v>36368</v>
          </cell>
          <cell r="D92"/>
          <cell r="E92"/>
          <cell r="F92"/>
          <cell r="G92"/>
        </row>
        <row r="93">
          <cell r="B93"/>
          <cell r="C93">
            <v>36368</v>
          </cell>
          <cell r="D93"/>
          <cell r="E93"/>
          <cell r="F93"/>
          <cell r="G93"/>
        </row>
        <row r="94">
          <cell r="B94" t="str">
            <v>817</v>
          </cell>
          <cell r="C94">
            <v>76074</v>
          </cell>
          <cell r="D94"/>
          <cell r="E94"/>
          <cell r="F94"/>
          <cell r="G94"/>
        </row>
        <row r="95">
          <cell r="B95"/>
          <cell r="C95">
            <v>76074</v>
          </cell>
          <cell r="D95"/>
          <cell r="E95"/>
          <cell r="F95"/>
          <cell r="G95"/>
        </row>
        <row r="96">
          <cell r="B96" t="str">
            <v>819</v>
          </cell>
          <cell r="C96">
            <v>54478</v>
          </cell>
          <cell r="D96"/>
          <cell r="E96"/>
          <cell r="F96"/>
          <cell r="G96"/>
        </row>
        <row r="97">
          <cell r="B97"/>
          <cell r="C97">
            <v>54478</v>
          </cell>
          <cell r="D97"/>
          <cell r="E97"/>
          <cell r="F97"/>
          <cell r="G97"/>
        </row>
        <row r="98">
          <cell r="B98" t="str">
            <v>236</v>
          </cell>
          <cell r="C98">
            <v>2443176</v>
          </cell>
          <cell r="D98"/>
          <cell r="E98"/>
          <cell r="F98"/>
          <cell r="G98">
            <v>-1329311</v>
          </cell>
        </row>
        <row r="99">
          <cell r="B99"/>
          <cell r="C99">
            <v>2443176</v>
          </cell>
          <cell r="D99"/>
          <cell r="E99"/>
          <cell r="F99"/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/>
          <cell r="G100"/>
        </row>
        <row r="101">
          <cell r="B101"/>
          <cell r="C101">
            <v>32951</v>
          </cell>
          <cell r="D101">
            <v>-291794.59000000003</v>
          </cell>
          <cell r="E101">
            <v>210246.09999999998</v>
          </cell>
          <cell r="F101"/>
          <cell r="G101"/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/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212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/>
          <cell r="H10"/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/>
          <cell r="H11"/>
          <cell r="I11">
            <v>3463698.6799999978</v>
          </cell>
        </row>
        <row r="12">
          <cell r="D12"/>
          <cell r="E12">
            <v>25429633.530000068</v>
          </cell>
          <cell r="F12">
            <v>-7720046.679999995</v>
          </cell>
          <cell r="G12"/>
          <cell r="H12"/>
          <cell r="I12">
            <v>17709586.850000076</v>
          </cell>
        </row>
        <row r="13">
          <cell r="D13"/>
          <cell r="E13">
            <v>25429633.530000068</v>
          </cell>
          <cell r="F13">
            <v>-7720046.679999995</v>
          </cell>
          <cell r="G13"/>
          <cell r="H13"/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/>
          <cell r="H14"/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/>
          <cell r="H15"/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/>
          <cell r="H16"/>
          <cell r="I16">
            <v>162714.94000000646</v>
          </cell>
        </row>
        <row r="17">
          <cell r="D17"/>
          <cell r="E17">
            <v>4421054.9200000232</v>
          </cell>
          <cell r="F17">
            <v>2170390.9600000028</v>
          </cell>
          <cell r="G17"/>
          <cell r="H17"/>
          <cell r="I17">
            <v>6591445.8800000269</v>
          </cell>
        </row>
        <row r="18">
          <cell r="D18"/>
          <cell r="E18">
            <v>4421054.9200000232</v>
          </cell>
          <cell r="F18">
            <v>2170390.9600000028</v>
          </cell>
          <cell r="G18"/>
          <cell r="H18"/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/>
          <cell r="H19"/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/>
          <cell r="H20"/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/>
          <cell r="H21"/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/>
          <cell r="H22"/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/>
          <cell r="H23"/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/>
          <cell r="H24"/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/>
          <cell r="H25"/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/>
          <cell r="H26"/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/>
          <cell r="H27"/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/>
          <cell r="H28"/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/>
          <cell r="H29"/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/>
          <cell r="H30"/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/>
          <cell r="H31"/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/>
          <cell r="H32"/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/>
          <cell r="H33"/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/>
          <cell r="H34"/>
          <cell r="I34">
            <v>-5.5933924159035087E-11</v>
          </cell>
        </row>
        <row r="35">
          <cell r="D35"/>
          <cell r="E35">
            <v>1491777.0900000145</v>
          </cell>
          <cell r="F35">
            <v>4968534.6099999985</v>
          </cell>
          <cell r="G35"/>
          <cell r="H35"/>
          <cell r="I35">
            <v>6460311.7000000151</v>
          </cell>
        </row>
        <row r="36">
          <cell r="D36"/>
          <cell r="E36">
            <v>1491777.0900000145</v>
          </cell>
          <cell r="F36">
            <v>4968534.6099999985</v>
          </cell>
          <cell r="G36"/>
          <cell r="H36"/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/>
          <cell r="H37"/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/>
          <cell r="H38"/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/>
          <cell r="H39"/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/>
          <cell r="H40"/>
          <cell r="I40">
            <v>3413211.4800000037</v>
          </cell>
        </row>
        <row r="41">
          <cell r="D41" t="str">
            <v>095</v>
          </cell>
          <cell r="E41"/>
          <cell r="F41">
            <v>0</v>
          </cell>
          <cell r="G41"/>
          <cell r="H41"/>
          <cell r="I41">
            <v>0</v>
          </cell>
        </row>
        <row r="42">
          <cell r="D42"/>
          <cell r="E42">
            <v>25711844.390000075</v>
          </cell>
          <cell r="F42">
            <v>-1219033.2299999972</v>
          </cell>
          <cell r="G42"/>
          <cell r="H42"/>
          <cell r="I42">
            <v>24492811.160000078</v>
          </cell>
        </row>
        <row r="43">
          <cell r="D43"/>
          <cell r="E43">
            <v>25711844.390000075</v>
          </cell>
          <cell r="F43">
            <v>-1219033.2299999972</v>
          </cell>
          <cell r="G43"/>
          <cell r="H43"/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/>
          <cell r="H44"/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/>
          <cell r="H45"/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/>
          <cell r="H46"/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/>
          <cell r="H47"/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/>
          <cell r="H48"/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/>
          <cell r="H49"/>
          <cell r="I49">
            <v>4203929.879999999</v>
          </cell>
        </row>
        <row r="50">
          <cell r="D50" t="str">
            <v>041</v>
          </cell>
          <cell r="E50"/>
          <cell r="F50">
            <v>0</v>
          </cell>
          <cell r="G50"/>
          <cell r="H50"/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/>
          <cell r="H51"/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/>
          <cell r="H52"/>
          <cell r="I52">
            <v>3050078.6399999927</v>
          </cell>
        </row>
        <row r="53">
          <cell r="D53"/>
          <cell r="E53">
            <v>2575141.0599999824</v>
          </cell>
          <cell r="F53">
            <v>8053874.4200000027</v>
          </cell>
          <cell r="G53"/>
          <cell r="H53"/>
          <cell r="I53">
            <v>10629015.479999986</v>
          </cell>
        </row>
        <row r="54">
          <cell r="D54"/>
          <cell r="E54">
            <v>2575141.0599999824</v>
          </cell>
          <cell r="F54">
            <v>8053874.4200000027</v>
          </cell>
          <cell r="G54"/>
          <cell r="H54"/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/>
          <cell r="H55"/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/>
          <cell r="H56"/>
          <cell r="I56">
            <v>1.1641532182693481E-10</v>
          </cell>
        </row>
        <row r="57">
          <cell r="D57"/>
          <cell r="E57">
            <v>4131604.8199999854</v>
          </cell>
          <cell r="F57">
            <v>4074724.3500000015</v>
          </cell>
          <cell r="G57"/>
          <cell r="H57"/>
          <cell r="I57">
            <v>8206329.1699999869</v>
          </cell>
        </row>
        <row r="58">
          <cell r="D58"/>
          <cell r="E58">
            <v>4131604.8199999854</v>
          </cell>
          <cell r="F58">
            <v>4074724.3500000015</v>
          </cell>
          <cell r="G58"/>
          <cell r="H58"/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/>
          <cell r="H59"/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/>
          <cell r="H60"/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/>
          <cell r="H61"/>
          <cell r="I61">
            <v>1000358.4899999999</v>
          </cell>
        </row>
        <row r="62">
          <cell r="D62" t="str">
            <v>196</v>
          </cell>
          <cell r="E62"/>
          <cell r="F62">
            <v>125.03</v>
          </cell>
          <cell r="G62"/>
          <cell r="H62"/>
          <cell r="I62">
            <v>125.03</v>
          </cell>
        </row>
        <row r="63">
          <cell r="D63"/>
          <cell r="E63">
            <v>26351111.01999962</v>
          </cell>
          <cell r="F63">
            <v>12835183.190000068</v>
          </cell>
          <cell r="G63"/>
          <cell r="H63"/>
          <cell r="I63">
            <v>39186294.209999695</v>
          </cell>
        </row>
        <row r="64">
          <cell r="D64"/>
          <cell r="E64">
            <v>26351111.01999962</v>
          </cell>
          <cell r="F64">
            <v>12835183.190000068</v>
          </cell>
          <cell r="G64"/>
          <cell r="H64"/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/>
          <cell r="H65"/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/>
          <cell r="H66"/>
          <cell r="I66">
            <v>989.88</v>
          </cell>
        </row>
        <row r="67">
          <cell r="D67"/>
          <cell r="E67">
            <v>188204799.72000006</v>
          </cell>
          <cell r="F67">
            <v>-119108755.77000029</v>
          </cell>
          <cell r="G67"/>
          <cell r="H67"/>
          <cell r="I67">
            <v>69096043.949999765</v>
          </cell>
        </row>
        <row r="68">
          <cell r="D68"/>
          <cell r="E68">
            <v>188204799.72000006</v>
          </cell>
          <cell r="F68">
            <v>-119108755.77000029</v>
          </cell>
          <cell r="G68"/>
          <cell r="H68"/>
          <cell r="I68">
            <v>69096043.949999765</v>
          </cell>
        </row>
        <row r="69">
          <cell r="D69"/>
          <cell r="E69">
            <v>278316966.54999983</v>
          </cell>
          <cell r="F69">
            <v>-95945128.150000215</v>
          </cell>
          <cell r="G69"/>
          <cell r="H69"/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/>
          <cell r="H70"/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/>
          <cell r="H71"/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/>
          <cell r="H72"/>
          <cell r="I72">
            <v>176867.62000000145</v>
          </cell>
        </row>
        <row r="73">
          <cell r="D73" t="str">
            <v>824</v>
          </cell>
          <cell r="E73"/>
          <cell r="F73">
            <v>0</v>
          </cell>
          <cell r="G73"/>
          <cell r="H73"/>
          <cell r="I73">
            <v>0</v>
          </cell>
        </row>
        <row r="74">
          <cell r="D74" t="str">
            <v>825</v>
          </cell>
          <cell r="E74"/>
          <cell r="F74">
            <v>0</v>
          </cell>
          <cell r="G74"/>
          <cell r="H74"/>
          <cell r="I74">
            <v>0</v>
          </cell>
        </row>
        <row r="75">
          <cell r="D75" t="str">
            <v>826</v>
          </cell>
          <cell r="E75"/>
          <cell r="F75">
            <v>0</v>
          </cell>
          <cell r="G75"/>
          <cell r="H75"/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/>
          <cell r="H76"/>
          <cell r="I76">
            <v>6095.1399999999976</v>
          </cell>
        </row>
        <row r="77">
          <cell r="D77"/>
          <cell r="E77">
            <v>-75632.91999999863</v>
          </cell>
          <cell r="F77">
            <v>357121.76</v>
          </cell>
          <cell r="G77"/>
          <cell r="H77"/>
          <cell r="I77">
            <v>281488.84000000142</v>
          </cell>
        </row>
        <row r="78">
          <cell r="D78"/>
          <cell r="E78">
            <v>-75632.91999999863</v>
          </cell>
          <cell r="F78">
            <v>357121.76</v>
          </cell>
          <cell r="G78"/>
          <cell r="H78"/>
          <cell r="I78">
            <v>281488.84000000142</v>
          </cell>
        </row>
        <row r="79">
          <cell r="D79" t="str">
            <v>818</v>
          </cell>
          <cell r="E79"/>
          <cell r="F79">
            <v>0</v>
          </cell>
          <cell r="G79"/>
          <cell r="H79"/>
          <cell r="I79">
            <v>0</v>
          </cell>
        </row>
        <row r="80">
          <cell r="D80"/>
          <cell r="E80"/>
          <cell r="F80">
            <v>0</v>
          </cell>
          <cell r="G80"/>
          <cell r="H80"/>
          <cell r="I80">
            <v>0</v>
          </cell>
        </row>
        <row r="81">
          <cell r="D81"/>
          <cell r="E81"/>
          <cell r="F81">
            <v>0</v>
          </cell>
          <cell r="G81"/>
          <cell r="H81"/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/>
          <cell r="H82"/>
          <cell r="I82">
            <v>785002.00999999989</v>
          </cell>
        </row>
        <row r="83">
          <cell r="D83"/>
          <cell r="E83">
            <v>770198.03999999992</v>
          </cell>
          <cell r="F83">
            <v>14803.970000000001</v>
          </cell>
          <cell r="G83"/>
          <cell r="H83"/>
          <cell r="I83">
            <v>785002.00999999989</v>
          </cell>
        </row>
        <row r="84">
          <cell r="D84"/>
          <cell r="E84">
            <v>770198.03999999992</v>
          </cell>
          <cell r="F84">
            <v>14803.970000000001</v>
          </cell>
          <cell r="G84"/>
          <cell r="H84"/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/>
          <cell r="H85"/>
          <cell r="I85">
            <v>688619.14999999991</v>
          </cell>
        </row>
        <row r="86">
          <cell r="D86"/>
          <cell r="E86">
            <v>674955.84</v>
          </cell>
          <cell r="F86">
            <v>13663.309999999998</v>
          </cell>
          <cell r="G86"/>
          <cell r="H86"/>
          <cell r="I86">
            <v>688619.14999999991</v>
          </cell>
        </row>
        <row r="87">
          <cell r="D87"/>
          <cell r="E87">
            <v>674955.84</v>
          </cell>
          <cell r="F87">
            <v>13663.309999999998</v>
          </cell>
          <cell r="G87"/>
          <cell r="H87"/>
          <cell r="I87">
            <v>688619.14999999991</v>
          </cell>
        </row>
        <row r="88">
          <cell r="D88" t="str">
            <v>822</v>
          </cell>
          <cell r="E88"/>
          <cell r="F88">
            <v>0</v>
          </cell>
          <cell r="G88"/>
          <cell r="H88"/>
          <cell r="I88">
            <v>0</v>
          </cell>
        </row>
        <row r="89">
          <cell r="D89"/>
          <cell r="E89"/>
          <cell r="F89">
            <v>0</v>
          </cell>
          <cell r="G89"/>
          <cell r="H89"/>
          <cell r="I89">
            <v>0</v>
          </cell>
        </row>
        <row r="90">
          <cell r="D90"/>
          <cell r="E90"/>
          <cell r="F90">
            <v>0</v>
          </cell>
          <cell r="G90"/>
          <cell r="H90"/>
          <cell r="I90">
            <v>0</v>
          </cell>
        </row>
        <row r="91">
          <cell r="D91" t="str">
            <v>861</v>
          </cell>
          <cell r="E91"/>
          <cell r="F91">
            <v>0</v>
          </cell>
          <cell r="G91"/>
          <cell r="H91"/>
          <cell r="I91">
            <v>0</v>
          </cell>
        </row>
        <row r="92">
          <cell r="D92" t="str">
            <v>862</v>
          </cell>
          <cell r="E92"/>
          <cell r="F92">
            <v>0</v>
          </cell>
          <cell r="G92"/>
          <cell r="H92"/>
          <cell r="I92">
            <v>0</v>
          </cell>
        </row>
        <row r="93">
          <cell r="D93" t="str">
            <v>867</v>
          </cell>
          <cell r="E93"/>
          <cell r="F93">
            <v>0</v>
          </cell>
          <cell r="G93"/>
          <cell r="H93"/>
          <cell r="I93">
            <v>0</v>
          </cell>
        </row>
        <row r="94">
          <cell r="D94" t="str">
            <v>868</v>
          </cell>
          <cell r="E94"/>
          <cell r="F94">
            <v>0</v>
          </cell>
          <cell r="G94"/>
          <cell r="H94"/>
          <cell r="I94">
            <v>0</v>
          </cell>
        </row>
        <row r="95">
          <cell r="D95" t="str">
            <v>869</v>
          </cell>
          <cell r="E95"/>
          <cell r="F95">
            <v>0</v>
          </cell>
          <cell r="G95"/>
          <cell r="H95"/>
          <cell r="I95">
            <v>0</v>
          </cell>
        </row>
        <row r="96">
          <cell r="D96"/>
          <cell r="E96"/>
          <cell r="F96">
            <v>0</v>
          </cell>
          <cell r="G96"/>
          <cell r="H96"/>
          <cell r="I96">
            <v>0</v>
          </cell>
        </row>
        <row r="97">
          <cell r="D97"/>
          <cell r="E97"/>
          <cell r="F97">
            <v>0</v>
          </cell>
          <cell r="G97"/>
          <cell r="H97"/>
          <cell r="I97">
            <v>0</v>
          </cell>
        </row>
        <row r="98">
          <cell r="D98" t="str">
            <v>055</v>
          </cell>
          <cell r="E98"/>
          <cell r="F98">
            <v>0</v>
          </cell>
          <cell r="G98"/>
          <cell r="H98"/>
          <cell r="I98">
            <v>0</v>
          </cell>
        </row>
        <row r="99">
          <cell r="D99"/>
          <cell r="E99"/>
          <cell r="F99">
            <v>0</v>
          </cell>
          <cell r="G99"/>
          <cell r="H99"/>
          <cell r="I99">
            <v>0</v>
          </cell>
        </row>
        <row r="100">
          <cell r="D100"/>
          <cell r="E100"/>
          <cell r="F100">
            <v>0</v>
          </cell>
          <cell r="G100"/>
          <cell r="H100"/>
          <cell r="I100">
            <v>0</v>
          </cell>
        </row>
        <row r="101">
          <cell r="D101" t="str">
            <v>052</v>
          </cell>
          <cell r="E101"/>
          <cell r="F101">
            <v>0</v>
          </cell>
          <cell r="G101"/>
          <cell r="H101"/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/>
          <cell r="H102"/>
          <cell r="I102">
            <v>-64922.349999999627</v>
          </cell>
        </row>
        <row r="103">
          <cell r="D103" t="str">
            <v>058</v>
          </cell>
          <cell r="E103"/>
          <cell r="F103">
            <v>0</v>
          </cell>
          <cell r="G103"/>
          <cell r="H103"/>
          <cell r="I103">
            <v>0</v>
          </cell>
        </row>
        <row r="104">
          <cell r="D104" t="str">
            <v>060</v>
          </cell>
          <cell r="E104"/>
          <cell r="F104">
            <v>0</v>
          </cell>
          <cell r="G104"/>
          <cell r="H104"/>
          <cell r="I104">
            <v>0</v>
          </cell>
        </row>
        <row r="105">
          <cell r="D105"/>
          <cell r="E105">
            <v>711137.73000000045</v>
          </cell>
          <cell r="F105">
            <v>-776060.08000000007</v>
          </cell>
          <cell r="G105"/>
          <cell r="H105"/>
          <cell r="I105">
            <v>-64922.349999999627</v>
          </cell>
        </row>
        <row r="106">
          <cell r="D106"/>
          <cell r="E106">
            <v>711137.73000000045</v>
          </cell>
          <cell r="F106">
            <v>-776060.08000000007</v>
          </cell>
          <cell r="G106"/>
          <cell r="H106"/>
          <cell r="I106">
            <v>-64922.349999999627</v>
          </cell>
        </row>
        <row r="107">
          <cell r="D107"/>
          <cell r="E107">
            <v>2080658.6900000018</v>
          </cell>
          <cell r="F107">
            <v>-390471.0400000001</v>
          </cell>
          <cell r="G107"/>
          <cell r="H107"/>
          <cell r="I107">
            <v>1690187.6500000015</v>
          </cell>
        </row>
        <row r="108">
          <cell r="D108"/>
          <cell r="E108">
            <v>280397625.23999989</v>
          </cell>
          <cell r="F108">
            <v>-96335599.190000206</v>
          </cell>
          <cell r="G108"/>
          <cell r="H108"/>
          <cell r="I108">
            <v>184062026.04999965</v>
          </cell>
        </row>
        <row r="109">
          <cell r="D109"/>
          <cell r="E109"/>
          <cell r="F109">
            <v>-96335599.180002123</v>
          </cell>
          <cell r="G109" t="str">
            <v>Essbase</v>
          </cell>
        </row>
        <row r="110">
          <cell r="D110"/>
          <cell r="E110"/>
          <cell r="F110">
            <v>-9.9980831146240234E-3</v>
          </cell>
          <cell r="G110"/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/>
          <cell r="C65"/>
          <cell r="D65"/>
          <cell r="E65" t="str">
            <v>821000</v>
          </cell>
          <cell r="F65">
            <v>821000</v>
          </cell>
          <cell r="G65" t="str">
            <v>AHLM212</v>
          </cell>
          <cell r="H65"/>
          <cell r="I65"/>
        </row>
        <row r="66">
          <cell r="A66" t="str">
            <v>700</v>
          </cell>
          <cell r="B66"/>
          <cell r="C66"/>
          <cell r="D66"/>
          <cell r="E66" t="str">
            <v>700000</v>
          </cell>
          <cell r="F66">
            <v>700000</v>
          </cell>
          <cell r="G66" t="str">
            <v>AU180APT</v>
          </cell>
          <cell r="H66"/>
          <cell r="I66"/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/>
          <cell r="I84"/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/>
          <cell r="E85"/>
          <cell r="F85"/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/>
          <cell r="C86"/>
          <cell r="D86"/>
          <cell r="E86" t="str">
            <v>834000</v>
          </cell>
          <cell r="F86" t="str">
            <v>834000</v>
          </cell>
          <cell r="G86" t="str">
            <v>AHLM212</v>
          </cell>
          <cell r="H86"/>
          <cell r="I86"/>
        </row>
        <row r="87">
          <cell r="A87" t="str">
            <v>711</v>
          </cell>
          <cell r="B87"/>
          <cell r="C87"/>
          <cell r="D87"/>
          <cell r="E87" t="str">
            <v>711000</v>
          </cell>
          <cell r="F87" t="str">
            <v>711000</v>
          </cell>
          <cell r="G87" t="str">
            <v>AU180APT</v>
          </cell>
          <cell r="H87"/>
          <cell r="I87"/>
        </row>
        <row r="88">
          <cell r="A88" t="str">
            <v>196</v>
          </cell>
          <cell r="B88"/>
          <cell r="C88"/>
          <cell r="D88"/>
          <cell r="E88" t="str">
            <v>196000</v>
          </cell>
          <cell r="F88" t="str">
            <v>196000</v>
          </cell>
          <cell r="G88" t="str">
            <v>AU080GOF</v>
          </cell>
          <cell r="H88"/>
          <cell r="I88"/>
        </row>
        <row r="89">
          <cell r="A89" t="str">
            <v>055</v>
          </cell>
          <cell r="B89"/>
          <cell r="C89"/>
          <cell r="D89"/>
          <cell r="E89" t="str">
            <v>055</v>
          </cell>
          <cell r="F89"/>
          <cell r="G89" t="str">
            <v>AHLOE301</v>
          </cell>
          <cell r="H89"/>
          <cell r="I89"/>
        </row>
        <row r="90">
          <cell r="A90" t="str">
            <v>180</v>
          </cell>
          <cell r="B90"/>
          <cell r="C90"/>
          <cell r="D90"/>
          <cell r="E90" t="str">
            <v>181000</v>
          </cell>
          <cell r="F90"/>
          <cell r="G90" t="str">
            <v>AU180APT</v>
          </cell>
          <cell r="H90"/>
          <cell r="I90"/>
        </row>
        <row r="91">
          <cell r="A91" t="str">
            <v>822</v>
          </cell>
          <cell r="B91"/>
          <cell r="C91"/>
          <cell r="D91"/>
          <cell r="E91" t="str">
            <v>822000</v>
          </cell>
          <cell r="F91"/>
          <cell r="G91" t="str">
            <v>AHCOS234</v>
          </cell>
          <cell r="H91"/>
          <cell r="I91"/>
        </row>
        <row r="92">
          <cell r="A92" t="str">
            <v>867</v>
          </cell>
          <cell r="B92"/>
          <cell r="C92"/>
          <cell r="D92"/>
          <cell r="E92" t="str">
            <v>867000</v>
          </cell>
          <cell r="F92"/>
          <cell r="G92" t="str">
            <v>AHLOS236</v>
          </cell>
          <cell r="H92"/>
          <cell r="I92"/>
        </row>
        <row r="93">
          <cell r="A93" t="str">
            <v>212</v>
          </cell>
          <cell r="B93"/>
          <cell r="C93"/>
          <cell r="D93"/>
          <cell r="E93" t="str">
            <v>212</v>
          </cell>
          <cell r="F93"/>
          <cell r="G93" t="str">
            <v>AHLM212</v>
          </cell>
          <cell r="H93"/>
          <cell r="I93"/>
        </row>
        <row r="94">
          <cell r="A94" t="str">
            <v>818</v>
          </cell>
          <cell r="B94"/>
          <cell r="C94"/>
          <cell r="D94"/>
          <cell r="E94" t="str">
            <v>818000</v>
          </cell>
          <cell r="F94"/>
          <cell r="G94" t="str">
            <v>AHCOS231</v>
          </cell>
          <cell r="H94"/>
          <cell r="I94"/>
        </row>
        <row r="95">
          <cell r="A95" t="str">
            <v>800</v>
          </cell>
          <cell r="B95"/>
          <cell r="C95"/>
          <cell r="D95"/>
          <cell r="E95" t="str">
            <v>800000</v>
          </cell>
          <cell r="F95"/>
          <cell r="G95" t="str">
            <v>AHCOS232</v>
          </cell>
          <cell r="H95"/>
          <cell r="I95"/>
        </row>
        <row r="96">
          <cell r="A96" t="str">
            <v>817</v>
          </cell>
          <cell r="B96"/>
          <cell r="C96"/>
          <cell r="D96"/>
          <cell r="E96" t="str">
            <v>817000</v>
          </cell>
          <cell r="F96"/>
          <cell r="G96" t="str">
            <v>AHCOS233</v>
          </cell>
          <cell r="H96"/>
          <cell r="I96"/>
        </row>
        <row r="97">
          <cell r="A97" t="str">
            <v>819</v>
          </cell>
          <cell r="B97"/>
          <cell r="C97"/>
          <cell r="D97"/>
          <cell r="E97" t="str">
            <v>819000</v>
          </cell>
          <cell r="F97"/>
          <cell r="G97" t="str">
            <v>AHCOS234</v>
          </cell>
          <cell r="H97"/>
          <cell r="I97"/>
        </row>
        <row r="98">
          <cell r="A98" t="str">
            <v>236</v>
          </cell>
          <cell r="B98"/>
          <cell r="C98"/>
          <cell r="D98"/>
          <cell r="E98" t="str">
            <v>236</v>
          </cell>
          <cell r="F98"/>
          <cell r="G98" t="str">
            <v>AHLOS236</v>
          </cell>
          <cell r="H98"/>
          <cell r="I98"/>
        </row>
        <row r="99">
          <cell r="A99" t="str">
            <v>059</v>
          </cell>
          <cell r="B99"/>
          <cell r="C99"/>
          <cell r="D99"/>
          <cell r="E99" t="str">
            <v>059000</v>
          </cell>
          <cell r="F99">
            <v>59000</v>
          </cell>
          <cell r="G99" t="str">
            <v>AHLM212</v>
          </cell>
          <cell r="H99"/>
          <cell r="I99"/>
        </row>
        <row r="100">
          <cell r="A100" t="str">
            <v>057</v>
          </cell>
          <cell r="B100"/>
          <cell r="C100"/>
          <cell r="D100"/>
          <cell r="E100" t="str">
            <v>057000</v>
          </cell>
          <cell r="F100">
            <v>57000</v>
          </cell>
          <cell r="G100" t="str">
            <v>AHCOS303</v>
          </cell>
          <cell r="H100"/>
          <cell r="I100"/>
        </row>
        <row r="101">
          <cell r="A101" t="str">
            <v>056</v>
          </cell>
          <cell r="B101"/>
          <cell r="C101"/>
          <cell r="D101"/>
          <cell r="E101" t="str">
            <v>056000</v>
          </cell>
          <cell r="F101">
            <v>56000</v>
          </cell>
          <cell r="G101" t="str">
            <v>AHLM212</v>
          </cell>
          <cell r="H101"/>
          <cell r="I101"/>
        </row>
      </sheetData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  <sheetName val="RD List"/>
    </sheetNames>
    <sheetDataSet>
      <sheetData sheetId="0"/>
      <sheetData sheetId="1"/>
      <sheetData sheetId="2"/>
      <sheetData sheetId="3"/>
      <sheetData sheetId="4">
        <row r="72">
          <cell r="AL72">
            <v>-457677512.41715419</v>
          </cell>
        </row>
      </sheetData>
      <sheetData sheetId="5"/>
      <sheetData sheetId="6">
        <row r="41">
          <cell r="A41" t="str">
            <v>Sum of Amount</v>
          </cell>
        </row>
      </sheetData>
      <sheetData sheetId="7"/>
      <sheetData sheetId="8">
        <row r="14">
          <cell r="A14" t="str">
            <v>001</v>
          </cell>
        </row>
      </sheetData>
      <sheetData sheetId="9"/>
      <sheetData sheetId="10">
        <row r="14">
          <cell r="D14" t="str">
            <v>212</v>
          </cell>
        </row>
      </sheetData>
      <sheetData sheetId="11">
        <row r="16">
          <cell r="D16" t="str">
            <v>077</v>
          </cell>
        </row>
      </sheetData>
      <sheetData sheetId="12">
        <row r="13">
          <cell r="D13" t="str">
            <v>212</v>
          </cell>
        </row>
      </sheetData>
      <sheetData sheetId="13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4">
        <row r="11">
          <cell r="F11" t="str">
            <v>212</v>
          </cell>
        </row>
      </sheetData>
      <sheetData sheetId="15"/>
      <sheetData sheetId="16"/>
      <sheetData sheetId="17"/>
      <sheetData sheetId="18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19">
        <row r="10">
          <cell r="D10" t="str">
            <v>002</v>
          </cell>
        </row>
      </sheetData>
      <sheetData sheetId="20">
        <row r="20">
          <cell r="E20">
            <v>280397625.02000153</v>
          </cell>
        </row>
      </sheetData>
      <sheetData sheetId="21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2">
        <row r="3">
          <cell r="A3" t="str">
            <v>001</v>
          </cell>
        </row>
      </sheetData>
      <sheetData sheetId="23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SSU-Spending"/>
      <sheetName val="TXP-Summary"/>
      <sheetName val="TXP-IncStmt"/>
      <sheetName val="TXP-O&amp;MExp"/>
      <sheetName val="DateInput"/>
      <sheetName val="Essbase"/>
      <sheetName val="EssBalS"/>
      <sheetName val="DataMART"/>
      <sheetName val="UtOpStat"/>
      <sheetName val="Cap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2008 FINAL Budget</v>
          </cell>
          <cell r="C21" t="str">
            <v>Oct</v>
          </cell>
          <cell r="D21" t="str">
            <v>Nov</v>
          </cell>
          <cell r="E21" t="str">
            <v>Dec</v>
          </cell>
          <cell r="F21" t="str">
            <v>Jan</v>
          </cell>
          <cell r="G21" t="str">
            <v>Feb</v>
          </cell>
          <cell r="H21" t="str">
            <v>Mar</v>
          </cell>
          <cell r="I21" t="str">
            <v>Apr</v>
          </cell>
          <cell r="J21" t="str">
            <v>May</v>
          </cell>
          <cell r="K21" t="str">
            <v>Jun</v>
          </cell>
          <cell r="L21" t="str">
            <v>Jul</v>
          </cell>
          <cell r="M21" t="str">
            <v>Aug</v>
          </cell>
          <cell r="N21" t="str">
            <v>Sep</v>
          </cell>
          <cell r="O21" t="str">
            <v>2008 FINAL Budget</v>
          </cell>
          <cell r="P21" t="str">
            <v>Oct</v>
          </cell>
          <cell r="Q21" t="str">
            <v>Nov</v>
          </cell>
          <cell r="R21" t="str">
            <v>Dec</v>
          </cell>
          <cell r="S21" t="str">
            <v>Jan</v>
          </cell>
          <cell r="T21" t="str">
            <v>Feb</v>
          </cell>
          <cell r="U21" t="str">
            <v>Mar</v>
          </cell>
          <cell r="V21" t="str">
            <v>Apr</v>
          </cell>
          <cell r="W21" t="str">
            <v>May</v>
          </cell>
          <cell r="X21" t="str">
            <v>Jun</v>
          </cell>
          <cell r="Y21" t="str">
            <v>Jul</v>
          </cell>
          <cell r="Z21" t="str">
            <v>Aug</v>
          </cell>
          <cell r="AA21" t="str">
            <v>Sep</v>
          </cell>
          <cell r="AB21" t="str">
            <v>2008 FINAL Budget</v>
          </cell>
          <cell r="AC21" t="str">
            <v>Oct</v>
          </cell>
          <cell r="AD21" t="str">
            <v>Nov</v>
          </cell>
          <cell r="AE21" t="str">
            <v>Dec</v>
          </cell>
          <cell r="AF21" t="str">
            <v>Jan</v>
          </cell>
          <cell r="AG21" t="str">
            <v>Feb</v>
          </cell>
          <cell r="AH21" t="str">
            <v>Mar</v>
          </cell>
          <cell r="AI21" t="str">
            <v>Apr</v>
          </cell>
          <cell r="AJ21" t="str">
            <v>May</v>
          </cell>
          <cell r="AK21" t="str">
            <v>Jun</v>
          </cell>
          <cell r="AL21" t="str">
            <v>Jul</v>
          </cell>
          <cell r="AM21" t="str">
            <v>Aug</v>
          </cell>
          <cell r="AN21" t="str">
            <v>Sep</v>
          </cell>
          <cell r="AO21" t="str">
            <v>2008 FINAL Budget</v>
          </cell>
          <cell r="AP21" t="str">
            <v>Oct</v>
          </cell>
          <cell r="AQ21" t="str">
            <v>Nov</v>
          </cell>
          <cell r="AR21" t="str">
            <v>Dec</v>
          </cell>
          <cell r="AS21" t="str">
            <v>Jan</v>
          </cell>
          <cell r="AT21" t="str">
            <v>Feb</v>
          </cell>
          <cell r="AU21" t="str">
            <v>Mar</v>
          </cell>
          <cell r="AV21" t="str">
            <v>Apr</v>
          </cell>
          <cell r="AW21" t="str">
            <v>May</v>
          </cell>
          <cell r="AX21" t="str">
            <v>Jun</v>
          </cell>
          <cell r="AY21" t="str">
            <v>Jul</v>
          </cell>
          <cell r="AZ21" t="str">
            <v>Aug</v>
          </cell>
          <cell r="BA21" t="str">
            <v>Sep</v>
          </cell>
          <cell r="BB21" t="str">
            <v>2008 FINAL Budget</v>
          </cell>
          <cell r="BC21" t="str">
            <v>Oct</v>
          </cell>
          <cell r="BD21" t="str">
            <v>Nov</v>
          </cell>
          <cell r="BE21" t="str">
            <v>Dec</v>
          </cell>
          <cell r="BF21" t="str">
            <v>Jan</v>
          </cell>
          <cell r="BG21" t="str">
            <v>Feb</v>
          </cell>
          <cell r="BH21" t="str">
            <v>Mar</v>
          </cell>
          <cell r="BI21" t="str">
            <v>Apr</v>
          </cell>
          <cell r="BJ21" t="str">
            <v>May</v>
          </cell>
          <cell r="BK21" t="str">
            <v>Jun</v>
          </cell>
          <cell r="BL21" t="str">
            <v>Jul</v>
          </cell>
          <cell r="BM21" t="str">
            <v>Aug</v>
          </cell>
          <cell r="BN21" t="str">
            <v>Sep</v>
          </cell>
          <cell r="BO21" t="str">
            <v>2008 FINAL Budget</v>
          </cell>
          <cell r="BP21" t="str">
            <v>Oct</v>
          </cell>
          <cell r="BQ21" t="str">
            <v>Nov</v>
          </cell>
          <cell r="BR21" t="str">
            <v>Dec</v>
          </cell>
          <cell r="BS21" t="str">
            <v>Jan</v>
          </cell>
          <cell r="BT21" t="str">
            <v>Feb</v>
          </cell>
          <cell r="BU21" t="str">
            <v>Mar</v>
          </cell>
          <cell r="BV21" t="str">
            <v>Apr</v>
          </cell>
          <cell r="BW21" t="str">
            <v>May</v>
          </cell>
          <cell r="BX21" t="str">
            <v>Jun</v>
          </cell>
          <cell r="BY21" t="str">
            <v>Jul</v>
          </cell>
          <cell r="BZ21" t="str">
            <v>Aug</v>
          </cell>
          <cell r="CA21" t="str">
            <v>Sep</v>
          </cell>
          <cell r="CB21" t="str">
            <v>2008 FINAL Budget</v>
          </cell>
          <cell r="CC21" t="str">
            <v>Oct</v>
          </cell>
          <cell r="CD21" t="str">
            <v>Nov</v>
          </cell>
          <cell r="CE21" t="str">
            <v>Dec</v>
          </cell>
          <cell r="CF21" t="str">
            <v>Jan</v>
          </cell>
          <cell r="CG21" t="str">
            <v>Feb</v>
          </cell>
          <cell r="CH21" t="str">
            <v>Mar</v>
          </cell>
          <cell r="CI21" t="str">
            <v>Apr</v>
          </cell>
          <cell r="CJ21" t="str">
            <v>May</v>
          </cell>
          <cell r="CK21" t="str">
            <v>Jun</v>
          </cell>
          <cell r="CL21" t="str">
            <v>Jul</v>
          </cell>
          <cell r="CM21" t="str">
            <v>Aug</v>
          </cell>
          <cell r="CN21" t="str">
            <v>Sep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2008 FINAL Budget</v>
          </cell>
          <cell r="DC21" t="str">
            <v>Oct</v>
          </cell>
          <cell r="DD21" t="str">
            <v>Nov</v>
          </cell>
          <cell r="DE21" t="str">
            <v>Dec</v>
          </cell>
          <cell r="DF21" t="str">
            <v>Jan</v>
          </cell>
          <cell r="DG21" t="str">
            <v>Feb</v>
          </cell>
          <cell r="DH21" t="str">
            <v>Mar</v>
          </cell>
          <cell r="DI21" t="str">
            <v>Apr</v>
          </cell>
          <cell r="DJ21" t="str">
            <v>May</v>
          </cell>
          <cell r="DK21" t="str">
            <v>Jun</v>
          </cell>
          <cell r="DL21" t="str">
            <v>Jul</v>
          </cell>
          <cell r="DM21" t="str">
            <v>Aug</v>
          </cell>
          <cell r="DN21" t="str">
            <v>Sep</v>
          </cell>
          <cell r="DO21" t="str">
            <v>2008 FINAL Budget</v>
          </cell>
          <cell r="DP21" t="str">
            <v>Oct</v>
          </cell>
          <cell r="DQ21" t="str">
            <v>Nov</v>
          </cell>
          <cell r="DR21" t="str">
            <v>Dec</v>
          </cell>
          <cell r="DS21" t="str">
            <v>Jan</v>
          </cell>
          <cell r="DT21" t="str">
            <v>Feb</v>
          </cell>
          <cell r="DU21" t="str">
            <v>Mar</v>
          </cell>
          <cell r="DV21" t="str">
            <v>Apr</v>
          </cell>
          <cell r="DW21" t="str">
            <v>May</v>
          </cell>
          <cell r="DX21" t="str">
            <v>Jun</v>
          </cell>
          <cell r="DY21" t="str">
            <v>Jul</v>
          </cell>
          <cell r="DZ21" t="str">
            <v>Aug</v>
          </cell>
          <cell r="EA21" t="str">
            <v>Sep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91865535.099999994</v>
          </cell>
          <cell r="C26">
            <v>8520963.3300000001</v>
          </cell>
          <cell r="D26">
            <v>7922089.3100000005</v>
          </cell>
          <cell r="E26">
            <v>7527987.8399999999</v>
          </cell>
          <cell r="F26">
            <v>8342572.8900000006</v>
          </cell>
          <cell r="G26">
            <v>7421089.7999999998</v>
          </cell>
          <cell r="H26">
            <v>8199731.5600000005</v>
          </cell>
          <cell r="I26">
            <v>8428130.0099999998</v>
          </cell>
          <cell r="J26">
            <v>8170818.6500000004</v>
          </cell>
          <cell r="K26">
            <v>8274112.1899999995</v>
          </cell>
          <cell r="L26">
            <v>8493649.7899999991</v>
          </cell>
          <cell r="M26">
            <v>7439960.46</v>
          </cell>
          <cell r="N26">
            <v>3124429.27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7724755.9000000004</v>
          </cell>
          <cell r="AC26">
            <v>659831.35</v>
          </cell>
          <cell r="AD26">
            <v>651524.46</v>
          </cell>
          <cell r="AE26">
            <v>633305.48</v>
          </cell>
          <cell r="AF26">
            <v>643350.41</v>
          </cell>
          <cell r="AG26">
            <v>599632.15</v>
          </cell>
          <cell r="AH26">
            <v>623327.91</v>
          </cell>
          <cell r="AI26">
            <v>690272.3</v>
          </cell>
          <cell r="AJ26">
            <v>660209.44999999995</v>
          </cell>
          <cell r="AK26">
            <v>620741.78</v>
          </cell>
          <cell r="AL26">
            <v>698171.02</v>
          </cell>
          <cell r="AM26">
            <v>609093.30000000005</v>
          </cell>
          <cell r="AN26">
            <v>635296.29</v>
          </cell>
          <cell r="AO26">
            <v>4427024.7200000007</v>
          </cell>
          <cell r="AP26">
            <v>242410</v>
          </cell>
          <cell r="AQ26">
            <v>344057</v>
          </cell>
          <cell r="AR26">
            <v>337966.65</v>
          </cell>
          <cell r="AS26">
            <v>377162.01</v>
          </cell>
          <cell r="AT26">
            <v>370773.09</v>
          </cell>
          <cell r="AU26">
            <v>379679</v>
          </cell>
          <cell r="AV26">
            <v>422151.02</v>
          </cell>
          <cell r="AW26">
            <v>384690.32</v>
          </cell>
          <cell r="AX26">
            <v>409292.41</v>
          </cell>
          <cell r="AY26">
            <v>402845.22</v>
          </cell>
          <cell r="AZ26">
            <v>347887.78</v>
          </cell>
          <cell r="BA26">
            <v>408110.22</v>
          </cell>
          <cell r="BB26">
            <v>10791184.92</v>
          </cell>
          <cell r="BC26">
            <v>899265.41</v>
          </cell>
          <cell r="BD26">
            <v>899265.41</v>
          </cell>
          <cell r="BE26">
            <v>899265.41</v>
          </cell>
          <cell r="BF26">
            <v>899265.41</v>
          </cell>
          <cell r="BG26">
            <v>899265.41</v>
          </cell>
          <cell r="BH26">
            <v>899265.41</v>
          </cell>
          <cell r="BI26">
            <v>899265.41</v>
          </cell>
          <cell r="BJ26">
            <v>899265.41</v>
          </cell>
          <cell r="BK26">
            <v>899265.41</v>
          </cell>
          <cell r="BL26">
            <v>899265.41</v>
          </cell>
          <cell r="BM26">
            <v>899265.41</v>
          </cell>
          <cell r="BN26">
            <v>899265.41</v>
          </cell>
          <cell r="BO26">
            <v>10175952.23</v>
          </cell>
          <cell r="BP26">
            <v>783647.3</v>
          </cell>
          <cell r="BQ26">
            <v>785390.63</v>
          </cell>
          <cell r="BR26">
            <v>802890.73</v>
          </cell>
          <cell r="BS26">
            <v>1538584.02</v>
          </cell>
          <cell r="BT26">
            <v>844472.7</v>
          </cell>
          <cell r="BU26">
            <v>802859.45</v>
          </cell>
          <cell r="BV26">
            <v>759362.85</v>
          </cell>
          <cell r="BW26">
            <v>715877.23</v>
          </cell>
          <cell r="BX26">
            <v>803788.46</v>
          </cell>
          <cell r="BY26">
            <v>803643.95</v>
          </cell>
          <cell r="BZ26">
            <v>824609.25</v>
          </cell>
          <cell r="CA26">
            <v>710825.66</v>
          </cell>
          <cell r="CB26">
            <v>19861555.369999997</v>
          </cell>
          <cell r="CC26">
            <v>2695387.44</v>
          </cell>
          <cell r="CD26">
            <v>2001429.98</v>
          </cell>
          <cell r="CE26">
            <v>1614137.74</v>
          </cell>
          <cell r="CF26">
            <v>1643789.21</v>
          </cell>
          <cell r="CG26">
            <v>1466524.62</v>
          </cell>
          <cell r="CH26">
            <v>2254177.96</v>
          </cell>
          <cell r="CI26">
            <v>2416656.6</v>
          </cell>
          <cell r="CJ26">
            <v>2270354.41</v>
          </cell>
          <cell r="CK26">
            <v>2300602.2999999998</v>
          </cell>
          <cell r="CL26">
            <v>2449302.36</v>
          </cell>
          <cell r="CM26">
            <v>1518682.89</v>
          </cell>
          <cell r="CN26">
            <v>-2769490.14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38885061.959999993</v>
          </cell>
          <cell r="DP26">
            <v>3240421.83</v>
          </cell>
          <cell r="DQ26">
            <v>3240421.83</v>
          </cell>
          <cell r="DR26">
            <v>3240421.83</v>
          </cell>
          <cell r="DS26">
            <v>3240421.83</v>
          </cell>
          <cell r="DT26">
            <v>3240421.83</v>
          </cell>
          <cell r="DU26">
            <v>3240421.83</v>
          </cell>
          <cell r="DV26">
            <v>3240421.83</v>
          </cell>
          <cell r="DW26">
            <v>3240421.83</v>
          </cell>
          <cell r="DX26">
            <v>3240421.83</v>
          </cell>
          <cell r="DY26">
            <v>3240421.83</v>
          </cell>
          <cell r="DZ26">
            <v>3240421.83</v>
          </cell>
          <cell r="EA26">
            <v>3240421.83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257584579.94</v>
          </cell>
          <cell r="C36">
            <v>36035538.140000001</v>
          </cell>
          <cell r="D36">
            <v>26067394.66</v>
          </cell>
          <cell r="E36">
            <v>26627711.73</v>
          </cell>
          <cell r="F36">
            <v>19503307.670000002</v>
          </cell>
          <cell r="G36">
            <v>20409986.409999996</v>
          </cell>
          <cell r="H36">
            <v>18341928.57</v>
          </cell>
          <cell r="I36">
            <v>19292788.27</v>
          </cell>
          <cell r="J36">
            <v>19429551.77</v>
          </cell>
          <cell r="K36">
            <v>18964687.98</v>
          </cell>
          <cell r="L36">
            <v>18103324.66</v>
          </cell>
          <cell r="M36">
            <v>17683670.390000001</v>
          </cell>
          <cell r="N36">
            <v>17124689.689999998</v>
          </cell>
          <cell r="O36">
            <v>20700011.789999999</v>
          </cell>
          <cell r="P36">
            <v>4009479</v>
          </cell>
          <cell r="Q36">
            <v>2217289</v>
          </cell>
          <cell r="R36">
            <v>2985245.71</v>
          </cell>
          <cell r="S36">
            <v>2251965.5299999998</v>
          </cell>
          <cell r="T36">
            <v>3306752.3</v>
          </cell>
          <cell r="U36">
            <v>1738139.16</v>
          </cell>
          <cell r="V36">
            <v>1296980.05</v>
          </cell>
          <cell r="W36">
            <v>1132574.81</v>
          </cell>
          <cell r="X36">
            <v>568051.29</v>
          </cell>
          <cell r="Y36">
            <v>518694.36</v>
          </cell>
          <cell r="Z36">
            <v>323567.76</v>
          </cell>
          <cell r="AA36">
            <v>351272.82</v>
          </cell>
          <cell r="AB36">
            <v>23811771.170000002</v>
          </cell>
          <cell r="AC36">
            <v>3503309.55</v>
          </cell>
          <cell r="AD36">
            <v>2200203.7400000002</v>
          </cell>
          <cell r="AE36">
            <v>4182937.8</v>
          </cell>
          <cell r="AF36">
            <v>1531568.74</v>
          </cell>
          <cell r="AG36">
            <v>1606547.67</v>
          </cell>
          <cell r="AH36">
            <v>1764058.78</v>
          </cell>
          <cell r="AI36">
            <v>1585237.24</v>
          </cell>
          <cell r="AJ36">
            <v>1684000.39</v>
          </cell>
          <cell r="AK36">
            <v>1643566.25</v>
          </cell>
          <cell r="AL36">
            <v>1346725.52</v>
          </cell>
          <cell r="AM36">
            <v>1438417.78</v>
          </cell>
          <cell r="AN36">
            <v>1325197.71</v>
          </cell>
          <cell r="AO36">
            <v>16190116.609999998</v>
          </cell>
          <cell r="AP36">
            <v>2013287.67</v>
          </cell>
          <cell r="AQ36">
            <v>1219319.3400000001</v>
          </cell>
          <cell r="AR36">
            <v>1115999.77</v>
          </cell>
          <cell r="AS36">
            <v>1421363.51</v>
          </cell>
          <cell r="AT36">
            <v>1415888.25</v>
          </cell>
          <cell r="AU36">
            <v>1325977.69</v>
          </cell>
          <cell r="AV36">
            <v>1359806.59</v>
          </cell>
          <cell r="AW36">
            <v>1756177.52</v>
          </cell>
          <cell r="AX36">
            <v>1372636.03</v>
          </cell>
          <cell r="AY36">
            <v>1128869.83</v>
          </cell>
          <cell r="AZ36">
            <v>1008911.59</v>
          </cell>
          <cell r="BA36">
            <v>1051878.82</v>
          </cell>
          <cell r="BB36">
            <v>32682901.000000004</v>
          </cell>
          <cell r="BC36">
            <v>7891182.6500000004</v>
          </cell>
          <cell r="BD36">
            <v>5799162.5499999998</v>
          </cell>
          <cell r="BE36">
            <v>4185831.98</v>
          </cell>
          <cell r="BF36">
            <v>1647327.11</v>
          </cell>
          <cell r="BG36">
            <v>1645181.18</v>
          </cell>
          <cell r="BH36">
            <v>1645181.18</v>
          </cell>
          <cell r="BI36">
            <v>1644826.67</v>
          </cell>
          <cell r="BJ36">
            <v>1644826.67</v>
          </cell>
          <cell r="BK36">
            <v>1644895.69</v>
          </cell>
          <cell r="BL36">
            <v>1644764.96</v>
          </cell>
          <cell r="BM36">
            <v>1644893.43</v>
          </cell>
          <cell r="BN36">
            <v>1644826.93</v>
          </cell>
          <cell r="BO36">
            <v>12055807</v>
          </cell>
          <cell r="BP36">
            <v>1627800</v>
          </cell>
          <cell r="BQ36">
            <v>1026261</v>
          </cell>
          <cell r="BR36">
            <v>673570</v>
          </cell>
          <cell r="BS36">
            <v>1037656</v>
          </cell>
          <cell r="BT36">
            <v>712863</v>
          </cell>
          <cell r="BU36">
            <v>747911</v>
          </cell>
          <cell r="BV36">
            <v>855957</v>
          </cell>
          <cell r="BW36">
            <v>883287</v>
          </cell>
          <cell r="BX36">
            <v>1422155</v>
          </cell>
          <cell r="BY36">
            <v>1288775</v>
          </cell>
          <cell r="BZ36">
            <v>1050806</v>
          </cell>
          <cell r="CA36">
            <v>728766</v>
          </cell>
          <cell r="CB36">
            <v>37679334.409999996</v>
          </cell>
          <cell r="CC36">
            <v>5900888.2699999996</v>
          </cell>
          <cell r="CD36">
            <v>3324753.56</v>
          </cell>
          <cell r="CE36">
            <v>2589585</v>
          </cell>
          <cell r="CF36">
            <v>2517826.21</v>
          </cell>
          <cell r="CG36">
            <v>2627153.44</v>
          </cell>
          <cell r="CH36">
            <v>1932030.18</v>
          </cell>
          <cell r="CI36">
            <v>3372149.79</v>
          </cell>
          <cell r="CJ36">
            <v>3150854.45</v>
          </cell>
          <cell r="CK36">
            <v>3135552.79</v>
          </cell>
          <cell r="CL36">
            <v>3079894.42</v>
          </cell>
          <cell r="CM36">
            <v>3121473.26</v>
          </cell>
          <cell r="CN36">
            <v>2927173.04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114464637.96000001</v>
          </cell>
          <cell r="DP36">
            <v>11089591</v>
          </cell>
          <cell r="DQ36">
            <v>10280405.470000001</v>
          </cell>
          <cell r="DR36">
            <v>10894541.470000001</v>
          </cell>
          <cell r="DS36">
            <v>9095600.5700000003</v>
          </cell>
          <cell r="DT36">
            <v>9095600.5700000003</v>
          </cell>
          <cell r="DU36">
            <v>9188630.5800000001</v>
          </cell>
          <cell r="DV36">
            <v>9177830.9299999997</v>
          </cell>
          <cell r="DW36">
            <v>9177830.9299999997</v>
          </cell>
          <cell r="DX36">
            <v>9177830.9299999997</v>
          </cell>
          <cell r="DY36">
            <v>9095600.5700000003</v>
          </cell>
          <cell r="DZ36">
            <v>9095600.5700000003</v>
          </cell>
          <cell r="EA36">
            <v>9095574.3699999992</v>
          </cell>
        </row>
        <row r="38">
          <cell r="A38" t="str">
            <v>Capital expenditures</v>
          </cell>
          <cell r="B38">
            <v>349450115.03999996</v>
          </cell>
          <cell r="C38">
            <v>44556501.469999999</v>
          </cell>
          <cell r="D38">
            <v>33989483.969999999</v>
          </cell>
          <cell r="E38">
            <v>34155699.57</v>
          </cell>
          <cell r="F38">
            <v>27845880.560000002</v>
          </cell>
          <cell r="G38">
            <v>27831076.209999997</v>
          </cell>
          <cell r="H38">
            <v>26541660.130000003</v>
          </cell>
          <cell r="I38">
            <v>27720918.280000001</v>
          </cell>
          <cell r="J38">
            <v>27600370.420000002</v>
          </cell>
          <cell r="K38">
            <v>27238800.170000002</v>
          </cell>
          <cell r="L38">
            <v>26596974.449999999</v>
          </cell>
          <cell r="M38">
            <v>25123630.850000001</v>
          </cell>
          <cell r="N38">
            <v>20249118.959999997</v>
          </cell>
          <cell r="O38">
            <v>20700011.789999999</v>
          </cell>
          <cell r="P38">
            <v>4009479</v>
          </cell>
          <cell r="Q38">
            <v>2217289</v>
          </cell>
          <cell r="R38">
            <v>2985245.71</v>
          </cell>
          <cell r="S38">
            <v>2251965.5299999998</v>
          </cell>
          <cell r="T38">
            <v>3306752.3</v>
          </cell>
          <cell r="U38">
            <v>1738139.16</v>
          </cell>
          <cell r="V38">
            <v>1296980.05</v>
          </cell>
          <cell r="W38">
            <v>1132574.81</v>
          </cell>
          <cell r="X38">
            <v>568051.29</v>
          </cell>
          <cell r="Y38">
            <v>518694.36</v>
          </cell>
          <cell r="Z38">
            <v>323567.76</v>
          </cell>
          <cell r="AA38">
            <v>351272.82</v>
          </cell>
          <cell r="AB38">
            <v>31536527.07</v>
          </cell>
          <cell r="AC38">
            <v>4163140.9</v>
          </cell>
          <cell r="AD38">
            <v>2851728.2</v>
          </cell>
          <cell r="AE38">
            <v>4816243.2799999993</v>
          </cell>
          <cell r="AF38">
            <v>2174919.15</v>
          </cell>
          <cell r="AG38">
            <v>2206179.8199999998</v>
          </cell>
          <cell r="AH38">
            <v>2387386.69</v>
          </cell>
          <cell r="AI38">
            <v>2275509.54</v>
          </cell>
          <cell r="AJ38">
            <v>2344209.84</v>
          </cell>
          <cell r="AK38">
            <v>2264308.0300000003</v>
          </cell>
          <cell r="AL38">
            <v>2044896.54</v>
          </cell>
          <cell r="AM38">
            <v>2047511.08</v>
          </cell>
          <cell r="AN38">
            <v>1960494</v>
          </cell>
          <cell r="AO38">
            <v>20617141.329999998</v>
          </cell>
          <cell r="AP38">
            <v>2255697.67</v>
          </cell>
          <cell r="AQ38">
            <v>1563376.34</v>
          </cell>
          <cell r="AR38">
            <v>1453966.42</v>
          </cell>
          <cell r="AS38">
            <v>1798525.52</v>
          </cell>
          <cell r="AT38">
            <v>1786661.34</v>
          </cell>
          <cell r="AU38">
            <v>1705656.69</v>
          </cell>
          <cell r="AV38">
            <v>1781957.61</v>
          </cell>
          <cell r="AW38">
            <v>2140867.84</v>
          </cell>
          <cell r="AX38">
            <v>1781928.44</v>
          </cell>
          <cell r="AY38">
            <v>1531715.05</v>
          </cell>
          <cell r="AZ38">
            <v>1356799.37</v>
          </cell>
          <cell r="BA38">
            <v>1459989.04</v>
          </cell>
          <cell r="BB38">
            <v>43474085.920000002</v>
          </cell>
          <cell r="BC38">
            <v>8790448.0600000005</v>
          </cell>
          <cell r="BD38">
            <v>6698427.96</v>
          </cell>
          <cell r="BE38">
            <v>5085097.3899999997</v>
          </cell>
          <cell r="BF38">
            <v>2546592.52</v>
          </cell>
          <cell r="BG38">
            <v>2544446.59</v>
          </cell>
          <cell r="BH38">
            <v>2544446.59</v>
          </cell>
          <cell r="BI38">
            <v>2544092.08</v>
          </cell>
          <cell r="BJ38">
            <v>2544092.08</v>
          </cell>
          <cell r="BK38">
            <v>2544161.1</v>
          </cell>
          <cell r="BL38">
            <v>2544030.37</v>
          </cell>
          <cell r="BM38">
            <v>2544158.84</v>
          </cell>
          <cell r="BN38">
            <v>2544092.34</v>
          </cell>
          <cell r="BO38">
            <v>22231759.23</v>
          </cell>
          <cell r="BP38">
            <v>2411447.2999999998</v>
          </cell>
          <cell r="BQ38">
            <v>1811651.63</v>
          </cell>
          <cell r="BR38">
            <v>1476460.73</v>
          </cell>
          <cell r="BS38">
            <v>2576240.02</v>
          </cell>
          <cell r="BT38">
            <v>1557335.7</v>
          </cell>
          <cell r="BU38">
            <v>1550770.45</v>
          </cell>
          <cell r="BV38">
            <v>1615319.85</v>
          </cell>
          <cell r="BW38">
            <v>1599164.23</v>
          </cell>
          <cell r="BX38">
            <v>2225943.46</v>
          </cell>
          <cell r="BY38">
            <v>2092418.95</v>
          </cell>
          <cell r="BZ38">
            <v>1875415.25</v>
          </cell>
          <cell r="CA38">
            <v>1439591.6600000001</v>
          </cell>
          <cell r="CB38">
            <v>57540889.779999994</v>
          </cell>
          <cell r="CC38">
            <v>8596275.709999999</v>
          </cell>
          <cell r="CD38">
            <v>5326183.54</v>
          </cell>
          <cell r="CE38">
            <v>4203722.74</v>
          </cell>
          <cell r="CF38">
            <v>4161615.42</v>
          </cell>
          <cell r="CG38">
            <v>4093678.06</v>
          </cell>
          <cell r="CH38">
            <v>4186208.1399999997</v>
          </cell>
          <cell r="CI38">
            <v>5788806.3900000006</v>
          </cell>
          <cell r="CJ38">
            <v>5421208.8600000003</v>
          </cell>
          <cell r="CK38">
            <v>5436155.0899999999</v>
          </cell>
          <cell r="CL38">
            <v>5529196.7799999993</v>
          </cell>
          <cell r="CM38">
            <v>4640156.1499999994</v>
          </cell>
          <cell r="CN38">
            <v>157682.89999999991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153349699.92000002</v>
          </cell>
          <cell r="DP38">
            <v>14330012.83</v>
          </cell>
          <cell r="DQ38">
            <v>13520827.300000001</v>
          </cell>
          <cell r="DR38">
            <v>14134963.300000001</v>
          </cell>
          <cell r="DS38">
            <v>12336022.4</v>
          </cell>
          <cell r="DT38">
            <v>12336022.4</v>
          </cell>
          <cell r="DU38">
            <v>12429052.41</v>
          </cell>
          <cell r="DV38">
            <v>12418252.76</v>
          </cell>
          <cell r="DW38">
            <v>12418252.76</v>
          </cell>
          <cell r="DX38">
            <v>12418252.76</v>
          </cell>
          <cell r="DY38">
            <v>12336022.4</v>
          </cell>
          <cell r="DZ38">
            <v>12336022.4</v>
          </cell>
          <cell r="EA38">
            <v>12335996.199999999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20771837</v>
          </cell>
          <cell r="C42">
            <v>5097762</v>
          </cell>
          <cell r="D42">
            <v>6188926</v>
          </cell>
          <cell r="E42">
            <v>9485149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1637943</v>
          </cell>
          <cell r="AC42">
            <v>493602</v>
          </cell>
          <cell r="AD42">
            <v>594943</v>
          </cell>
          <cell r="AE42">
            <v>549398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1705371</v>
          </cell>
          <cell r="AP42">
            <v>263840</v>
          </cell>
          <cell r="AQ42">
            <v>417900</v>
          </cell>
          <cell r="AR42">
            <v>1023631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2224795</v>
          </cell>
          <cell r="BC42">
            <v>813853</v>
          </cell>
          <cell r="BD42">
            <v>802715</v>
          </cell>
          <cell r="BE42">
            <v>608227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1475257</v>
          </cell>
          <cell r="BP42">
            <v>413312</v>
          </cell>
          <cell r="BQ42">
            <v>473436</v>
          </cell>
          <cell r="BR42">
            <v>588509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4357113</v>
          </cell>
          <cell r="CC42">
            <v>999116</v>
          </cell>
          <cell r="CD42">
            <v>1142671</v>
          </cell>
          <cell r="CE42">
            <v>2215326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9371358</v>
          </cell>
          <cell r="DP42">
            <v>2114039</v>
          </cell>
          <cell r="DQ42">
            <v>2757261</v>
          </cell>
          <cell r="DR42">
            <v>4500058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</row>
        <row r="43">
          <cell r="A43" t="str">
            <v xml:space="preserve">  Non-Growth</v>
          </cell>
          <cell r="B43">
            <v>63540549</v>
          </cell>
          <cell r="C43">
            <v>17953708</v>
          </cell>
          <cell r="D43">
            <v>23262510</v>
          </cell>
          <cell r="E43">
            <v>22324331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3281194</v>
          </cell>
          <cell r="P43">
            <v>1924609</v>
          </cell>
          <cell r="Q43">
            <v>1745580</v>
          </cell>
          <cell r="R43">
            <v>-388995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6400757</v>
          </cell>
          <cell r="AC43">
            <v>1528788</v>
          </cell>
          <cell r="AD43">
            <v>2100434</v>
          </cell>
          <cell r="AE43">
            <v>2771535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2632600</v>
          </cell>
          <cell r="AP43">
            <v>1034376</v>
          </cell>
          <cell r="AQ43">
            <v>1420353</v>
          </cell>
          <cell r="AR43">
            <v>177871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12669615</v>
          </cell>
          <cell r="BC43">
            <v>2758650</v>
          </cell>
          <cell r="BD43">
            <v>4324537</v>
          </cell>
          <cell r="BE43">
            <v>5586428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2460436</v>
          </cell>
          <cell r="BP43">
            <v>814738</v>
          </cell>
          <cell r="BQ43">
            <v>503959</v>
          </cell>
          <cell r="BR43">
            <v>1141739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7992922</v>
          </cell>
          <cell r="CC43">
            <v>2928858</v>
          </cell>
          <cell r="CD43">
            <v>2790743</v>
          </cell>
          <cell r="CE43">
            <v>2273321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28103025</v>
          </cell>
          <cell r="DP43">
            <v>6963689</v>
          </cell>
          <cell r="DQ43">
            <v>10376904</v>
          </cell>
          <cell r="DR43">
            <v>10762432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</row>
        <row r="44">
          <cell r="A44" t="str">
            <v>Capital expenditures</v>
          </cell>
          <cell r="B44">
            <v>84312386</v>
          </cell>
          <cell r="C44">
            <v>23051470</v>
          </cell>
          <cell r="D44">
            <v>29451436</v>
          </cell>
          <cell r="E44">
            <v>31809480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3281194</v>
          </cell>
          <cell r="P44">
            <v>1924609</v>
          </cell>
          <cell r="Q44">
            <v>1745580</v>
          </cell>
          <cell r="R44">
            <v>-388995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8038700</v>
          </cell>
          <cell r="AC44">
            <v>2022390</v>
          </cell>
          <cell r="AD44">
            <v>2695377</v>
          </cell>
          <cell r="AE44">
            <v>3320933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4337971</v>
          </cell>
          <cell r="AP44">
            <v>1298216</v>
          </cell>
          <cell r="AQ44">
            <v>1838253</v>
          </cell>
          <cell r="AR44">
            <v>1201502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14894410</v>
          </cell>
          <cell r="BC44">
            <v>3572503</v>
          </cell>
          <cell r="BD44">
            <v>5127252</v>
          </cell>
          <cell r="BE44">
            <v>6194655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3935693</v>
          </cell>
          <cell r="BP44">
            <v>1228050</v>
          </cell>
          <cell r="BQ44">
            <v>977395</v>
          </cell>
          <cell r="BR44">
            <v>1730248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12350035</v>
          </cell>
          <cell r="CC44">
            <v>3927974</v>
          </cell>
          <cell r="CD44">
            <v>3933414</v>
          </cell>
          <cell r="CE44">
            <v>4488647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37474383</v>
          </cell>
          <cell r="DP44">
            <v>9077728</v>
          </cell>
          <cell r="DQ44">
            <v>13134165</v>
          </cell>
          <cell r="DR44">
            <v>15262490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I"/>
      <sheetName val="Schedule II"/>
      <sheetName val="Schedule III"/>
      <sheetName val="Schedule IV"/>
      <sheetName val="Schedule V"/>
      <sheetName val="Schedule VI"/>
      <sheetName val="Schedule VII"/>
      <sheetName val="Schedule VIII"/>
      <sheetName val="Schedule IX"/>
      <sheetName val="Collections"/>
      <sheetName val="Depreciation Schedule"/>
      <sheetName val="AD"/>
      <sheetName val="Plant Page Input"/>
      <sheetName val="Rate Base"/>
      <sheetName val="ADI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3">
          <cell r="G13">
            <v>0.39355000000000001</v>
          </cell>
        </row>
        <row r="21">
          <cell r="G21">
            <v>1.6596669140077502</v>
          </cell>
        </row>
      </sheetData>
      <sheetData sheetId="6">
        <row r="12">
          <cell r="I12">
            <v>2.316E-2</v>
          </cell>
        </row>
        <row r="13">
          <cell r="I13">
            <v>3.0000000000000001E-5</v>
          </cell>
        </row>
        <row r="16">
          <cell r="I16">
            <v>4.8000000000000001E-4</v>
          </cell>
        </row>
        <row r="17">
          <cell r="I17">
            <v>8.2610000000000003E-2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vs New Sch No."/>
      <sheetName val="General Instructions"/>
      <sheetName val="Cover"/>
      <sheetName val="Table of Contents"/>
      <sheetName val="1"/>
      <sheetName val="2"/>
      <sheetName val="3"/>
      <sheetName val="4"/>
      <sheetName val="5"/>
      <sheetName val="6"/>
      <sheetName val="7 BS"/>
      <sheetName val="7 IS"/>
      <sheetName val="7CF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19 Detail"/>
      <sheetName val="20"/>
      <sheetName val="21"/>
      <sheetName val="22"/>
      <sheetName val="23"/>
      <sheetName val="24"/>
      <sheetName val="25"/>
      <sheetName val="25A1"/>
      <sheetName val="Jun 2011 Juris dth"/>
      <sheetName val="25A2"/>
      <sheetName val="HDD"/>
      <sheetName val="25A3"/>
      <sheetName val="25A4"/>
      <sheetName val="25A4(1)"/>
      <sheetName val="25A5"/>
      <sheetName val="Growth Jun2011"/>
      <sheetName val="Res Customers"/>
      <sheetName val="25A6"/>
      <sheetName val="25-A7Billing Determinants"/>
      <sheetName val="25B"/>
      <sheetName val="25C"/>
      <sheetName val="25-C attatch 1"/>
      <sheetName val="25C1"/>
      <sheetName val="25C2"/>
      <sheetName val="25D"/>
      <sheetName val="25E"/>
      <sheetName val="25F"/>
      <sheetName val="25F1"/>
      <sheetName val="25F Attach 1"/>
      <sheetName val="25F Attach 2"/>
      <sheetName val="25F Attach3"/>
      <sheetName val="25G"/>
      <sheetName val="25H"/>
      <sheetName val="25I"/>
      <sheetName val="25J"/>
      <sheetName val="25K"/>
      <sheetName val="25L"/>
      <sheetName val="25M"/>
      <sheetName val="25N"/>
      <sheetName val="25O"/>
      <sheetName val="25P"/>
      <sheetName val="25Q"/>
      <sheetName val="25R"/>
      <sheetName val="25S"/>
      <sheetName val="25T"/>
      <sheetName val="25U"/>
      <sheetName val="25V"/>
      <sheetName val="25W"/>
      <sheetName val="25X"/>
      <sheetName val="25Y"/>
      <sheetName val="26"/>
      <sheetName val="27"/>
      <sheetName val="28"/>
      <sheetName val="29"/>
      <sheetName val="29a1"/>
      <sheetName val="29a2"/>
      <sheetName val="29a3"/>
      <sheetName val="29a4"/>
      <sheetName val="29a5"/>
      <sheetName val="29a6"/>
      <sheetName val="29a7"/>
      <sheetName val="29-a8"/>
      <sheetName val="30"/>
      <sheetName val="30-A"/>
      <sheetName val="30-B"/>
      <sheetName val="31"/>
      <sheetName val="32"/>
      <sheetName val="33"/>
      <sheetName val="34-A"/>
      <sheetName val="34-B"/>
      <sheetName val="35"/>
      <sheetName val="35 attachments 1"/>
      <sheetName val="35 attachments2-10"/>
      <sheetName val="36"/>
      <sheetName val="37"/>
      <sheetName val="38"/>
      <sheetName val="39"/>
      <sheetName val="40-A "/>
      <sheetName val="40-B"/>
      <sheetName val="40-B1"/>
      <sheetName val="40-C"/>
      <sheetName val="40-D"/>
      <sheetName val="40-E"/>
      <sheetName val="41"/>
      <sheetName val="42"/>
      <sheetName val="42A"/>
      <sheetName val="43"/>
      <sheetName val="49A Rev Conver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6">
          <cell r="B6">
            <v>82322</v>
          </cell>
        </row>
        <row r="7">
          <cell r="C7">
            <v>0</v>
          </cell>
          <cell r="D7">
            <v>0.55687614513754635</v>
          </cell>
          <cell r="E7">
            <v>0</v>
          </cell>
          <cell r="F7">
            <v>6.7382805240649005E-2</v>
          </cell>
          <cell r="G7">
            <v>0</v>
          </cell>
          <cell r="H7">
            <v>0.25896789056347269</v>
          </cell>
          <cell r="I7">
            <v>0</v>
          </cell>
          <cell r="J7">
            <v>0.11677315905833191</v>
          </cell>
        </row>
        <row r="9">
          <cell r="B9">
            <v>83255</v>
          </cell>
        </row>
        <row r="10">
          <cell r="C10">
            <v>0</v>
          </cell>
          <cell r="D10">
            <v>0.55063549360414499</v>
          </cell>
          <cell r="E10">
            <v>0</v>
          </cell>
          <cell r="F10">
            <v>6.6627677533129634E-2</v>
          </cell>
          <cell r="G10">
            <v>0</v>
          </cell>
          <cell r="H10">
            <v>0.25606575805616721</v>
          </cell>
          <cell r="I10">
            <v>0</v>
          </cell>
          <cell r="J10">
            <v>0.12667107080655818</v>
          </cell>
        </row>
        <row r="12">
          <cell r="B12">
            <v>6572827</v>
          </cell>
        </row>
        <row r="13">
          <cell r="C13">
            <v>0</v>
          </cell>
          <cell r="D13">
            <v>0.57616669357036177</v>
          </cell>
          <cell r="E13">
            <v>0</v>
          </cell>
          <cell r="F13">
            <v>6.4632919746708678E-2</v>
          </cell>
          <cell r="G13">
            <v>0</v>
          </cell>
          <cell r="H13">
            <v>0.35920038668292958</v>
          </cell>
          <cell r="I13">
            <v>0</v>
          </cell>
          <cell r="J13">
            <v>0</v>
          </cell>
        </row>
        <row r="15">
          <cell r="B15">
            <v>8738940</v>
          </cell>
        </row>
        <row r="16">
          <cell r="C16">
            <v>0</v>
          </cell>
          <cell r="D16">
            <v>0.43335278649355641</v>
          </cell>
          <cell r="E16">
            <v>0</v>
          </cell>
          <cell r="F16">
            <v>4.8612417524322174E-2</v>
          </cell>
          <cell r="G16">
            <v>0</v>
          </cell>
          <cell r="H16">
            <v>0.27016571803902989</v>
          </cell>
          <cell r="I16">
            <v>0</v>
          </cell>
          <cell r="J16">
            <v>0.24786907794309149</v>
          </cell>
        </row>
        <row r="18">
          <cell r="B18">
            <v>57929</v>
          </cell>
        </row>
        <row r="19">
          <cell r="C19">
            <v>0.91149510607813011</v>
          </cell>
          <cell r="D19">
            <v>0</v>
          </cell>
          <cell r="E19">
            <v>6.1143813979181415E-2</v>
          </cell>
          <cell r="F19">
            <v>0</v>
          </cell>
          <cell r="G19">
            <v>2.6687842013499285E-2</v>
          </cell>
          <cell r="H19">
            <v>0</v>
          </cell>
          <cell r="I19">
            <v>4.8335030813582145E-4</v>
          </cell>
          <cell r="J19">
            <v>0</v>
          </cell>
        </row>
        <row r="21">
          <cell r="B21">
            <v>2875079</v>
          </cell>
        </row>
        <row r="22">
          <cell r="C22">
            <v>0.91149510607813011</v>
          </cell>
          <cell r="D22">
            <v>0</v>
          </cell>
          <cell r="E22">
            <v>6.1143813979181415E-2</v>
          </cell>
          <cell r="F22">
            <v>0</v>
          </cell>
          <cell r="G22">
            <v>2.6687842013499285E-2</v>
          </cell>
          <cell r="H22">
            <v>0</v>
          </cell>
          <cell r="I22">
            <v>4.8335030813582145E-4</v>
          </cell>
          <cell r="J22">
            <v>0</v>
          </cell>
        </row>
        <row r="24">
          <cell r="B24">
            <v>101754294.91588615</v>
          </cell>
        </row>
        <row r="25">
          <cell r="C25">
            <v>0.48754929599554664</v>
          </cell>
          <cell r="D25">
            <v>0.25493419494258246</v>
          </cell>
          <cell r="E25">
            <v>3.2705193106629032E-2</v>
          </cell>
          <cell r="F25">
            <v>3.0847400013435184E-2</v>
          </cell>
          <cell r="G25">
            <v>1.4275050407354174E-2</v>
          </cell>
          <cell r="H25">
            <v>0.11855377766356121</v>
          </cell>
          <cell r="I25">
            <v>7.6771124209195013E-3</v>
          </cell>
          <cell r="J25">
            <v>5.3457975449971974E-2</v>
          </cell>
        </row>
        <row r="27">
          <cell r="B27">
            <v>123546590.35588616</v>
          </cell>
        </row>
        <row r="28">
          <cell r="C28">
            <v>0.44551546626200583</v>
          </cell>
          <cell r="D28">
            <v>0.2809659759914967</v>
          </cell>
          <cell r="E28">
            <v>2.9885530500739076E-2</v>
          </cell>
          <cell r="F28">
            <v>3.3997282528249941E-2</v>
          </cell>
          <cell r="G28">
            <v>1.3044333753287016E-2</v>
          </cell>
          <cell r="H28">
            <v>0.13065951335490134</v>
          </cell>
          <cell r="I28">
            <v>7.0152338396218912E-3</v>
          </cell>
          <cell r="J28">
            <v>5.8916663769698265E-2</v>
          </cell>
        </row>
        <row r="30">
          <cell r="B30">
            <v>61298385.899999999</v>
          </cell>
        </row>
        <row r="31">
          <cell r="C31">
            <v>0.1325616317737332</v>
          </cell>
          <cell r="D31">
            <v>0.48939429936930856</v>
          </cell>
          <cell r="E31">
            <v>1.404600671548841E-2</v>
          </cell>
          <cell r="F31">
            <v>6.0763994113587252E-2</v>
          </cell>
          <cell r="G31">
            <v>2.6623934481119837E-2</v>
          </cell>
          <cell r="H31">
            <v>0.2376061608499874</v>
          </cell>
          <cell r="I31">
            <v>2.1020984175702416E-3</v>
          </cell>
          <cell r="J31">
            <v>3.6901874279205119E-2</v>
          </cell>
        </row>
        <row r="33">
          <cell r="B33">
            <v>88385.89</v>
          </cell>
        </row>
        <row r="34">
          <cell r="C34">
            <v>0</v>
          </cell>
          <cell r="D34">
            <v>0.60356319681095383</v>
          </cell>
          <cell r="E34">
            <v>0</v>
          </cell>
          <cell r="F34">
            <v>6.7706190060750876E-2</v>
          </cell>
          <cell r="G34">
            <v>0</v>
          </cell>
          <cell r="H34">
            <v>0.31776842631371088</v>
          </cell>
          <cell r="I34">
            <v>0</v>
          </cell>
          <cell r="J34">
            <v>1.0962186814584416E-2</v>
          </cell>
        </row>
        <row r="36">
          <cell r="B36">
            <v>82322</v>
          </cell>
        </row>
        <row r="37">
          <cell r="C37">
            <v>0</v>
          </cell>
          <cell r="D37">
            <v>0.55687614513754635</v>
          </cell>
          <cell r="E37">
            <v>0</v>
          </cell>
          <cell r="F37">
            <v>6.7382805240649005E-2</v>
          </cell>
          <cell r="G37">
            <v>0</v>
          </cell>
          <cell r="H37">
            <v>0.25896789056347269</v>
          </cell>
          <cell r="I37">
            <v>0</v>
          </cell>
          <cell r="J37">
            <v>0.11677315905833191</v>
          </cell>
        </row>
        <row r="39">
          <cell r="B39">
            <v>6274478</v>
          </cell>
        </row>
        <row r="42">
          <cell r="B42">
            <v>79411669.060000002</v>
          </cell>
        </row>
        <row r="43">
          <cell r="C43">
            <v>0.44544999542906211</v>
          </cell>
          <cell r="D43">
            <v>0.28092468656863695</v>
          </cell>
          <cell r="E43">
            <v>2.9881138665386497E-2</v>
          </cell>
          <cell r="F43">
            <v>3.3992286449385109E-2</v>
          </cell>
          <cell r="G43">
            <v>1.3042416820069883E-2</v>
          </cell>
          <cell r="H43">
            <v>0.13064031225455985</v>
          </cell>
          <cell r="I43">
            <v>7.0142029142386958E-3</v>
          </cell>
          <cell r="J43">
            <v>5.8908005657144658E-2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ss Allocation"/>
      <sheetName val="Liability Detail"/>
      <sheetName val="OU Collection"/>
      <sheetName val="ROR"/>
      <sheetName val="A216810396964DCDB399904ED81BA8E"/>
      <sheetName val="Net Assets"/>
      <sheetName val="Error Checks"/>
      <sheetName val="Data"/>
      <sheetName val="Input"/>
      <sheetName val="Revenue Report"/>
      <sheetName val="BS Recon"/>
      <sheetName val="Startup"/>
      <sheetName val="Ver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4">
          <cell r="BK74" t="str">
            <v>NO</v>
          </cell>
        </row>
      </sheetData>
      <sheetData sheetId="8">
        <row r="4">
          <cell r="K4">
            <v>41609</v>
          </cell>
        </row>
      </sheetData>
      <sheetData sheetId="9"/>
      <sheetData sheetId="10"/>
      <sheetData sheetId="11">
        <row r="5">
          <cell r="N5">
            <v>41244</v>
          </cell>
        </row>
        <row r="8">
          <cell r="N8">
            <v>0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Revenue Report"/>
      <sheetName val="Input - Rev Report"/>
      <sheetName val="Data- Rev Report"/>
      <sheetName val="Startup"/>
      <sheetName val="Adjt Input"/>
      <sheetName val="Data Updates"/>
      <sheetName val="VersionHist"/>
    </sheetNames>
    <sheetDataSet>
      <sheetData sheetId="0" refreshError="1"/>
      <sheetData sheetId="1">
        <row r="38">
          <cell r="K38">
            <v>122206198.18000001</v>
          </cell>
        </row>
        <row r="39">
          <cell r="K39">
            <v>139430871.61000001</v>
          </cell>
        </row>
        <row r="40">
          <cell r="K40">
            <v>0.87649999999999995</v>
          </cell>
        </row>
        <row r="60">
          <cell r="K60">
            <v>555232.65</v>
          </cell>
        </row>
        <row r="61">
          <cell r="K61">
            <v>240996.76</v>
          </cell>
        </row>
        <row r="63">
          <cell r="K63">
            <v>306794.60000000003</v>
          </cell>
        </row>
        <row r="64">
          <cell r="K64">
            <v>3736658.66</v>
          </cell>
        </row>
        <row r="67">
          <cell r="K67">
            <v>7441.29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oplesoft"/>
      <sheetName val="Unbill Revs"/>
      <sheetName val="VA UNBILL"/>
      <sheetName val="WV UNBILL"/>
      <sheetName val="VA REV"/>
      <sheetName val="WV REV"/>
      <sheetName val="A"/>
      <sheetName val="B"/>
      <sheetName val="C"/>
      <sheetName val="D"/>
      <sheetName val="E"/>
      <sheetName val="F"/>
      <sheetName val="H"/>
      <sheetName val="I"/>
      <sheetName val="J"/>
    </sheetNames>
    <sheetDataSet>
      <sheetData sheetId="0" refreshError="1"/>
      <sheetData sheetId="1" refreshError="1"/>
      <sheetData sheetId="2" refreshError="1">
        <row r="3">
          <cell r="A3" t="str">
            <v>SHENANDOAH GAS COMPANY</v>
          </cell>
        </row>
        <row r="5">
          <cell r="A5" t="str">
            <v>MONTH</v>
          </cell>
          <cell r="C5">
            <v>2</v>
          </cell>
          <cell r="E5" t="str">
            <v>YEAR</v>
          </cell>
          <cell r="G5">
            <v>1999</v>
          </cell>
          <cell r="J5" t="str">
            <v>Source Co.                04</v>
          </cell>
          <cell r="L5" t="str">
            <v>04</v>
          </cell>
          <cell r="Q5" t="str">
            <v xml:space="preserve"> </v>
          </cell>
        </row>
        <row r="6">
          <cell r="L6" t="str">
            <v xml:space="preserve"> </v>
          </cell>
        </row>
        <row r="7">
          <cell r="C7" t="str">
            <v>EXP</v>
          </cell>
          <cell r="J7" t="str">
            <v>REQ'N</v>
          </cell>
          <cell r="L7" t="str">
            <v>RIDER</v>
          </cell>
          <cell r="M7" t="str">
            <v xml:space="preserve"> </v>
          </cell>
          <cell r="N7" t="str">
            <v>AMOUNT</v>
          </cell>
          <cell r="P7" t="str">
            <v>SPC</v>
          </cell>
          <cell r="Q7" t="str">
            <v>CNT</v>
          </cell>
          <cell r="R7" t="str">
            <v>ITM</v>
          </cell>
          <cell r="S7" t="str">
            <v>QUANTITY</v>
          </cell>
          <cell r="T7" t="str">
            <v>UNIT</v>
          </cell>
          <cell r="U7" t="str">
            <v xml:space="preserve"> </v>
          </cell>
          <cell r="V7" t="str">
            <v xml:space="preserve"> </v>
          </cell>
          <cell r="W7" t="str">
            <v>CNTR</v>
          </cell>
        </row>
        <row r="8">
          <cell r="A8" t="str">
            <v>FOLIO</v>
          </cell>
          <cell r="C8" t="str">
            <v>CL</v>
          </cell>
          <cell r="E8" t="str">
            <v>AREA</v>
          </cell>
          <cell r="G8" t="str">
            <v>TER</v>
          </cell>
          <cell r="I8" t="str">
            <v>Account</v>
          </cell>
          <cell r="J8" t="str">
            <v>REF 1</v>
          </cell>
          <cell r="L8" t="str">
            <v>REF 2</v>
          </cell>
          <cell r="N8" t="str">
            <v>DEBIT (CREDIT)</v>
          </cell>
          <cell r="P8" t="str">
            <v>CDE</v>
          </cell>
          <cell r="Q8" t="str">
            <v>CDE</v>
          </cell>
          <cell r="R8" t="str">
            <v>CDE</v>
          </cell>
          <cell r="S8" t="str">
            <v>DR/CR</v>
          </cell>
          <cell r="T8" t="str">
            <v>MEAS</v>
          </cell>
          <cell r="V8" t="str">
            <v>DESCRIPTION</v>
          </cell>
          <cell r="W8" t="str">
            <v>HOURS</v>
          </cell>
        </row>
        <row r="10">
          <cell r="A10">
            <v>3</v>
          </cell>
          <cell r="C10">
            <v>53</v>
          </cell>
          <cell r="E10" t="str">
            <v xml:space="preserve"> </v>
          </cell>
          <cell r="G10" t="str">
            <v>04</v>
          </cell>
          <cell r="I10">
            <v>173000</v>
          </cell>
          <cell r="J10">
            <v>90002</v>
          </cell>
          <cell r="N10">
            <v>480216</v>
          </cell>
        </row>
        <row r="11">
          <cell r="A11">
            <v>3</v>
          </cell>
          <cell r="C11">
            <v>53</v>
          </cell>
          <cell r="G11" t="str">
            <v>04</v>
          </cell>
          <cell r="I11">
            <v>486301</v>
          </cell>
          <cell r="J11">
            <v>90002</v>
          </cell>
          <cell r="N11">
            <v>-480216</v>
          </cell>
        </row>
        <row r="17">
          <cell r="G17" t="str">
            <v>FOLIO  NO.        3</v>
          </cell>
          <cell r="J17" t="str">
            <v>TOTAL DEBITS</v>
          </cell>
          <cell r="N17">
            <v>480216</v>
          </cell>
        </row>
        <row r="18">
          <cell r="J18" t="str">
            <v>TOTAL CREDITS</v>
          </cell>
          <cell r="N18">
            <v>480216</v>
          </cell>
          <cell r="O18" t="str">
            <v xml:space="preserve">  </v>
          </cell>
          <cell r="R18" t="str">
            <v xml:space="preserve"> </v>
          </cell>
          <cell r="V18" t="str">
            <v xml:space="preserve"> </v>
          </cell>
        </row>
        <row r="20">
          <cell r="A20" t="str">
            <v>TO RECORD VIRGINIA UNBILLED REVENUES FOR THE CURRENT MONTH.</v>
          </cell>
        </row>
        <row r="22">
          <cell r="J22" t="str">
            <v xml:space="preserve"> </v>
          </cell>
        </row>
      </sheetData>
      <sheetData sheetId="3" refreshError="1"/>
      <sheetData sheetId="4" refreshError="1">
        <row r="3">
          <cell r="A3" t="str">
            <v>SHENANDOAH GAS COMPANY</v>
          </cell>
        </row>
        <row r="5">
          <cell r="A5" t="str">
            <v>MONTH</v>
          </cell>
          <cell r="C5">
            <v>3</v>
          </cell>
          <cell r="E5" t="str">
            <v>YEAR</v>
          </cell>
          <cell r="G5">
            <v>1999</v>
          </cell>
          <cell r="J5" t="str">
            <v>Source Co.</v>
          </cell>
          <cell r="L5" t="str">
            <v>04</v>
          </cell>
          <cell r="Q5" t="str">
            <v xml:space="preserve"> </v>
          </cell>
        </row>
        <row r="6">
          <cell r="L6" t="str">
            <v xml:space="preserve"> </v>
          </cell>
        </row>
        <row r="7">
          <cell r="C7" t="str">
            <v>EXP</v>
          </cell>
          <cell r="J7" t="str">
            <v>REQ'N</v>
          </cell>
          <cell r="L7" t="str">
            <v>RIDER</v>
          </cell>
          <cell r="M7" t="str">
            <v xml:space="preserve"> </v>
          </cell>
          <cell r="N7" t="str">
            <v>AMOUNT</v>
          </cell>
          <cell r="P7" t="str">
            <v>SPC</v>
          </cell>
          <cell r="Q7" t="str">
            <v>CNT</v>
          </cell>
          <cell r="R7" t="str">
            <v>ITM</v>
          </cell>
          <cell r="S7" t="str">
            <v>QUANTITY</v>
          </cell>
          <cell r="T7" t="str">
            <v>UNIT</v>
          </cell>
          <cell r="U7" t="str">
            <v xml:space="preserve"> </v>
          </cell>
          <cell r="V7" t="str">
            <v xml:space="preserve"> </v>
          </cell>
          <cell r="W7" t="str">
            <v>CNTR</v>
          </cell>
        </row>
        <row r="8">
          <cell r="A8" t="str">
            <v>FOLIO</v>
          </cell>
          <cell r="C8" t="str">
            <v>CL</v>
          </cell>
          <cell r="E8" t="str">
            <v>AREA</v>
          </cell>
          <cell r="G8" t="str">
            <v>TER</v>
          </cell>
          <cell r="I8" t="str">
            <v>Account</v>
          </cell>
          <cell r="J8" t="str">
            <v>REF 1</v>
          </cell>
          <cell r="L8" t="str">
            <v>REF 2</v>
          </cell>
          <cell r="N8" t="str">
            <v>DEBIT (CREDIT)</v>
          </cell>
          <cell r="P8" t="str">
            <v>CDE</v>
          </cell>
          <cell r="Q8" t="str">
            <v>CDE</v>
          </cell>
          <cell r="R8" t="str">
            <v>CDE</v>
          </cell>
          <cell r="S8" t="str">
            <v>DR/CR</v>
          </cell>
          <cell r="T8" t="str">
            <v>MEAS</v>
          </cell>
          <cell r="V8" t="str">
            <v>DESCRIPTION</v>
          </cell>
          <cell r="W8" t="str">
            <v>HOURS</v>
          </cell>
        </row>
        <row r="10">
          <cell r="A10">
            <v>1</v>
          </cell>
          <cell r="C10">
            <v>53</v>
          </cell>
          <cell r="E10" t="str">
            <v xml:space="preserve"> </v>
          </cell>
          <cell r="G10" t="str">
            <v>04</v>
          </cell>
          <cell r="I10" t="str">
            <v>486301</v>
          </cell>
          <cell r="J10">
            <v>90003</v>
          </cell>
          <cell r="N10">
            <v>480216</v>
          </cell>
        </row>
        <row r="11">
          <cell r="A11">
            <v>1</v>
          </cell>
          <cell r="C11">
            <v>53</v>
          </cell>
          <cell r="G11" t="str">
            <v>04</v>
          </cell>
          <cell r="I11" t="str">
            <v>173000</v>
          </cell>
          <cell r="J11">
            <v>90003</v>
          </cell>
          <cell r="N11">
            <v>-480216</v>
          </cell>
        </row>
        <row r="17">
          <cell r="G17" t="str">
            <v>FOLIO  NO.        1</v>
          </cell>
          <cell r="J17" t="str">
            <v>TOTAL DEBITS</v>
          </cell>
          <cell r="N17">
            <v>480216</v>
          </cell>
        </row>
        <row r="18">
          <cell r="J18" t="str">
            <v>TOTAL CREDITS</v>
          </cell>
          <cell r="N18">
            <v>480216</v>
          </cell>
          <cell r="O18" t="str">
            <v xml:space="preserve">  </v>
          </cell>
          <cell r="R18" t="str">
            <v xml:space="preserve"> </v>
          </cell>
          <cell r="V18" t="str">
            <v xml:space="preserve"> </v>
          </cell>
        </row>
        <row r="20">
          <cell r="A20" t="str">
            <v>TO REVERSE PRIOR MONTH ALLOCATION OF UNBILLED REVENUES - VIRGINIA</v>
          </cell>
        </row>
        <row r="22">
          <cell r="J22" t="str">
            <v xml:space="preserve"> </v>
          </cell>
        </row>
        <row r="25">
          <cell r="D2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Summary Factors"/>
      <sheetName val="Allocations"/>
      <sheetName val="O&amp;M - AE "/>
      <sheetName val="Aviation - AF"/>
      <sheetName val="Fixed Assets - AD"/>
      <sheetName val="Capitalization - AO"/>
      <sheetName val="Headcount - B"/>
      <sheetName val="Risk Mgt - F"/>
      <sheetName val="Tax - I"/>
      <sheetName val="# Of Cust - L"/>
      <sheetName val="EID'S - M"/>
      <sheetName val="Mainframe Usage - M"/>
      <sheetName val="Telecom - O"/>
      <sheetName val="Sq. footage - P"/>
      <sheetName val="Cust Pymt - R"/>
      <sheetName val="AP Invoices - S"/>
      <sheetName val="AP-PCards - S-3"/>
      <sheetName val="Fleet - T"/>
      <sheetName val="Purchases - U"/>
      <sheetName val="Gas Flow - X-7"/>
      <sheetName val="Gas Vol - X-3B"/>
      <sheetName val="Pipe Miles - Z"/>
      <sheetName val="Segment"/>
    </sheetNames>
    <sheetDataSet>
      <sheetData sheetId="0" refreshError="1"/>
      <sheetData sheetId="1">
        <row r="5">
          <cell r="D5" t="str">
            <v>B</v>
          </cell>
          <cell r="E5" t="str">
            <v>B-2</v>
          </cell>
          <cell r="F5" t="str">
            <v>B-2A</v>
          </cell>
          <cell r="G5" t="str">
            <v>B-2B</v>
          </cell>
          <cell r="H5" t="str">
            <v>B-2C</v>
          </cell>
          <cell r="I5" t="str">
            <v>B-2D</v>
          </cell>
          <cell r="J5" t="str">
            <v>B-2J</v>
          </cell>
          <cell r="K5" t="str">
            <v>B-3</v>
          </cell>
          <cell r="L5" t="str">
            <v>B-3A</v>
          </cell>
          <cell r="M5" t="str">
            <v>B-3B</v>
          </cell>
          <cell r="N5" t="str">
            <v>B-6</v>
          </cell>
          <cell r="O5" t="str">
            <v>B-9H</v>
          </cell>
          <cell r="P5" t="str">
            <v>B-9J</v>
          </cell>
          <cell r="Q5" t="str">
            <v>B-9K</v>
          </cell>
          <cell r="R5" t="str">
            <v>F</v>
          </cell>
          <cell r="S5" t="str">
            <v>I-1</v>
          </cell>
          <cell r="T5" t="str">
            <v>I-1C</v>
          </cell>
          <cell r="U5" t="str">
            <v>I-2</v>
          </cell>
          <cell r="V5" t="str">
            <v>I-6</v>
          </cell>
          <cell r="W5" t="str">
            <v>I-7</v>
          </cell>
          <cell r="X5" t="str">
            <v>L-3C</v>
          </cell>
          <cell r="Y5" t="str">
            <v>M-1</v>
          </cell>
          <cell r="Z5" t="str">
            <v>M-1D</v>
          </cell>
          <cell r="AA5" t="str">
            <v>M-1J</v>
          </cell>
          <cell r="AB5" t="str">
            <v>M-2</v>
          </cell>
          <cell r="AC5" t="str">
            <v>M-2A</v>
          </cell>
          <cell r="AD5" t="str">
            <v>M-2H</v>
          </cell>
          <cell r="AE5" t="str">
            <v>M-2P</v>
          </cell>
          <cell r="AF5" t="str">
            <v>M-3</v>
          </cell>
          <cell r="AG5" t="str">
            <v>M-3G</v>
          </cell>
          <cell r="AH5" t="str">
            <v>M-3J</v>
          </cell>
          <cell r="AI5" t="str">
            <v>M-4</v>
          </cell>
          <cell r="AJ5" t="str">
            <v>M-6</v>
          </cell>
          <cell r="AK5" t="str">
            <v>M-8</v>
          </cell>
          <cell r="AL5" t="str">
            <v>O</v>
          </cell>
          <cell r="AM5" t="str">
            <v>P</v>
          </cell>
          <cell r="AN5" t="str">
            <v>R-1</v>
          </cell>
          <cell r="AO5" t="str">
            <v>S</v>
          </cell>
          <cell r="AP5" t="str">
            <v>S-3</v>
          </cell>
          <cell r="AQ5" t="str">
            <v>T</v>
          </cell>
          <cell r="AR5" t="str">
            <v>U-1</v>
          </cell>
          <cell r="AS5" t="str">
            <v>U-2A</v>
          </cell>
          <cell r="AT5" t="str">
            <v>U-2B</v>
          </cell>
          <cell r="AU5" t="str">
            <v>U-2C</v>
          </cell>
          <cell r="AV5" t="str">
            <v>U-3E</v>
          </cell>
          <cell r="AW5" t="str">
            <v>U-5</v>
          </cell>
          <cell r="AX5" t="str">
            <v>X-3B</v>
          </cell>
          <cell r="AY5" t="str">
            <v>X-7</v>
          </cell>
          <cell r="AZ5" t="str">
            <v>Z-2</v>
          </cell>
          <cell r="BA5" t="str">
            <v>Z-2A</v>
          </cell>
          <cell r="BB5" t="str">
            <v>AD-1</v>
          </cell>
          <cell r="BC5" t="str">
            <v>AE-1</v>
          </cell>
          <cell r="BD5" t="str">
            <v>AE-1A</v>
          </cell>
          <cell r="BE5" t="str">
            <v>AE-1B</v>
          </cell>
          <cell r="BF5" t="str">
            <v>AE-1C</v>
          </cell>
          <cell r="BG5" t="str">
            <v>AE-1D</v>
          </cell>
          <cell r="BH5" t="str">
            <v>AE-1J</v>
          </cell>
          <cell r="BI5" t="str">
            <v>AE-2</v>
          </cell>
          <cell r="BJ5" t="str">
            <v>AE-2A</v>
          </cell>
          <cell r="BK5" t="str">
            <v>AE-2B</v>
          </cell>
          <cell r="BL5" t="str">
            <v>AE-2C</v>
          </cell>
          <cell r="BM5" t="str">
            <v>AE-2E</v>
          </cell>
          <cell r="BN5" t="str">
            <v>AE-2F</v>
          </cell>
          <cell r="BO5" t="str">
            <v>AE-2H</v>
          </cell>
          <cell r="BP5" t="str">
            <v>AE-2J</v>
          </cell>
          <cell r="BQ5" t="str">
            <v>AE-2L</v>
          </cell>
          <cell r="BR5" t="str">
            <v>AE-2M</v>
          </cell>
          <cell r="BS5" t="str">
            <v>AE-2N</v>
          </cell>
          <cell r="BT5" t="str">
            <v>AE-3</v>
          </cell>
          <cell r="BU5" t="str">
            <v>AE-3A</v>
          </cell>
          <cell r="BV5" t="str">
            <v>AE-3B</v>
          </cell>
          <cell r="BW5" t="str">
            <v>AE-3C</v>
          </cell>
          <cell r="BX5" t="str">
            <v>AE-3D</v>
          </cell>
          <cell r="BY5" t="str">
            <v>AE-3F</v>
          </cell>
          <cell r="BZ5" t="str">
            <v>AE-4</v>
          </cell>
          <cell r="CA5" t="str">
            <v>AE-5</v>
          </cell>
          <cell r="CB5" t="str">
            <v>AE-6</v>
          </cell>
          <cell r="CC5" t="str">
            <v>AE-6A</v>
          </cell>
          <cell r="CD5" t="str">
            <v>AE-7</v>
          </cell>
          <cell r="CE5" t="str">
            <v>AE-7A</v>
          </cell>
          <cell r="CF5" t="str">
            <v>AE-7C</v>
          </cell>
          <cell r="CG5" t="str">
            <v>AE-7E</v>
          </cell>
          <cell r="CH5" t="str">
            <v>AE-7G</v>
          </cell>
          <cell r="CI5" t="str">
            <v>AE-9E</v>
          </cell>
          <cell r="CJ5" t="str">
            <v>AE-9F</v>
          </cell>
          <cell r="CK5" t="str">
            <v>AE-9G</v>
          </cell>
          <cell r="CL5" t="str">
            <v>AE-9H</v>
          </cell>
          <cell r="CM5" t="str">
            <v>AE-9I</v>
          </cell>
          <cell r="CN5" t="str">
            <v>AE-10</v>
          </cell>
          <cell r="CO5" t="str">
            <v>AE-10A</v>
          </cell>
          <cell r="CP5" t="str">
            <v>AE-10B</v>
          </cell>
          <cell r="CQ5" t="str">
            <v>AE-10C</v>
          </cell>
          <cell r="CR5" t="str">
            <v>AF-1</v>
          </cell>
          <cell r="CS5" t="str">
            <v>AO-1</v>
          </cell>
          <cell r="CT5" t="str">
            <v>AO-2</v>
          </cell>
          <cell r="CU5" t="str">
            <v>AO-2A</v>
          </cell>
          <cell r="CV5" t="str">
            <v>AO-2C</v>
          </cell>
          <cell r="CW5" t="str">
            <v>AO-2F</v>
          </cell>
          <cell r="CX5" t="str">
            <v>AO-2J</v>
          </cell>
          <cell r="CY5" t="str">
            <v>AO-3</v>
          </cell>
          <cell r="CZ5" t="str">
            <v>AO-3B</v>
          </cell>
          <cell r="DA5" t="str">
            <v>AO-6</v>
          </cell>
          <cell r="DB5" t="str">
            <v>AO-7</v>
          </cell>
          <cell r="DC5" t="str">
            <v>AO-9L</v>
          </cell>
        </row>
        <row r="6">
          <cell r="A6" t="str">
            <v>CLRVENT</v>
          </cell>
          <cell r="B6">
            <v>8165</v>
          </cell>
          <cell r="C6" t="str">
            <v>GENERATION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</row>
        <row r="7">
          <cell r="A7" t="str">
            <v>CNG</v>
          </cell>
          <cell r="B7">
            <v>7100</v>
          </cell>
          <cell r="C7" t="str">
            <v>CORP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</row>
        <row r="8">
          <cell r="A8" t="str">
            <v>CNGC</v>
          </cell>
          <cell r="B8">
            <v>7104</v>
          </cell>
          <cell r="C8" t="str">
            <v>CORP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1E-4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1E-3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3.5999999999999999E-3</v>
          </cell>
          <cell r="DC8">
            <v>1.8E-3</v>
          </cell>
        </row>
        <row r="9">
          <cell r="A9" t="str">
            <v>CNGF</v>
          </cell>
          <cell r="B9">
            <v>7113</v>
          </cell>
          <cell r="C9" t="str">
            <v>ENERGY</v>
          </cell>
          <cell r="D9">
            <v>1.4E-3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6.1000000000000004E-3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0.20430000000000001</v>
          </cell>
          <cell r="R9">
            <v>1.031941141134913E-3</v>
          </cell>
          <cell r="S9">
            <v>5.8999999999999999E-3</v>
          </cell>
          <cell r="T9">
            <v>6.6E-3</v>
          </cell>
          <cell r="U9">
            <v>0</v>
          </cell>
          <cell r="V9">
            <v>0</v>
          </cell>
          <cell r="W9">
            <v>2.9399999999999999E-2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1.1999999999999999E-3</v>
          </cell>
          <cell r="AC9">
            <v>0</v>
          </cell>
          <cell r="AD9">
            <v>0</v>
          </cell>
          <cell r="AE9">
            <v>2.5000000000000001E-3</v>
          </cell>
          <cell r="AF9">
            <v>0</v>
          </cell>
          <cell r="AG9">
            <v>0</v>
          </cell>
          <cell r="AH9">
            <v>5.5999999999999999E-3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5.9999999999999995E-4</v>
          </cell>
          <cell r="AN9">
            <v>0</v>
          </cell>
          <cell r="AO9">
            <v>1.8700000000000001E-2</v>
          </cell>
          <cell r="AP9">
            <v>1.2900444211954971E-3</v>
          </cell>
          <cell r="AQ9">
            <v>0</v>
          </cell>
          <cell r="AR9">
            <v>1.2999999999999999E-3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1.1728398336537573E-3</v>
          </cell>
          <cell r="BC9">
            <v>1.6000000000000001E-3</v>
          </cell>
          <cell r="BD9">
            <v>0</v>
          </cell>
          <cell r="BE9">
            <v>0</v>
          </cell>
          <cell r="BF9">
            <v>1.6999999999999999E-3</v>
          </cell>
          <cell r="BG9">
            <v>0</v>
          </cell>
          <cell r="BH9">
            <v>0</v>
          </cell>
          <cell r="BI9">
            <v>2.0999999999999999E-3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0.12839999999999999</v>
          </cell>
          <cell r="BP9">
            <v>7.1000000000000004E-3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2.5999999999999999E-3</v>
          </cell>
          <cell r="CB9">
            <v>0</v>
          </cell>
          <cell r="CC9">
            <v>0</v>
          </cell>
          <cell r="CD9">
            <v>6.1000000000000004E-3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1.6999999999999999E-3</v>
          </cell>
          <cell r="CO9">
            <v>3.0000000000000001E-3</v>
          </cell>
          <cell r="CP9">
            <v>0</v>
          </cell>
          <cell r="CQ9">
            <v>0</v>
          </cell>
          <cell r="CR9">
            <v>2.9999999999999997E-4</v>
          </cell>
          <cell r="CS9">
            <v>8.9999999999999998E-4</v>
          </cell>
          <cell r="CT9">
            <v>1.4E-3</v>
          </cell>
          <cell r="CU9">
            <v>0</v>
          </cell>
          <cell r="CV9">
            <v>0</v>
          </cell>
          <cell r="CW9">
            <v>0</v>
          </cell>
          <cell r="CX9">
            <v>4.3E-3</v>
          </cell>
          <cell r="CY9">
            <v>0</v>
          </cell>
          <cell r="CZ9">
            <v>0</v>
          </cell>
          <cell r="DA9">
            <v>0</v>
          </cell>
          <cell r="DB9">
            <v>3.3999999999999998E-3</v>
          </cell>
          <cell r="DC9">
            <v>1.6999999999999999E-3</v>
          </cell>
        </row>
        <row r="10">
          <cell r="A10" t="str">
            <v>CNGINT</v>
          </cell>
          <cell r="B10">
            <v>7114</v>
          </cell>
          <cell r="C10" t="str">
            <v>CORP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5.0000000000000001E-4</v>
          </cell>
          <cell r="T10">
            <v>5.0000000000000001E-4</v>
          </cell>
          <cell r="U10">
            <v>0</v>
          </cell>
          <cell r="V10">
            <v>0</v>
          </cell>
          <cell r="W10">
            <v>2.3E-3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1.12E-2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4.1099999999999998E-2</v>
          </cell>
          <cell r="DC10">
            <v>2.0199999999999999E-2</v>
          </cell>
        </row>
        <row r="11">
          <cell r="A11" t="str">
            <v>CNGIR</v>
          </cell>
          <cell r="B11">
            <v>1005</v>
          </cell>
          <cell r="C11" t="str">
            <v>ENERGY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4.1479115635626707E-7</v>
          </cell>
          <cell r="S11">
            <v>5.9999999999999995E-4</v>
          </cell>
          <cell r="T11">
            <v>6.9999999999999999E-4</v>
          </cell>
          <cell r="U11">
            <v>0</v>
          </cell>
          <cell r="V11">
            <v>0</v>
          </cell>
          <cell r="W11">
            <v>3.0999999999999999E-3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1E-4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1E-4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1.1000000000000001E-3</v>
          </cell>
          <cell r="CT11">
            <v>1.6000000000000001E-3</v>
          </cell>
          <cell r="CU11">
            <v>0</v>
          </cell>
          <cell r="CV11">
            <v>0</v>
          </cell>
          <cell r="CW11">
            <v>0</v>
          </cell>
          <cell r="CX11">
            <v>5.1000000000000004E-3</v>
          </cell>
          <cell r="CY11">
            <v>0</v>
          </cell>
          <cell r="CZ11">
            <v>0</v>
          </cell>
          <cell r="DA11">
            <v>0</v>
          </cell>
          <cell r="DB11">
            <v>4.0000000000000001E-3</v>
          </cell>
          <cell r="DC11">
            <v>2E-3</v>
          </cell>
        </row>
        <row r="12">
          <cell r="A12" t="str">
            <v>CNGMP</v>
          </cell>
          <cell r="B12">
            <v>8516</v>
          </cell>
          <cell r="C12" t="str">
            <v>CORP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A13" t="str">
            <v>CNGO</v>
          </cell>
          <cell r="B13">
            <v>8517</v>
          </cell>
          <cell r="C13" t="str">
            <v>CORP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4">
          <cell r="A14" t="str">
            <v>CNGP</v>
          </cell>
          <cell r="B14">
            <v>8514</v>
          </cell>
          <cell r="C14" t="str">
            <v>ENERGY</v>
          </cell>
          <cell r="D14">
            <v>1.38E-2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6.1600000000000002E-2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6.7267778060066202E-2</v>
          </cell>
          <cell r="S14">
            <v>0.1123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2.5000000000000001E-2</v>
          </cell>
          <cell r="AC14">
            <v>0</v>
          </cell>
          <cell r="AD14">
            <v>0</v>
          </cell>
          <cell r="AE14">
            <v>5.1499999999999997E-2</v>
          </cell>
          <cell r="AF14">
            <v>0</v>
          </cell>
          <cell r="AG14">
            <v>0</v>
          </cell>
          <cell r="AH14">
            <v>0.1176</v>
          </cell>
          <cell r="AI14">
            <v>0</v>
          </cell>
          <cell r="AJ14">
            <v>0</v>
          </cell>
          <cell r="AK14">
            <v>0</v>
          </cell>
          <cell r="AL14">
            <v>1.8200000000000001E-2</v>
          </cell>
          <cell r="AM14">
            <v>4.4000000000000003E-3</v>
          </cell>
          <cell r="AN14">
            <v>0</v>
          </cell>
          <cell r="AO14">
            <v>2.4E-2</v>
          </cell>
          <cell r="AP14">
            <v>1.0936817080594147E-2</v>
          </cell>
          <cell r="AQ14">
            <v>9.4000000000000004E-3</v>
          </cell>
          <cell r="AR14">
            <v>1.0699999999999999E-2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3.1300000000000001E-2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4.0899999999999999E-2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0.1363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4.9099999999999998E-2</v>
          </cell>
          <cell r="CB14">
            <v>0</v>
          </cell>
          <cell r="CC14">
            <v>0</v>
          </cell>
          <cell r="CD14">
            <v>0.1177</v>
          </cell>
          <cell r="CE14">
            <v>0.1487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3.1800000000000002E-2</v>
          </cell>
          <cell r="CO14">
            <v>0</v>
          </cell>
          <cell r="CP14">
            <v>0</v>
          </cell>
          <cell r="CQ14">
            <v>1</v>
          </cell>
          <cell r="CR14">
            <v>4.5600000000000002E-2</v>
          </cell>
          <cell r="CS14">
            <v>4.7899999999999998E-2</v>
          </cell>
          <cell r="CT14">
            <v>7.1800000000000003E-2</v>
          </cell>
          <cell r="CU14">
            <v>0</v>
          </cell>
          <cell r="CV14">
            <v>0</v>
          </cell>
          <cell r="CW14">
            <v>0</v>
          </cell>
          <cell r="CX14">
            <v>0.22159999999999999</v>
          </cell>
          <cell r="CY14">
            <v>0</v>
          </cell>
          <cell r="CZ14">
            <v>0</v>
          </cell>
          <cell r="DA14">
            <v>0</v>
          </cell>
          <cell r="DB14">
            <v>0.17610000000000001</v>
          </cell>
          <cell r="DC14">
            <v>8.6400000000000005E-2</v>
          </cell>
        </row>
        <row r="15">
          <cell r="A15" t="str">
            <v>CNGPS</v>
          </cell>
          <cell r="B15">
            <v>7107</v>
          </cell>
          <cell r="C15" t="str">
            <v>DOM VP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1.8690193226015997E-3</v>
          </cell>
          <cell r="S15">
            <v>3.3E-3</v>
          </cell>
          <cell r="T15">
            <v>3.8E-3</v>
          </cell>
          <cell r="U15">
            <v>0</v>
          </cell>
          <cell r="V15">
            <v>0</v>
          </cell>
          <cell r="W15">
            <v>1.67E-2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8.0000000000000004E-4</v>
          </cell>
          <cell r="AN15">
            <v>0</v>
          </cell>
          <cell r="AO15">
            <v>6.1800000000000001E-2</v>
          </cell>
          <cell r="AP15">
            <v>0</v>
          </cell>
          <cell r="AQ15">
            <v>0</v>
          </cell>
          <cell r="AR15">
            <v>8.9999999999999998E-4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5.1000000000000004E-3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4.4999999999999997E-3</v>
          </cell>
          <cell r="BD15">
            <v>0</v>
          </cell>
          <cell r="BE15">
            <v>0</v>
          </cell>
          <cell r="BF15">
            <v>4.5999999999999999E-3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2.2499999999999999E-2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1.6899999999999998E-2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4.5999999999999999E-3</v>
          </cell>
          <cell r="CO15">
            <v>0</v>
          </cell>
          <cell r="CP15">
            <v>1.1299999999999999E-2</v>
          </cell>
          <cell r="CQ15">
            <v>0</v>
          </cell>
          <cell r="CR15">
            <v>3.0999999999999999E-3</v>
          </cell>
          <cell r="CS15">
            <v>4.5999999999999999E-3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1.7000000000000001E-2</v>
          </cell>
          <cell r="DC15">
            <v>8.3999999999999995E-3</v>
          </cell>
        </row>
        <row r="16">
          <cell r="A16" t="str">
            <v>CNGPSC</v>
          </cell>
          <cell r="B16">
            <v>7101</v>
          </cell>
          <cell r="C16" t="str">
            <v>GENERATION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2.9568683860253895E-5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9.7999999999999997E-3</v>
          </cell>
          <cell r="CT16">
            <v>1.47E-2</v>
          </cell>
          <cell r="CU16">
            <v>0</v>
          </cell>
          <cell r="CV16">
            <v>2.1700000000000001E-2</v>
          </cell>
          <cell r="CW16">
            <v>0.14599999999999999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3.5999999999999997E-2</v>
          </cell>
          <cell r="DC16">
            <v>1.77E-2</v>
          </cell>
        </row>
        <row r="17">
          <cell r="A17" t="str">
            <v>CNGR</v>
          </cell>
          <cell r="B17">
            <v>7106</v>
          </cell>
          <cell r="C17" t="str">
            <v>DOM VP</v>
          </cell>
          <cell r="D17">
            <v>5.1000000000000004E-3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0.41520000000000001</v>
          </cell>
          <cell r="J17">
            <v>0</v>
          </cell>
          <cell r="K17">
            <v>1.7399999999999999E-2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5.320200255244701E-3</v>
          </cell>
          <cell r="S17">
            <v>1.2200000000000001E-2</v>
          </cell>
          <cell r="T17">
            <v>1.38E-2</v>
          </cell>
          <cell r="U17">
            <v>0</v>
          </cell>
          <cell r="V17">
            <v>0</v>
          </cell>
          <cell r="W17">
            <v>6.1199999999999997E-2</v>
          </cell>
          <cell r="X17">
            <v>0</v>
          </cell>
          <cell r="Y17">
            <v>0</v>
          </cell>
          <cell r="Z17">
            <v>0</v>
          </cell>
          <cell r="AA17">
            <v>8.3999999999999995E-3</v>
          </cell>
          <cell r="AB17">
            <v>5.5999999999999999E-3</v>
          </cell>
          <cell r="AC17">
            <v>0</v>
          </cell>
          <cell r="AD17">
            <v>0</v>
          </cell>
          <cell r="AE17">
            <v>1.15E-2</v>
          </cell>
          <cell r="AF17">
            <v>1.32E-2</v>
          </cell>
          <cell r="AG17">
            <v>1.4800000000000001E-2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3.7000000000000002E-3</v>
          </cell>
          <cell r="AM17">
            <v>6.4999999999999997E-3</v>
          </cell>
          <cell r="AN17">
            <v>0</v>
          </cell>
          <cell r="AO17">
            <v>3.3700000000000001E-2</v>
          </cell>
          <cell r="AP17">
            <v>3.6803193524265684E-3</v>
          </cell>
          <cell r="AQ17">
            <v>1E-4</v>
          </cell>
          <cell r="AR17">
            <v>2.8999999999999998E-3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1.6199999999999999E-2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1.2065428824548914E-3</v>
          </cell>
          <cell r="BC17">
            <v>6.6E-3</v>
          </cell>
          <cell r="BD17">
            <v>0</v>
          </cell>
          <cell r="BE17">
            <v>0</v>
          </cell>
          <cell r="BF17">
            <v>6.7999999999999996E-3</v>
          </cell>
          <cell r="BG17">
            <v>0</v>
          </cell>
          <cell r="BH17">
            <v>9.4999999999999998E-3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3.32E-2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1.04E-2</v>
          </cell>
          <cell r="CB17">
            <v>0</v>
          </cell>
          <cell r="CC17">
            <v>0</v>
          </cell>
          <cell r="CD17">
            <v>2.5000000000000001E-2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6.7000000000000002E-3</v>
          </cell>
          <cell r="CO17">
            <v>0</v>
          </cell>
          <cell r="CP17">
            <v>1.67E-2</v>
          </cell>
          <cell r="CQ17">
            <v>0</v>
          </cell>
          <cell r="CR17">
            <v>1.17E-2</v>
          </cell>
          <cell r="CS17">
            <v>8.8000000000000005E-3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3.2500000000000001E-2</v>
          </cell>
          <cell r="DC17">
            <v>1.5900000000000001E-2</v>
          </cell>
        </row>
        <row r="18">
          <cell r="A18" t="str">
            <v>CNGT</v>
          </cell>
          <cell r="B18">
            <v>1004</v>
          </cell>
          <cell r="C18" t="str">
            <v>ENERGY</v>
          </cell>
          <cell r="D18">
            <v>9.0200000000000002E-2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0.4012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0.10425390551798157</v>
          </cell>
          <cell r="S18">
            <v>6.6799999999999998E-2</v>
          </cell>
          <cell r="T18">
            <v>7.5200000000000003E-2</v>
          </cell>
          <cell r="U18">
            <v>0</v>
          </cell>
          <cell r="V18">
            <v>0</v>
          </cell>
          <cell r="W18">
            <v>0.33390000000000003</v>
          </cell>
          <cell r="X18">
            <v>0</v>
          </cell>
          <cell r="Y18">
            <v>0</v>
          </cell>
          <cell r="Z18">
            <v>0.1085</v>
          </cell>
          <cell r="AA18">
            <v>0</v>
          </cell>
          <cell r="AB18">
            <v>8.0399999999999999E-2</v>
          </cell>
          <cell r="AC18">
            <v>0</v>
          </cell>
          <cell r="AD18">
            <v>0</v>
          </cell>
          <cell r="AE18">
            <v>0.1656</v>
          </cell>
          <cell r="AF18">
            <v>0</v>
          </cell>
          <cell r="AG18">
            <v>0</v>
          </cell>
          <cell r="AH18">
            <v>0.37830000000000003</v>
          </cell>
          <cell r="AI18">
            <v>0</v>
          </cell>
          <cell r="AJ18">
            <v>0</v>
          </cell>
          <cell r="AK18">
            <v>0</v>
          </cell>
          <cell r="AL18">
            <v>7.1199999999999999E-2</v>
          </cell>
          <cell r="AM18">
            <v>7.5200000000000003E-2</v>
          </cell>
          <cell r="AN18">
            <v>0</v>
          </cell>
          <cell r="AO18">
            <v>4.2099999999999999E-2</v>
          </cell>
          <cell r="AP18">
            <v>0.12285533880075578</v>
          </cell>
          <cell r="AQ18">
            <v>0.1346</v>
          </cell>
          <cell r="AR18">
            <v>9.1999999999999998E-2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0.74609999999999999</v>
          </cell>
          <cell r="AZ18">
            <v>0.54180168502916393</v>
          </cell>
          <cell r="BA18">
            <v>0.66008685353335961</v>
          </cell>
          <cell r="BB18">
            <v>9.8372378992774262E-2</v>
          </cell>
          <cell r="BC18">
            <v>7.6399999999999996E-2</v>
          </cell>
          <cell r="BD18">
            <v>0</v>
          </cell>
          <cell r="BE18">
            <v>0.34470000000000001</v>
          </cell>
          <cell r="BF18">
            <v>7.8899999999999998E-2</v>
          </cell>
          <cell r="BG18">
            <v>0.1123</v>
          </cell>
          <cell r="BH18">
            <v>0</v>
          </cell>
          <cell r="BI18">
            <v>9.9900000000000003E-2</v>
          </cell>
          <cell r="BJ18">
            <v>0</v>
          </cell>
          <cell r="BK18">
            <v>0</v>
          </cell>
          <cell r="BL18">
            <v>0</v>
          </cell>
          <cell r="BM18">
            <v>0.63600000000000001</v>
          </cell>
          <cell r="BN18">
            <v>0</v>
          </cell>
          <cell r="BO18">
            <v>0</v>
          </cell>
          <cell r="BP18">
            <v>0.33300000000000002</v>
          </cell>
          <cell r="BQ18">
            <v>0</v>
          </cell>
          <cell r="BR18">
            <v>0</v>
          </cell>
          <cell r="BS18">
            <v>0.88590000000000002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0.12</v>
          </cell>
          <cell r="CB18">
            <v>0</v>
          </cell>
          <cell r="CC18">
            <v>0</v>
          </cell>
          <cell r="CD18">
            <v>0.28760000000000002</v>
          </cell>
          <cell r="CE18">
            <v>0.36330000000000001</v>
          </cell>
          <cell r="CF18">
            <v>0.87580000000000002</v>
          </cell>
          <cell r="CG18">
            <v>0</v>
          </cell>
          <cell r="CH18">
            <v>0</v>
          </cell>
          <cell r="CI18">
            <v>0.90890000000000004</v>
          </cell>
          <cell r="CJ18">
            <v>0</v>
          </cell>
          <cell r="CK18">
            <v>0</v>
          </cell>
          <cell r="CL18">
            <v>0</v>
          </cell>
          <cell r="CM18">
            <v>0.35599999999999998</v>
          </cell>
          <cell r="CN18">
            <v>7.7600000000000002E-2</v>
          </cell>
          <cell r="CO18">
            <v>0</v>
          </cell>
          <cell r="CP18">
            <v>0.1928</v>
          </cell>
          <cell r="CQ18">
            <v>0</v>
          </cell>
          <cell r="CR18">
            <v>6.6299999999999998E-2</v>
          </cell>
          <cell r="CS18">
            <v>5.7500000000000002E-2</v>
          </cell>
          <cell r="CT18">
            <v>8.6099999999999996E-2</v>
          </cell>
          <cell r="CU18">
            <v>0</v>
          </cell>
          <cell r="CV18">
            <v>0</v>
          </cell>
          <cell r="CW18">
            <v>0</v>
          </cell>
          <cell r="CX18">
            <v>0.26579999999999998</v>
          </cell>
          <cell r="CY18">
            <v>0</v>
          </cell>
          <cell r="CZ18">
            <v>0</v>
          </cell>
          <cell r="DA18">
            <v>0</v>
          </cell>
          <cell r="DB18">
            <v>0.2112</v>
          </cell>
          <cell r="DC18">
            <v>0.1036</v>
          </cell>
        </row>
        <row r="19">
          <cell r="A19" t="str">
            <v>DALH</v>
          </cell>
          <cell r="B19">
            <v>5004</v>
          </cell>
          <cell r="C19" t="str">
            <v>DOM VP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2.9999999999999997E-4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5.0000000000000001E-4</v>
          </cell>
        </row>
        <row r="20">
          <cell r="A20" t="str">
            <v>DARM</v>
          </cell>
          <cell r="B20">
            <v>8133</v>
          </cell>
          <cell r="C20" t="str">
            <v>GENERATION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DBRAY</v>
          </cell>
          <cell r="B21">
            <v>8169</v>
          </cell>
          <cell r="C21" t="str">
            <v>GENERATION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5.765576333794295E-2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2.76E-2</v>
          </cell>
          <cell r="AB21">
            <v>1.83E-2</v>
          </cell>
          <cell r="AC21">
            <v>0</v>
          </cell>
          <cell r="AD21">
            <v>0</v>
          </cell>
          <cell r="AE21">
            <v>3.7699999999999997E-2</v>
          </cell>
          <cell r="AF21">
            <v>0</v>
          </cell>
          <cell r="AG21">
            <v>0</v>
          </cell>
          <cell r="AH21">
            <v>0</v>
          </cell>
          <cell r="AI21">
            <v>4.2099999999999999E-2</v>
          </cell>
          <cell r="AJ21">
            <v>0</v>
          </cell>
          <cell r="AK21">
            <v>0.32769999999999999</v>
          </cell>
          <cell r="AL21">
            <v>0</v>
          </cell>
          <cell r="AM21">
            <v>0</v>
          </cell>
          <cell r="AN21">
            <v>0</v>
          </cell>
          <cell r="AO21">
            <v>3.5900000000000001E-2</v>
          </cell>
          <cell r="AP21">
            <v>1.6672720689478532E-2</v>
          </cell>
          <cell r="AQ21">
            <v>7.0000000000000001E-3</v>
          </cell>
          <cell r="AR21">
            <v>5.3800000000000001E-2</v>
          </cell>
          <cell r="AS21">
            <v>0</v>
          </cell>
          <cell r="AT21">
            <v>0.16209999999999999</v>
          </cell>
          <cell r="AU21">
            <v>9.5000000000000001E-2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3.8597460923352617E-2</v>
          </cell>
          <cell r="BC21">
            <v>3.7900000000000003E-2</v>
          </cell>
          <cell r="BD21">
            <v>5.28E-2</v>
          </cell>
          <cell r="BE21">
            <v>0</v>
          </cell>
          <cell r="BF21">
            <v>3.9199999999999999E-2</v>
          </cell>
          <cell r="BG21">
            <v>0</v>
          </cell>
          <cell r="BH21">
            <v>5.4199999999999998E-2</v>
          </cell>
          <cell r="BI21">
            <v>4.9599999999999998E-2</v>
          </cell>
          <cell r="BJ21">
            <v>0</v>
          </cell>
          <cell r="BK21">
            <v>0.13539999999999999</v>
          </cell>
          <cell r="BL21">
            <v>7.0900000000000005E-2</v>
          </cell>
          <cell r="BM21">
            <v>0</v>
          </cell>
          <cell r="BN21">
            <v>0.30649999999999999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5.96E-2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3.85E-2</v>
          </cell>
          <cell r="CO21">
            <v>6.9699999999999998E-2</v>
          </cell>
          <cell r="CP21">
            <v>0</v>
          </cell>
          <cell r="CQ21">
            <v>0</v>
          </cell>
          <cell r="CR21">
            <v>9.9000000000000008E-3</v>
          </cell>
          <cell r="CS21">
            <v>2.2599999999999999E-2</v>
          </cell>
          <cell r="CT21">
            <v>3.3799999999999997E-2</v>
          </cell>
          <cell r="CU21">
            <v>0</v>
          </cell>
          <cell r="CV21">
            <v>4.99E-2</v>
          </cell>
          <cell r="CW21">
            <v>0.33600000000000002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4.0599999999999997E-2</v>
          </cell>
        </row>
        <row r="22">
          <cell r="A22" t="str">
            <v>DCI</v>
          </cell>
          <cell r="B22" t="str">
            <v>Not in SAP</v>
          </cell>
          <cell r="C22" t="str">
            <v>CORP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2.0692153114229781E-4</v>
          </cell>
          <cell r="S22">
            <v>4.8999999999999998E-3</v>
          </cell>
          <cell r="T22">
            <v>5.4999999999999997E-3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2.9999999999999997E-4</v>
          </cell>
          <cell r="BD22">
            <v>0</v>
          </cell>
          <cell r="BE22">
            <v>0</v>
          </cell>
          <cell r="BF22">
            <v>2.9999999999999997E-4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2.9999999999999997E-4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4.4299999999999999E-2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7.9699999999999993E-2</v>
          </cell>
        </row>
        <row r="23">
          <cell r="A23" t="str">
            <v>DCOVE</v>
          </cell>
          <cell r="B23">
            <v>8155</v>
          </cell>
          <cell r="C23" t="str">
            <v>ENERGY</v>
          </cell>
          <cell r="D23">
            <v>6.7000000000000002E-3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2.9700000000000001E-2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3.6254317346343948E-2</v>
          </cell>
          <cell r="S23">
            <v>9.1000000000000004E-3</v>
          </cell>
          <cell r="T23">
            <v>1.03E-2</v>
          </cell>
          <cell r="U23">
            <v>0</v>
          </cell>
          <cell r="V23">
            <v>0</v>
          </cell>
          <cell r="W23">
            <v>4.5600000000000002E-2</v>
          </cell>
          <cell r="X23">
            <v>0</v>
          </cell>
          <cell r="Y23">
            <v>0</v>
          </cell>
          <cell r="Z23">
            <v>8.8000000000000005E-3</v>
          </cell>
          <cell r="AA23">
            <v>0</v>
          </cell>
          <cell r="AB23">
            <v>6.4999999999999997E-3</v>
          </cell>
          <cell r="AC23">
            <v>0</v>
          </cell>
          <cell r="AD23">
            <v>0</v>
          </cell>
          <cell r="AE23">
            <v>1.35E-2</v>
          </cell>
          <cell r="AF23">
            <v>0</v>
          </cell>
          <cell r="AG23">
            <v>0</v>
          </cell>
          <cell r="AH23">
            <v>3.0700000000000002E-2</v>
          </cell>
          <cell r="AI23">
            <v>0</v>
          </cell>
          <cell r="AJ23">
            <v>0</v>
          </cell>
          <cell r="AK23">
            <v>0</v>
          </cell>
          <cell r="AL23">
            <v>8.2000000000000007E-3</v>
          </cell>
          <cell r="AM23">
            <v>3.3E-3</v>
          </cell>
          <cell r="AN23">
            <v>0</v>
          </cell>
          <cell r="AO23">
            <v>1.7100000000000001E-2</v>
          </cell>
          <cell r="AP23">
            <v>3.0263841000541705E-2</v>
          </cell>
          <cell r="AQ23">
            <v>9.2999999999999992E-3</v>
          </cell>
          <cell r="AR23">
            <v>7.8100000000000003E-2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0.1741</v>
          </cell>
          <cell r="AZ23">
            <v>1.458198314970836E-2</v>
          </cell>
          <cell r="BA23">
            <v>1.7765495459928938E-2</v>
          </cell>
          <cell r="BB23">
            <v>0.10370833592738603</v>
          </cell>
          <cell r="BC23">
            <v>9.7999999999999997E-3</v>
          </cell>
          <cell r="BD23">
            <v>0</v>
          </cell>
          <cell r="BE23">
            <v>4.4299999999999999E-2</v>
          </cell>
          <cell r="BF23">
            <v>1.0200000000000001E-2</v>
          </cell>
          <cell r="BG23">
            <v>1.44E-2</v>
          </cell>
          <cell r="BH23">
            <v>0</v>
          </cell>
          <cell r="BI23">
            <v>1.29E-2</v>
          </cell>
          <cell r="BJ23">
            <v>0</v>
          </cell>
          <cell r="BK23">
            <v>0</v>
          </cell>
          <cell r="BL23">
            <v>0</v>
          </cell>
          <cell r="BM23">
            <v>8.1799999999999998E-2</v>
          </cell>
          <cell r="BN23">
            <v>0</v>
          </cell>
          <cell r="BO23">
            <v>0</v>
          </cell>
          <cell r="BP23">
            <v>4.2799999999999998E-2</v>
          </cell>
          <cell r="BQ23">
            <v>0.56189999999999996</v>
          </cell>
          <cell r="BR23">
            <v>0</v>
          </cell>
          <cell r="BS23">
            <v>0.1139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1.54E-2</v>
          </cell>
          <cell r="CB23">
            <v>0</v>
          </cell>
          <cell r="CC23">
            <v>0</v>
          </cell>
          <cell r="CD23">
            <v>3.6999999999999998E-2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0.01</v>
          </cell>
          <cell r="CO23">
            <v>0</v>
          </cell>
          <cell r="CP23">
            <v>2.4799999999999999E-2</v>
          </cell>
          <cell r="CQ23">
            <v>0</v>
          </cell>
          <cell r="CR23">
            <v>2.4E-2</v>
          </cell>
          <cell r="CS23">
            <v>3.5000000000000003E-2</v>
          </cell>
          <cell r="CT23">
            <v>5.2400000000000002E-2</v>
          </cell>
          <cell r="CU23">
            <v>0</v>
          </cell>
          <cell r="CV23">
            <v>0</v>
          </cell>
          <cell r="CW23">
            <v>0</v>
          </cell>
          <cell r="CX23">
            <v>0.1618</v>
          </cell>
          <cell r="CY23">
            <v>0</v>
          </cell>
          <cell r="CZ23">
            <v>0</v>
          </cell>
          <cell r="DA23">
            <v>0</v>
          </cell>
          <cell r="DB23">
            <v>0.1285</v>
          </cell>
          <cell r="DC23">
            <v>6.3100000000000003E-2</v>
          </cell>
        </row>
        <row r="24">
          <cell r="A24" t="str">
            <v>DDRES</v>
          </cell>
          <cell r="B24">
            <v>8000</v>
          </cell>
          <cell r="C24" t="str">
            <v>GENERATION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DEIBD</v>
          </cell>
          <cell r="B25">
            <v>8000</v>
          </cell>
          <cell r="C25" t="str">
            <v>GENERATION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7.478980828500893E-4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2.9999999999999997E-4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1E-4</v>
          </cell>
          <cell r="AS25">
            <v>0</v>
          </cell>
          <cell r="AT25">
            <v>0</v>
          </cell>
          <cell r="AU25">
            <v>2.0000000000000001E-4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1.182127760741403E-5</v>
          </cell>
          <cell r="BC25">
            <v>8.0000000000000004E-4</v>
          </cell>
          <cell r="BD25">
            <v>0</v>
          </cell>
          <cell r="BE25">
            <v>0</v>
          </cell>
          <cell r="BF25">
            <v>8.9999999999999998E-4</v>
          </cell>
          <cell r="BG25">
            <v>0</v>
          </cell>
          <cell r="BH25">
            <v>0</v>
          </cell>
          <cell r="BI25">
            <v>1.1000000000000001E-3</v>
          </cell>
          <cell r="BJ25">
            <v>0</v>
          </cell>
          <cell r="BK25">
            <v>0</v>
          </cell>
          <cell r="BL25">
            <v>1.6000000000000001E-3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8.0000000000000004E-4</v>
          </cell>
          <cell r="CO25">
            <v>1.5E-3</v>
          </cell>
          <cell r="CP25">
            <v>0</v>
          </cell>
          <cell r="CQ25">
            <v>0</v>
          </cell>
          <cell r="CR25">
            <v>2.9100000000000001E-2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DEICORP</v>
          </cell>
          <cell r="B26">
            <v>8000</v>
          </cell>
          <cell r="C26" t="str">
            <v>GENERATION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8.0000000000000002E-3</v>
          </cell>
          <cell r="T26">
            <v>8.9999999999999993E-3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2.0000000000000001E-4</v>
          </cell>
          <cell r="AN26">
            <v>0</v>
          </cell>
          <cell r="AO26">
            <v>2.0000000000000001E-4</v>
          </cell>
          <cell r="AP26">
            <v>0</v>
          </cell>
          <cell r="AQ26">
            <v>0</v>
          </cell>
          <cell r="AR26">
            <v>5.0000000000000001E-4</v>
          </cell>
          <cell r="AS26">
            <v>0</v>
          </cell>
          <cell r="AT26">
            <v>1.6000000000000001E-3</v>
          </cell>
          <cell r="AU26">
            <v>8.9999999999999998E-4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9.4851313843475168E-6</v>
          </cell>
          <cell r="BC26">
            <v>6.9999999999999999E-4</v>
          </cell>
          <cell r="BD26">
            <v>8.9999999999999998E-4</v>
          </cell>
          <cell r="BE26">
            <v>0</v>
          </cell>
          <cell r="BF26">
            <v>6.9999999999999999E-4</v>
          </cell>
          <cell r="BG26">
            <v>0</v>
          </cell>
          <cell r="BH26">
            <v>0</v>
          </cell>
          <cell r="BI26">
            <v>8.9999999999999998E-4</v>
          </cell>
          <cell r="BJ26">
            <v>0</v>
          </cell>
          <cell r="BK26">
            <v>2.3999999999999998E-3</v>
          </cell>
          <cell r="BL26">
            <v>1.1999999999999999E-3</v>
          </cell>
          <cell r="BM26">
            <v>0</v>
          </cell>
          <cell r="BN26">
            <v>5.4000000000000003E-3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6.9999999999999999E-4</v>
          </cell>
          <cell r="CO26">
            <v>1.1999999999999999E-3</v>
          </cell>
          <cell r="CP26">
            <v>0</v>
          </cell>
          <cell r="CQ26">
            <v>0</v>
          </cell>
          <cell r="CR26">
            <v>1E-4</v>
          </cell>
          <cell r="CS26">
            <v>5.7999999999999996E-3</v>
          </cell>
          <cell r="CT26">
            <v>8.6999999999999994E-3</v>
          </cell>
          <cell r="CU26">
            <v>0</v>
          </cell>
          <cell r="CV26">
            <v>1.2800000000000001E-2</v>
          </cell>
          <cell r="CW26">
            <v>8.6199999999999999E-2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1.04E-2</v>
          </cell>
        </row>
        <row r="27">
          <cell r="A27" t="str">
            <v>DEIOG</v>
          </cell>
          <cell r="B27">
            <v>8500</v>
          </cell>
          <cell r="C27" t="str">
            <v>CORP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A28" t="str">
            <v>DEK</v>
          </cell>
          <cell r="B28">
            <v>8208</v>
          </cell>
          <cell r="C28" t="str">
            <v>GENERATION</v>
          </cell>
          <cell r="D28">
            <v>3.8199999999999998E-2</v>
          </cell>
          <cell r="E28">
            <v>0.1447</v>
          </cell>
          <cell r="F28">
            <v>0.1447</v>
          </cell>
          <cell r="G28">
            <v>0</v>
          </cell>
          <cell r="H28">
            <v>8.8900000000000007E-2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0.42470000000000002</v>
          </cell>
          <cell r="Q28">
            <v>0</v>
          </cell>
          <cell r="R28">
            <v>3.5384529919404599E-2</v>
          </cell>
          <cell r="S28">
            <v>2.1000000000000001E-2</v>
          </cell>
          <cell r="T28">
            <v>2.3599999999999999E-2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8.72E-2</v>
          </cell>
          <cell r="AB28">
            <v>5.7799999999999997E-2</v>
          </cell>
          <cell r="AC28">
            <v>0.20319999999999999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0.13320000000000001</v>
          </cell>
          <cell r="AJ28">
            <v>0</v>
          </cell>
          <cell r="AK28">
            <v>0</v>
          </cell>
          <cell r="AL28">
            <v>3.5099999999999999E-2</v>
          </cell>
          <cell r="AM28">
            <v>0</v>
          </cell>
          <cell r="AN28">
            <v>0</v>
          </cell>
          <cell r="AO28">
            <v>2.6700000000000002E-2</v>
          </cell>
          <cell r="AP28">
            <v>1.8711846900471434E-2</v>
          </cell>
          <cell r="AQ28">
            <v>3.5000000000000001E-3</v>
          </cell>
          <cell r="AR28">
            <v>4.2799999999999998E-2</v>
          </cell>
          <cell r="AS28">
            <v>0.19239999999999999</v>
          </cell>
          <cell r="AT28">
            <v>0</v>
          </cell>
          <cell r="AU28">
            <v>7.5600000000000001E-2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2.0612669310808521E-2</v>
          </cell>
          <cell r="BC28">
            <v>4.0099999999999997E-2</v>
          </cell>
          <cell r="BD28">
            <v>5.5800000000000002E-2</v>
          </cell>
          <cell r="BE28">
            <v>0</v>
          </cell>
          <cell r="BF28">
            <v>4.1399999999999999E-2</v>
          </cell>
          <cell r="BG28">
            <v>0</v>
          </cell>
          <cell r="BH28">
            <v>5.74E-2</v>
          </cell>
          <cell r="BI28">
            <v>5.2499999999999998E-2</v>
          </cell>
          <cell r="BJ28">
            <v>0.16039999999999999</v>
          </cell>
          <cell r="BK28">
            <v>0</v>
          </cell>
          <cell r="BL28">
            <v>7.4999999999999997E-2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4.0800000000000003E-2</v>
          </cell>
          <cell r="CO28">
            <v>7.3800000000000004E-2</v>
          </cell>
          <cell r="CP28">
            <v>0</v>
          </cell>
          <cell r="CQ28">
            <v>0</v>
          </cell>
          <cell r="CR28">
            <v>0.1123</v>
          </cell>
          <cell r="CS28">
            <v>1.06E-2</v>
          </cell>
          <cell r="CT28">
            <v>1.5900000000000001E-2</v>
          </cell>
          <cell r="CU28">
            <v>5.6500000000000002E-2</v>
          </cell>
          <cell r="CV28">
            <v>2.35E-2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1.9099999999999999E-2</v>
          </cell>
        </row>
        <row r="29">
          <cell r="A29" t="str">
            <v>DELCO</v>
          </cell>
          <cell r="B29">
            <v>8302</v>
          </cell>
          <cell r="C29" t="str">
            <v>GENERATION</v>
          </cell>
          <cell r="D29">
            <v>1.2999999999999999E-3</v>
          </cell>
          <cell r="E29">
            <v>0</v>
          </cell>
          <cell r="F29">
            <v>0</v>
          </cell>
          <cell r="G29">
            <v>8.0000000000000002E-3</v>
          </cell>
          <cell r="H29">
            <v>3.0000000000000001E-3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7.9268071376669622E-3</v>
          </cell>
          <cell r="S29">
            <v>1.1000000000000001E-3</v>
          </cell>
          <cell r="T29">
            <v>1.1999999999999999E-3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1.6999999999999999E-3</v>
          </cell>
          <cell r="AB29">
            <v>1.1000000000000001E-3</v>
          </cell>
          <cell r="AC29">
            <v>0</v>
          </cell>
          <cell r="AD29">
            <v>0</v>
          </cell>
          <cell r="AE29">
            <v>2.3E-3</v>
          </cell>
          <cell r="AF29">
            <v>0</v>
          </cell>
          <cell r="AG29">
            <v>0</v>
          </cell>
          <cell r="AH29">
            <v>0</v>
          </cell>
          <cell r="AI29">
            <v>2.5999999999999999E-3</v>
          </cell>
          <cell r="AJ29">
            <v>0</v>
          </cell>
          <cell r="AK29">
            <v>2.0299999999999999E-2</v>
          </cell>
          <cell r="AL29">
            <v>0</v>
          </cell>
          <cell r="AM29">
            <v>1.8E-3</v>
          </cell>
          <cell r="AN29">
            <v>0</v>
          </cell>
          <cell r="AO29">
            <v>2.7000000000000001E-3</v>
          </cell>
          <cell r="AP29">
            <v>3.7242249166865807E-3</v>
          </cell>
          <cell r="AQ29">
            <v>8.0000000000000004E-4</v>
          </cell>
          <cell r="AR29">
            <v>2.5999999999999999E-3</v>
          </cell>
          <cell r="AS29">
            <v>0</v>
          </cell>
          <cell r="AT29">
            <v>7.7000000000000002E-3</v>
          </cell>
          <cell r="AU29">
            <v>4.4999999999999997E-3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7.4055264301084418E-5</v>
          </cell>
          <cell r="BC29">
            <v>5.1999999999999998E-3</v>
          </cell>
          <cell r="BD29">
            <v>7.3000000000000001E-3</v>
          </cell>
          <cell r="BE29">
            <v>0</v>
          </cell>
          <cell r="BF29">
            <v>5.4000000000000003E-3</v>
          </cell>
          <cell r="BG29">
            <v>0</v>
          </cell>
          <cell r="BH29">
            <v>7.4999999999999997E-3</v>
          </cell>
          <cell r="BI29">
            <v>6.7999999999999996E-3</v>
          </cell>
          <cell r="BJ29">
            <v>0</v>
          </cell>
          <cell r="BK29">
            <v>1.8599999999999998E-2</v>
          </cell>
          <cell r="BL29">
            <v>9.7000000000000003E-3</v>
          </cell>
          <cell r="BM29">
            <v>0</v>
          </cell>
          <cell r="BN29">
            <v>4.2099999999999999E-2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8.2000000000000007E-3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5.3E-3</v>
          </cell>
          <cell r="CO29">
            <v>9.5999999999999992E-3</v>
          </cell>
          <cell r="CP29">
            <v>0</v>
          </cell>
          <cell r="CQ29">
            <v>0</v>
          </cell>
          <cell r="CR29">
            <v>1E-3</v>
          </cell>
          <cell r="CS29">
            <v>4.1999999999999997E-3</v>
          </cell>
          <cell r="CT29">
            <v>6.4000000000000003E-3</v>
          </cell>
          <cell r="CU29">
            <v>0</v>
          </cell>
          <cell r="CV29">
            <v>9.4000000000000004E-3</v>
          </cell>
          <cell r="CW29">
            <v>6.3299999999999995E-2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7.7000000000000002E-3</v>
          </cell>
        </row>
        <row r="30">
          <cell r="A30" t="str">
            <v>DEMI</v>
          </cell>
          <cell r="B30">
            <v>8141</v>
          </cell>
          <cell r="C30" t="str">
            <v>GENERATION</v>
          </cell>
          <cell r="D30">
            <v>1.9E-3</v>
          </cell>
          <cell r="E30">
            <v>0</v>
          </cell>
          <cell r="F30">
            <v>0</v>
          </cell>
          <cell r="G30">
            <v>0</v>
          </cell>
          <cell r="H30">
            <v>4.4000000000000003E-3</v>
          </cell>
          <cell r="I30">
            <v>0.152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0.26</v>
          </cell>
          <cell r="P30">
            <v>0</v>
          </cell>
          <cell r="Q30">
            <v>0</v>
          </cell>
          <cell r="R30">
            <v>1.8894329730822761E-3</v>
          </cell>
          <cell r="S30">
            <v>1.03E-2</v>
          </cell>
          <cell r="T30">
            <v>1.1599999999999999E-2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2.5999999999999999E-3</v>
          </cell>
          <cell r="AB30">
            <v>1.6999999999999999E-3</v>
          </cell>
          <cell r="AC30">
            <v>0</v>
          </cell>
          <cell r="AD30">
            <v>0.26729999999999998</v>
          </cell>
          <cell r="AE30">
            <v>3.5000000000000001E-3</v>
          </cell>
          <cell r="AF30">
            <v>0</v>
          </cell>
          <cell r="AG30">
            <v>0</v>
          </cell>
          <cell r="AH30">
            <v>0</v>
          </cell>
          <cell r="AI30">
            <v>3.8999999999999998E-3</v>
          </cell>
          <cell r="AJ30">
            <v>0</v>
          </cell>
          <cell r="AK30">
            <v>0</v>
          </cell>
          <cell r="AL30">
            <v>1.5E-3</v>
          </cell>
          <cell r="AM30">
            <v>3.3E-3</v>
          </cell>
          <cell r="AN30">
            <v>0</v>
          </cell>
          <cell r="AO30">
            <v>3.3999999999999998E-3</v>
          </cell>
          <cell r="AP30">
            <v>4.8976114822063945E-4</v>
          </cell>
          <cell r="AQ30">
            <v>0</v>
          </cell>
          <cell r="AR30">
            <v>6.9999999999999999E-4</v>
          </cell>
          <cell r="AS30">
            <v>0</v>
          </cell>
          <cell r="AT30">
            <v>0</v>
          </cell>
          <cell r="AU30">
            <v>1.2999999999999999E-3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6.6592992224798089E-4</v>
          </cell>
          <cell r="BC30">
            <v>3.3999999999999998E-3</v>
          </cell>
          <cell r="BD30">
            <v>0</v>
          </cell>
          <cell r="BE30">
            <v>0</v>
          </cell>
          <cell r="BF30">
            <v>3.5000000000000001E-3</v>
          </cell>
          <cell r="BG30">
            <v>0</v>
          </cell>
          <cell r="BH30">
            <v>4.7999999999999996E-3</v>
          </cell>
          <cell r="BI30">
            <v>4.4000000000000003E-3</v>
          </cell>
          <cell r="BJ30">
            <v>0</v>
          </cell>
          <cell r="BK30">
            <v>0</v>
          </cell>
          <cell r="BL30">
            <v>6.3E-3</v>
          </cell>
          <cell r="BM30">
            <v>0</v>
          </cell>
          <cell r="BN30">
            <v>0</v>
          </cell>
          <cell r="BO30">
            <v>0.26500000000000001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5.3E-3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7.1000000000000004E-3</v>
          </cell>
          <cell r="CK30">
            <v>0</v>
          </cell>
          <cell r="CL30">
            <v>0.3049</v>
          </cell>
          <cell r="CM30">
            <v>0</v>
          </cell>
          <cell r="CN30">
            <v>3.3999999999999998E-3</v>
          </cell>
          <cell r="CO30">
            <v>6.1999999999999998E-3</v>
          </cell>
          <cell r="CP30">
            <v>0</v>
          </cell>
          <cell r="CQ30">
            <v>0</v>
          </cell>
          <cell r="CR30">
            <v>5.9999999999999995E-4</v>
          </cell>
          <cell r="CS30">
            <v>3.1899999999999998E-2</v>
          </cell>
          <cell r="CT30">
            <v>4.7800000000000002E-2</v>
          </cell>
          <cell r="CU30">
            <v>0</v>
          </cell>
          <cell r="CV30">
            <v>7.0699999999999999E-2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5.7500000000000002E-2</v>
          </cell>
        </row>
        <row r="31">
          <cell r="A31" t="str">
            <v>DENE</v>
          </cell>
          <cell r="B31">
            <v>8170</v>
          </cell>
          <cell r="C31" t="str">
            <v>GENERATION</v>
          </cell>
          <cell r="D31">
            <v>3.2399999999999998E-2</v>
          </cell>
          <cell r="E31">
            <v>0</v>
          </cell>
          <cell r="F31">
            <v>0</v>
          </cell>
          <cell r="G31">
            <v>0.19800000000000001</v>
          </cell>
          <cell r="H31">
            <v>7.5399999999999995E-2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0.36020000000000002</v>
          </cell>
          <cell r="Q31">
            <v>0</v>
          </cell>
          <cell r="R31">
            <v>0</v>
          </cell>
          <cell r="S31">
            <v>5.2299999999999999E-2</v>
          </cell>
          <cell r="T31">
            <v>5.8900000000000001E-2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4.4999999999999997E-3</v>
          </cell>
          <cell r="AP31">
            <v>1.4098315474564364E-2</v>
          </cell>
          <cell r="AQ31">
            <v>1E-4</v>
          </cell>
          <cell r="AR31">
            <v>2E-3</v>
          </cell>
          <cell r="AS31">
            <v>0</v>
          </cell>
          <cell r="AT31">
            <v>6.0000000000000001E-3</v>
          </cell>
          <cell r="AU31">
            <v>3.5000000000000001E-3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1.8770862433054461E-5</v>
          </cell>
          <cell r="BC31">
            <v>1.5E-3</v>
          </cell>
          <cell r="BD31">
            <v>2E-3</v>
          </cell>
          <cell r="BE31">
            <v>0</v>
          </cell>
          <cell r="BF31">
            <v>1.5E-3</v>
          </cell>
          <cell r="BG31">
            <v>0</v>
          </cell>
          <cell r="BH31">
            <v>2.0999999999999999E-3</v>
          </cell>
          <cell r="BI31">
            <v>1.9E-3</v>
          </cell>
          <cell r="BJ31">
            <v>0</v>
          </cell>
          <cell r="BK31">
            <v>5.1999999999999998E-3</v>
          </cell>
          <cell r="BL31">
            <v>2.7000000000000001E-3</v>
          </cell>
          <cell r="BM31">
            <v>0</v>
          </cell>
          <cell r="BN31">
            <v>1.18E-2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2.3E-3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1.5E-3</v>
          </cell>
          <cell r="CO31">
            <v>2.7000000000000001E-3</v>
          </cell>
          <cell r="CP31">
            <v>0</v>
          </cell>
          <cell r="CQ31">
            <v>0</v>
          </cell>
          <cell r="CR31">
            <v>2.5000000000000001E-3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 t="str">
            <v>DETCI</v>
          </cell>
          <cell r="B32">
            <v>8160</v>
          </cell>
          <cell r="C32" t="str">
            <v>GENERATION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4.0000000000000002E-4</v>
          </cell>
          <cell r="T32">
            <v>5.0000000000000001E-4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1E-4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1E-4</v>
          </cell>
          <cell r="BM32">
            <v>0</v>
          </cell>
          <cell r="BN32">
            <v>0</v>
          </cell>
          <cell r="BO32">
            <v>2.7000000000000001E-3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1E-4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1E-4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 t="str">
            <v>DFAIR</v>
          </cell>
          <cell r="B33">
            <v>8000</v>
          </cell>
          <cell r="C33" t="str">
            <v>GENERATION</v>
          </cell>
          <cell r="D33">
            <v>2.5999999999999999E-3</v>
          </cell>
          <cell r="E33">
            <v>0</v>
          </cell>
          <cell r="F33">
            <v>0</v>
          </cell>
          <cell r="G33">
            <v>1.5900000000000001E-2</v>
          </cell>
          <cell r="H33">
            <v>6.1000000000000004E-3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3.4771942637345871E-2</v>
          </cell>
          <cell r="S33">
            <v>1.77E-2</v>
          </cell>
          <cell r="T33">
            <v>1.9900000000000001E-2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3.7000000000000002E-3</v>
          </cell>
          <cell r="AB33">
            <v>2.3999999999999998E-3</v>
          </cell>
          <cell r="AC33">
            <v>0</v>
          </cell>
          <cell r="AD33">
            <v>0</v>
          </cell>
          <cell r="AE33">
            <v>5.0000000000000001E-3</v>
          </cell>
          <cell r="AF33">
            <v>0</v>
          </cell>
          <cell r="AG33">
            <v>0</v>
          </cell>
          <cell r="AH33">
            <v>0</v>
          </cell>
          <cell r="AI33">
            <v>5.5999999999999999E-3</v>
          </cell>
          <cell r="AJ33">
            <v>0</v>
          </cell>
          <cell r="AK33">
            <v>4.3900000000000002E-2</v>
          </cell>
          <cell r="AL33">
            <v>2.3999999999999998E-3</v>
          </cell>
          <cell r="AM33">
            <v>7.7999999999999996E-3</v>
          </cell>
          <cell r="AN33">
            <v>0</v>
          </cell>
          <cell r="AO33">
            <v>6.6E-3</v>
          </cell>
          <cell r="AP33">
            <v>4.1952941637900072E-3</v>
          </cell>
          <cell r="AQ33">
            <v>1E-4</v>
          </cell>
          <cell r="AR33">
            <v>1.6500000000000001E-2</v>
          </cell>
          <cell r="AS33">
            <v>0</v>
          </cell>
          <cell r="AT33">
            <v>4.9599999999999998E-2</v>
          </cell>
          <cell r="AU33">
            <v>2.9100000000000001E-2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4.2847513056987621E-3</v>
          </cell>
          <cell r="BC33">
            <v>2.29E-2</v>
          </cell>
          <cell r="BD33">
            <v>3.1800000000000002E-2</v>
          </cell>
          <cell r="BE33">
            <v>0</v>
          </cell>
          <cell r="BF33">
            <v>2.3599999999999999E-2</v>
          </cell>
          <cell r="BG33">
            <v>0</v>
          </cell>
          <cell r="BH33">
            <v>3.27E-2</v>
          </cell>
          <cell r="BI33">
            <v>2.9899999999999999E-2</v>
          </cell>
          <cell r="BJ33">
            <v>0</v>
          </cell>
          <cell r="BK33">
            <v>8.1699999999999995E-2</v>
          </cell>
          <cell r="BL33">
            <v>4.2700000000000002E-2</v>
          </cell>
          <cell r="BM33">
            <v>0</v>
          </cell>
          <cell r="BN33">
            <v>0.18490000000000001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3.5900000000000001E-2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2.3199999999999998E-2</v>
          </cell>
          <cell r="CO33">
            <v>4.2099999999999999E-2</v>
          </cell>
          <cell r="CP33">
            <v>0</v>
          </cell>
          <cell r="CQ33">
            <v>0</v>
          </cell>
          <cell r="CR33">
            <v>4.1999999999999997E-3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 t="str">
            <v>DGBR</v>
          </cell>
          <cell r="B34">
            <v>8130</v>
          </cell>
          <cell r="C34" t="str">
            <v>ENERGY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1.3332572882880014E-6</v>
          </cell>
          <cell r="S34">
            <v>1E-4</v>
          </cell>
          <cell r="T34">
            <v>1E-4</v>
          </cell>
          <cell r="U34">
            <v>0</v>
          </cell>
          <cell r="V34">
            <v>0</v>
          </cell>
          <cell r="W34">
            <v>5.0000000000000001E-4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1.4E-3</v>
          </cell>
          <cell r="CT34">
            <v>2E-3</v>
          </cell>
          <cell r="CU34">
            <v>0</v>
          </cell>
          <cell r="CV34">
            <v>0</v>
          </cell>
          <cell r="CW34">
            <v>0</v>
          </cell>
          <cell r="CX34">
            <v>6.3E-3</v>
          </cell>
          <cell r="CY34">
            <v>0</v>
          </cell>
          <cell r="CZ34">
            <v>0</v>
          </cell>
          <cell r="DA34">
            <v>0</v>
          </cell>
          <cell r="DB34">
            <v>5.0000000000000001E-3</v>
          </cell>
          <cell r="DC34">
            <v>2.3999999999999998E-3</v>
          </cell>
        </row>
        <row r="35">
          <cell r="A35" t="str">
            <v>DGLLC</v>
          </cell>
          <cell r="B35">
            <v>8132</v>
          </cell>
          <cell r="C35" t="str">
            <v>ENERGY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1E-4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1E-4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DKINC</v>
          </cell>
          <cell r="B36">
            <v>8300</v>
          </cell>
          <cell r="C36" t="str">
            <v>GENERATION</v>
          </cell>
          <cell r="D36">
            <v>1.06E-2</v>
          </cell>
          <cell r="E36">
            <v>0</v>
          </cell>
          <cell r="F36">
            <v>0</v>
          </cell>
          <cell r="G36">
            <v>6.4699999999999994E-2</v>
          </cell>
          <cell r="H36">
            <v>2.46E-2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0.1176</v>
          </cell>
          <cell r="Q36">
            <v>0</v>
          </cell>
          <cell r="R36">
            <v>2.2360739424492085E-2</v>
          </cell>
          <cell r="S36">
            <v>4.4000000000000003E-3</v>
          </cell>
          <cell r="T36">
            <v>5.0000000000000001E-3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1.38E-2</v>
          </cell>
          <cell r="AB36">
            <v>9.1999999999999998E-3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2.1100000000000001E-2</v>
          </cell>
          <cell r="AJ36">
            <v>0</v>
          </cell>
          <cell r="AK36">
            <v>0.16439999999999999</v>
          </cell>
          <cell r="AL36">
            <v>0</v>
          </cell>
          <cell r="AM36">
            <v>5.1999999999999998E-3</v>
          </cell>
          <cell r="AN36">
            <v>0</v>
          </cell>
          <cell r="AO36">
            <v>5.0000000000000001E-3</v>
          </cell>
          <cell r="AP36">
            <v>5.4075989547245967E-3</v>
          </cell>
          <cell r="AQ36">
            <v>2.5999999999999999E-3</v>
          </cell>
          <cell r="AR36">
            <v>1.24E-2</v>
          </cell>
          <cell r="AS36">
            <v>0</v>
          </cell>
          <cell r="AT36">
            <v>3.73E-2</v>
          </cell>
          <cell r="AU36">
            <v>2.18E-2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4.0128812458709003E-3</v>
          </cell>
          <cell r="BC36">
            <v>1.47E-2</v>
          </cell>
          <cell r="BD36">
            <v>2.0500000000000001E-2</v>
          </cell>
          <cell r="BE36">
            <v>0</v>
          </cell>
          <cell r="BF36">
            <v>1.52E-2</v>
          </cell>
          <cell r="BG36">
            <v>0</v>
          </cell>
          <cell r="BH36">
            <v>2.1000000000000001E-2</v>
          </cell>
          <cell r="BI36">
            <v>1.9199999999999998E-2</v>
          </cell>
          <cell r="BJ36">
            <v>0</v>
          </cell>
          <cell r="BK36">
            <v>5.2499999999999998E-2</v>
          </cell>
          <cell r="BL36">
            <v>2.75E-2</v>
          </cell>
          <cell r="BM36">
            <v>0</v>
          </cell>
          <cell r="BN36">
            <v>0.11890000000000001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2.3099999999999999E-2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2.7E-2</v>
          </cell>
          <cell r="CP36">
            <v>0</v>
          </cell>
          <cell r="CQ36">
            <v>0</v>
          </cell>
          <cell r="CR36">
            <v>7.7000000000000002E-3</v>
          </cell>
          <cell r="CS36">
            <v>1.1299999999999999E-2</v>
          </cell>
          <cell r="CT36">
            <v>1.7000000000000001E-2</v>
          </cell>
          <cell r="CU36">
            <v>0</v>
          </cell>
          <cell r="CV36">
            <v>2.5100000000000001E-2</v>
          </cell>
          <cell r="CW36">
            <v>0.16900000000000001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2.0400000000000001E-2</v>
          </cell>
        </row>
        <row r="37">
          <cell r="A37" t="str">
            <v>DLI</v>
          </cell>
          <cell r="B37" t="str">
            <v>Not in SAP</v>
          </cell>
          <cell r="C37" t="str">
            <v>CORP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1.0203269887569377E-3</v>
          </cell>
          <cell r="S37">
            <v>1.9E-3</v>
          </cell>
          <cell r="T37">
            <v>2.0999999999999999E-3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1E-4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1E-4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4.1999999999999997E-3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7.4999999999999997E-3</v>
          </cell>
        </row>
        <row r="38">
          <cell r="A38" t="str">
            <v>DMANCH</v>
          </cell>
          <cell r="B38">
            <v>8167</v>
          </cell>
          <cell r="C38" t="str">
            <v>GENERATION</v>
          </cell>
          <cell r="D38">
            <v>2.5000000000000001E-3</v>
          </cell>
          <cell r="E38">
            <v>0</v>
          </cell>
          <cell r="F38">
            <v>0</v>
          </cell>
          <cell r="G38">
            <v>1.55E-2</v>
          </cell>
          <cell r="H38">
            <v>5.8999999999999999E-3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7.7878817282273534E-3</v>
          </cell>
          <cell r="S38">
            <v>2.3E-3</v>
          </cell>
          <cell r="T38">
            <v>2.5999999999999999E-3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3.3999999999999998E-3</v>
          </cell>
          <cell r="AB38">
            <v>2.3E-3</v>
          </cell>
          <cell r="AC38">
            <v>0</v>
          </cell>
          <cell r="AD38">
            <v>0</v>
          </cell>
          <cell r="AE38">
            <v>4.7000000000000002E-3</v>
          </cell>
          <cell r="AF38">
            <v>0</v>
          </cell>
          <cell r="AG38">
            <v>0</v>
          </cell>
          <cell r="AH38">
            <v>0</v>
          </cell>
          <cell r="AI38">
            <v>5.1999999999999998E-3</v>
          </cell>
          <cell r="AJ38">
            <v>0</v>
          </cell>
          <cell r="AK38">
            <v>4.0500000000000001E-2</v>
          </cell>
          <cell r="AL38">
            <v>0</v>
          </cell>
          <cell r="AM38">
            <v>0</v>
          </cell>
          <cell r="AN38">
            <v>0</v>
          </cell>
          <cell r="AO38">
            <v>6.1999999999999998E-3</v>
          </cell>
          <cell r="AP38">
            <v>2.9750200465832165E-3</v>
          </cell>
          <cell r="AQ38">
            <v>1.2999999999999999E-3</v>
          </cell>
          <cell r="AR38">
            <v>2.3E-3</v>
          </cell>
          <cell r="AS38">
            <v>0</v>
          </cell>
          <cell r="AT38">
            <v>6.8999999999999999E-3</v>
          </cell>
          <cell r="AU38">
            <v>4.0000000000000001E-3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7.7866577720882171E-4</v>
          </cell>
          <cell r="BC38">
            <v>5.1000000000000004E-3</v>
          </cell>
          <cell r="BD38">
            <v>7.1000000000000004E-3</v>
          </cell>
          <cell r="BE38">
            <v>0</v>
          </cell>
          <cell r="BF38">
            <v>5.3E-3</v>
          </cell>
          <cell r="BG38">
            <v>0</v>
          </cell>
          <cell r="BH38">
            <v>7.3000000000000001E-3</v>
          </cell>
          <cell r="BI38">
            <v>6.7000000000000002E-3</v>
          </cell>
          <cell r="BJ38">
            <v>0</v>
          </cell>
          <cell r="BK38">
            <v>1.83E-2</v>
          </cell>
          <cell r="BL38">
            <v>9.5999999999999992E-3</v>
          </cell>
          <cell r="BM38">
            <v>0</v>
          </cell>
          <cell r="BN38">
            <v>4.1399999999999999E-2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8.0000000000000002E-3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5.1999999999999998E-3</v>
          </cell>
          <cell r="CO38">
            <v>9.4000000000000004E-3</v>
          </cell>
          <cell r="CP38">
            <v>0</v>
          </cell>
          <cell r="CQ38">
            <v>0</v>
          </cell>
          <cell r="CR38">
            <v>1.4E-3</v>
          </cell>
          <cell r="CS38">
            <v>3.0999999999999999E-3</v>
          </cell>
          <cell r="CT38">
            <v>4.5999999999999999E-3</v>
          </cell>
          <cell r="CU38">
            <v>0</v>
          </cell>
          <cell r="CV38">
            <v>6.7999999999999996E-3</v>
          </cell>
          <cell r="CW38">
            <v>4.5900000000000003E-2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5.5999999999999999E-3</v>
          </cell>
        </row>
        <row r="39">
          <cell r="A39" t="str">
            <v>DMORG</v>
          </cell>
          <cell r="B39">
            <v>8300</v>
          </cell>
          <cell r="C39" t="str">
            <v>GENERATION</v>
          </cell>
          <cell r="D39">
            <v>3.3999999999999998E-3</v>
          </cell>
          <cell r="E39">
            <v>0</v>
          </cell>
          <cell r="F39">
            <v>0</v>
          </cell>
          <cell r="G39">
            <v>2.0799999999999999E-2</v>
          </cell>
          <cell r="H39">
            <v>7.9000000000000008E-3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5.0527488432141276E-4</v>
          </cell>
          <cell r="S39">
            <v>1.1000000000000001E-3</v>
          </cell>
          <cell r="T39">
            <v>1.2999999999999999E-3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4.4999999999999997E-3</v>
          </cell>
          <cell r="AB39">
            <v>3.0000000000000001E-3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6.7999999999999996E-3</v>
          </cell>
          <cell r="AJ39">
            <v>0</v>
          </cell>
          <cell r="AK39">
            <v>5.2900000000000003E-2</v>
          </cell>
          <cell r="AL39">
            <v>0</v>
          </cell>
          <cell r="AM39">
            <v>1E-4</v>
          </cell>
          <cell r="AN39">
            <v>0</v>
          </cell>
          <cell r="AO39">
            <v>5.0000000000000001E-4</v>
          </cell>
          <cell r="AP39">
            <v>2.0268623059458392E-4</v>
          </cell>
          <cell r="AQ39">
            <v>1E-4</v>
          </cell>
          <cell r="AR39">
            <v>0</v>
          </cell>
          <cell r="AS39">
            <v>0</v>
          </cell>
          <cell r="AT39">
            <v>1E-4</v>
          </cell>
          <cell r="AU39">
            <v>1E-4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4.7201660949982751E-6</v>
          </cell>
          <cell r="BC39">
            <v>2.9999999999999997E-4</v>
          </cell>
          <cell r="BD39">
            <v>5.0000000000000001E-4</v>
          </cell>
          <cell r="BE39">
            <v>0</v>
          </cell>
          <cell r="BF39">
            <v>2.9999999999999997E-4</v>
          </cell>
          <cell r="BG39">
            <v>0</v>
          </cell>
          <cell r="BH39">
            <v>5.0000000000000001E-4</v>
          </cell>
          <cell r="BI39">
            <v>4.0000000000000002E-4</v>
          </cell>
          <cell r="BJ39">
            <v>0</v>
          </cell>
          <cell r="BK39">
            <v>1.1999999999999999E-3</v>
          </cell>
          <cell r="BL39">
            <v>5.9999999999999995E-4</v>
          </cell>
          <cell r="BM39">
            <v>0</v>
          </cell>
          <cell r="BN39">
            <v>2.7000000000000001E-3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2.9999999999999997E-4</v>
          </cell>
          <cell r="CO39">
            <v>5.9999999999999995E-4</v>
          </cell>
          <cell r="CP39">
            <v>0</v>
          </cell>
          <cell r="CQ39">
            <v>0</v>
          </cell>
          <cell r="CR39">
            <v>1E-4</v>
          </cell>
          <cell r="CS39">
            <v>1E-3</v>
          </cell>
          <cell r="CT39">
            <v>1.5E-3</v>
          </cell>
          <cell r="CU39">
            <v>0</v>
          </cell>
          <cell r="CV39">
            <v>2.2000000000000001E-3</v>
          </cell>
          <cell r="CW39">
            <v>1.4500000000000001E-2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1.8E-3</v>
          </cell>
        </row>
        <row r="40">
          <cell r="A40" t="str">
            <v>DNC</v>
          </cell>
          <cell r="B40">
            <v>8205</v>
          </cell>
          <cell r="C40" t="str">
            <v>GENERATION</v>
          </cell>
          <cell r="D40">
            <v>8.4099999999999994E-2</v>
          </cell>
          <cell r="E40">
            <v>0.31840000000000002</v>
          </cell>
          <cell r="F40">
            <v>0.31840000000000002</v>
          </cell>
          <cell r="G40">
            <v>0</v>
          </cell>
          <cell r="H40">
            <v>0.19570000000000001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3.9611281430614695E-2</v>
          </cell>
          <cell r="S40">
            <v>9.5500000000000002E-2</v>
          </cell>
          <cell r="T40">
            <v>0.1076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3.8199999999999998E-2</v>
          </cell>
          <cell r="Z40">
            <v>0</v>
          </cell>
          <cell r="AA40">
            <v>0.1406</v>
          </cell>
          <cell r="AB40">
            <v>9.3100000000000002E-2</v>
          </cell>
          <cell r="AC40">
            <v>0.3276</v>
          </cell>
          <cell r="AD40">
            <v>0</v>
          </cell>
          <cell r="AE40">
            <v>0.19189999999999999</v>
          </cell>
          <cell r="AF40">
            <v>0</v>
          </cell>
          <cell r="AG40">
            <v>0</v>
          </cell>
          <cell r="AH40">
            <v>0</v>
          </cell>
          <cell r="AI40">
            <v>0.2147</v>
          </cell>
          <cell r="AJ40">
            <v>0</v>
          </cell>
          <cell r="AK40">
            <v>0</v>
          </cell>
          <cell r="AL40">
            <v>0.1103</v>
          </cell>
          <cell r="AM40">
            <v>2.9499999999999998E-2</v>
          </cell>
          <cell r="AN40">
            <v>0</v>
          </cell>
          <cell r="AO40">
            <v>4.2500000000000003E-2</v>
          </cell>
          <cell r="AP40">
            <v>4.0789185596616075E-2</v>
          </cell>
          <cell r="AQ40">
            <v>8.8000000000000005E-3</v>
          </cell>
          <cell r="AR40">
            <v>8.5099999999999995E-2</v>
          </cell>
          <cell r="AS40">
            <v>0.38219999999999998</v>
          </cell>
          <cell r="AT40">
            <v>0</v>
          </cell>
          <cell r="AU40">
            <v>0.15010000000000001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3.1097751214445878E-2</v>
          </cell>
          <cell r="BC40">
            <v>8.6800000000000002E-2</v>
          </cell>
          <cell r="BD40">
            <v>0.1207</v>
          </cell>
          <cell r="BE40">
            <v>0</v>
          </cell>
          <cell r="BF40">
            <v>8.9599999999999999E-2</v>
          </cell>
          <cell r="BG40">
            <v>0</v>
          </cell>
          <cell r="BH40">
            <v>0.1241</v>
          </cell>
          <cell r="BI40">
            <v>0.1134</v>
          </cell>
          <cell r="BJ40">
            <v>0.34670000000000001</v>
          </cell>
          <cell r="BK40">
            <v>0</v>
          </cell>
          <cell r="BL40">
            <v>0.16209999999999999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0.1363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8.8099999999999998E-2</v>
          </cell>
          <cell r="CO40">
            <v>0.1595</v>
          </cell>
          <cell r="CP40">
            <v>0</v>
          </cell>
          <cell r="CQ40">
            <v>0</v>
          </cell>
          <cell r="CR40">
            <v>9.9599999999999994E-2</v>
          </cell>
          <cell r="CS40">
            <v>5.4300000000000001E-2</v>
          </cell>
          <cell r="CT40">
            <v>8.1299999999999997E-2</v>
          </cell>
          <cell r="CU40">
            <v>0.2893</v>
          </cell>
          <cell r="CV40">
            <v>0.1202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9.7799999999999998E-2</v>
          </cell>
        </row>
        <row r="41">
          <cell r="A41" t="str">
            <v>DNNA</v>
          </cell>
          <cell r="B41">
            <v>8207</v>
          </cell>
          <cell r="C41" t="str">
            <v>GENERATION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4.2071674430421379E-5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1.1000000000000001E-3</v>
          </cell>
          <cell r="AP41">
            <v>0</v>
          </cell>
          <cell r="AQ41">
            <v>0</v>
          </cell>
          <cell r="AR41">
            <v>1.0699999999999999E-2</v>
          </cell>
          <cell r="AS41">
            <v>0</v>
          </cell>
          <cell r="AT41">
            <v>0</v>
          </cell>
          <cell r="AU41">
            <v>1.89E-2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5.6788275685768835E-3</v>
          </cell>
          <cell r="BC41">
            <v>1E-4</v>
          </cell>
          <cell r="BD41">
            <v>1E-4</v>
          </cell>
          <cell r="BE41">
            <v>0</v>
          </cell>
          <cell r="BF41">
            <v>1E-4</v>
          </cell>
          <cell r="BG41">
            <v>0</v>
          </cell>
          <cell r="BH41">
            <v>0</v>
          </cell>
          <cell r="BI41">
            <v>1E-4</v>
          </cell>
          <cell r="BJ41">
            <v>2.9999999999999997E-4</v>
          </cell>
          <cell r="BK41">
            <v>0</v>
          </cell>
          <cell r="BL41">
            <v>1E-4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1E-4</v>
          </cell>
          <cell r="CO41">
            <v>1E-4</v>
          </cell>
          <cell r="CP41">
            <v>0</v>
          </cell>
          <cell r="CQ41">
            <v>0</v>
          </cell>
          <cell r="CR41">
            <v>2.8E-3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</row>
        <row r="42">
          <cell r="A42" t="str">
            <v>DOES</v>
          </cell>
          <cell r="B42">
            <v>5005</v>
          </cell>
          <cell r="C42" t="str">
            <v>DOM VP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 t="str">
            <v>DOTEPI</v>
          </cell>
          <cell r="B43">
            <v>8535</v>
          </cell>
          <cell r="C43" t="str">
            <v>CORP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 t="str">
            <v>DPLES</v>
          </cell>
          <cell r="B44">
            <v>8135</v>
          </cell>
          <cell r="C44" t="str">
            <v>GENERATION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 t="str">
            <v>DRCT</v>
          </cell>
          <cell r="B45">
            <v>101</v>
          </cell>
          <cell r="C45" t="str">
            <v>CORP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 t="str">
            <v>DRI</v>
          </cell>
          <cell r="B46">
            <v>100</v>
          </cell>
          <cell r="C46" t="str">
            <v>CORP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2.9606015064325962E-3</v>
          </cell>
          <cell r="S46">
            <v>8.4699999999999998E-2</v>
          </cell>
          <cell r="T46">
            <v>9.5399999999999999E-2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2.9999999999999997E-4</v>
          </cell>
          <cell r="AN46">
            <v>0</v>
          </cell>
          <cell r="AO46">
            <v>3.8999999999999998E-3</v>
          </cell>
          <cell r="AP46">
            <v>1.2431571205498608E-4</v>
          </cell>
          <cell r="AQ46">
            <v>0</v>
          </cell>
          <cell r="AR46">
            <v>2.7000000000000001E-3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2.3E-3</v>
          </cell>
          <cell r="BD46">
            <v>0</v>
          </cell>
          <cell r="BE46">
            <v>0</v>
          </cell>
          <cell r="BF46">
            <v>2.3999999999999998E-3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2.3999999999999998E-3</v>
          </cell>
          <cell r="CO46">
            <v>0</v>
          </cell>
          <cell r="CP46">
            <v>0</v>
          </cell>
          <cell r="CQ46">
            <v>0</v>
          </cell>
          <cell r="CR46">
            <v>0.17780000000000001</v>
          </cell>
          <cell r="CS46">
            <v>6.7599999999999993E-2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0.1216</v>
          </cell>
        </row>
        <row r="47">
          <cell r="A47" t="str">
            <v>DSALEM</v>
          </cell>
          <cell r="B47">
            <v>8169</v>
          </cell>
          <cell r="C47" t="str">
            <v>GENERATION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3.5952053105119189E-2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1.77E-2</v>
          </cell>
          <cell r="AB47">
            <v>1.17E-2</v>
          </cell>
          <cell r="AC47">
            <v>0</v>
          </cell>
          <cell r="AD47">
            <v>0</v>
          </cell>
          <cell r="AE47">
            <v>2.4199999999999999E-2</v>
          </cell>
          <cell r="AF47">
            <v>0</v>
          </cell>
          <cell r="AG47">
            <v>0</v>
          </cell>
          <cell r="AH47">
            <v>0</v>
          </cell>
          <cell r="AI47">
            <v>2.7099999999999999E-2</v>
          </cell>
          <cell r="AJ47">
            <v>0</v>
          </cell>
          <cell r="AK47">
            <v>0.2107</v>
          </cell>
          <cell r="AL47">
            <v>0</v>
          </cell>
          <cell r="AM47">
            <v>0</v>
          </cell>
          <cell r="AN47">
            <v>0</v>
          </cell>
          <cell r="AO47">
            <v>1.83E-2</v>
          </cell>
          <cell r="AP47">
            <v>1.2348669641809073E-2</v>
          </cell>
          <cell r="AQ47">
            <v>5.1000000000000004E-3</v>
          </cell>
          <cell r="AR47">
            <v>1.5900000000000001E-2</v>
          </cell>
          <cell r="AS47">
            <v>0</v>
          </cell>
          <cell r="AT47">
            <v>4.7899999999999998E-2</v>
          </cell>
          <cell r="AU47">
            <v>2.81E-2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3.5917811167898838E-3</v>
          </cell>
          <cell r="BC47">
            <v>2.3699999999999999E-2</v>
          </cell>
          <cell r="BD47">
            <v>3.2899999999999999E-2</v>
          </cell>
          <cell r="BE47">
            <v>0</v>
          </cell>
          <cell r="BF47">
            <v>2.4400000000000002E-2</v>
          </cell>
          <cell r="BG47">
            <v>0</v>
          </cell>
          <cell r="BH47">
            <v>3.3799999999999997E-2</v>
          </cell>
          <cell r="BI47">
            <v>3.09E-2</v>
          </cell>
          <cell r="BJ47">
            <v>0</v>
          </cell>
          <cell r="BK47">
            <v>8.4400000000000003E-2</v>
          </cell>
          <cell r="BL47">
            <v>4.4200000000000003E-2</v>
          </cell>
          <cell r="BM47">
            <v>0</v>
          </cell>
          <cell r="BN47">
            <v>0.19109999999999999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3.7100000000000001E-2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2.4E-2</v>
          </cell>
          <cell r="CO47">
            <v>4.3499999999999997E-2</v>
          </cell>
          <cell r="CP47">
            <v>0</v>
          </cell>
          <cell r="CQ47">
            <v>0</v>
          </cell>
          <cell r="CR47">
            <v>6.1999999999999998E-3</v>
          </cell>
          <cell r="CS47">
            <v>3.8E-3</v>
          </cell>
          <cell r="CT47">
            <v>5.7000000000000002E-3</v>
          </cell>
          <cell r="CU47">
            <v>0</v>
          </cell>
          <cell r="CV47">
            <v>8.3999999999999995E-3</v>
          </cell>
          <cell r="CW47">
            <v>5.6800000000000003E-2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6.8999999999999999E-3</v>
          </cell>
        </row>
        <row r="48">
          <cell r="A48" t="str">
            <v>DSTATE</v>
          </cell>
          <cell r="B48">
            <v>8150</v>
          </cell>
          <cell r="C48" t="str">
            <v>GENERATION</v>
          </cell>
          <cell r="D48">
            <v>8.8000000000000005E-3</v>
          </cell>
          <cell r="E48">
            <v>0</v>
          </cell>
          <cell r="F48">
            <v>0</v>
          </cell>
          <cell r="G48">
            <v>5.3600000000000002E-2</v>
          </cell>
          <cell r="H48">
            <v>2.0400000000000001E-2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9.7500000000000003E-2</v>
          </cell>
          <cell r="Q48">
            <v>0</v>
          </cell>
          <cell r="R48">
            <v>1.7900104956976529E-2</v>
          </cell>
          <cell r="S48">
            <v>6.7999999999999996E-3</v>
          </cell>
          <cell r="T48">
            <v>7.7000000000000002E-3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1.18E-2</v>
          </cell>
          <cell r="AB48">
            <v>7.7999999999999996E-3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1.7999999999999999E-2</v>
          </cell>
          <cell r="AJ48">
            <v>0</v>
          </cell>
          <cell r="AK48">
            <v>0.1396</v>
          </cell>
          <cell r="AL48">
            <v>0</v>
          </cell>
          <cell r="AM48">
            <v>4.0000000000000001E-3</v>
          </cell>
          <cell r="AN48">
            <v>0</v>
          </cell>
          <cell r="AO48">
            <v>3.5000000000000001E-3</v>
          </cell>
          <cell r="AP48">
            <v>5.3600321622008984E-3</v>
          </cell>
          <cell r="AQ48">
            <v>1.4E-3</v>
          </cell>
          <cell r="AR48">
            <v>1.29E-2</v>
          </cell>
          <cell r="AS48">
            <v>0</v>
          </cell>
          <cell r="AT48">
            <v>3.9E-2</v>
          </cell>
          <cell r="AU48">
            <v>2.2800000000000001E-2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7.4059366501822042E-3</v>
          </cell>
          <cell r="BC48">
            <v>1.18E-2</v>
          </cell>
          <cell r="BD48">
            <v>1.6400000000000001E-2</v>
          </cell>
          <cell r="BE48">
            <v>0</v>
          </cell>
          <cell r="BF48">
            <v>1.2200000000000001E-2</v>
          </cell>
          <cell r="BG48">
            <v>0</v>
          </cell>
          <cell r="BH48">
            <v>1.6799999999999999E-2</v>
          </cell>
          <cell r="BI48">
            <v>1.54E-2</v>
          </cell>
          <cell r="BJ48">
            <v>0</v>
          </cell>
          <cell r="BK48">
            <v>4.2000000000000003E-2</v>
          </cell>
          <cell r="BL48">
            <v>2.1999999999999999E-2</v>
          </cell>
          <cell r="BM48">
            <v>0</v>
          </cell>
          <cell r="BN48">
            <v>9.5200000000000007E-2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1.8499999999999999E-2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1.2E-2</v>
          </cell>
          <cell r="CO48">
            <v>2.1700000000000001E-2</v>
          </cell>
          <cell r="CP48">
            <v>0</v>
          </cell>
          <cell r="CQ48">
            <v>0</v>
          </cell>
          <cell r="CR48">
            <v>1.0800000000000001E-2</v>
          </cell>
          <cell r="CS48">
            <v>5.4999999999999997E-3</v>
          </cell>
          <cell r="CT48">
            <v>8.3000000000000001E-3</v>
          </cell>
          <cell r="CU48">
            <v>0</v>
          </cell>
          <cell r="CV48">
            <v>1.2200000000000001E-2</v>
          </cell>
          <cell r="CW48">
            <v>8.2299999999999998E-2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0.01</v>
          </cell>
        </row>
        <row r="49">
          <cell r="A49" t="str">
            <v>DTECH</v>
          </cell>
          <cell r="B49">
            <v>5008</v>
          </cell>
          <cell r="C49" t="str">
            <v>DOM VP</v>
          </cell>
          <cell r="D49">
            <v>1.6299999999999999E-2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5.5199999999999999E-2</v>
          </cell>
          <cell r="L49">
            <v>6.1690000000000002E-2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4.0127785304097472E-3</v>
          </cell>
          <cell r="S49">
            <v>3.8E-3</v>
          </cell>
          <cell r="T49">
            <v>4.3E-3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1.46E-2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1.6500000000000001E-2</v>
          </cell>
          <cell r="AM49">
            <v>6.0000000000000001E-3</v>
          </cell>
          <cell r="AN49">
            <v>0</v>
          </cell>
          <cell r="AO49">
            <v>3.5999999999999999E-3</v>
          </cell>
          <cell r="AP49">
            <v>1.1101284902747845E-2</v>
          </cell>
          <cell r="AQ49">
            <v>1.7399999999999999E-2</v>
          </cell>
          <cell r="AR49">
            <v>4.7999999999999996E-3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2.6800000000000001E-2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1.4265337183931841E-4</v>
          </cell>
          <cell r="BC49">
            <v>8.9999999999999993E-3</v>
          </cell>
          <cell r="BD49">
            <v>1.26E-2</v>
          </cell>
          <cell r="BE49">
            <v>0</v>
          </cell>
          <cell r="BF49">
            <v>9.2999999999999992E-3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7.5200000000000003E-2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4.53E-2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9.1999999999999998E-3</v>
          </cell>
          <cell r="CO49">
            <v>0</v>
          </cell>
          <cell r="CP49">
            <v>2.2800000000000001E-2</v>
          </cell>
          <cell r="CQ49">
            <v>0</v>
          </cell>
          <cell r="CR49">
            <v>3.3E-3</v>
          </cell>
          <cell r="CS49">
            <v>1E-4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4.0000000000000002E-4</v>
          </cell>
          <cell r="CZ49">
            <v>0</v>
          </cell>
          <cell r="DA49">
            <v>0</v>
          </cell>
          <cell r="DB49">
            <v>0</v>
          </cell>
          <cell r="DC49">
            <v>1E-4</v>
          </cell>
        </row>
        <row r="50">
          <cell r="A50" t="str">
            <v>DTROY</v>
          </cell>
          <cell r="B50">
            <v>8136</v>
          </cell>
          <cell r="C50" t="str">
            <v>GENERATION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 t="str">
            <v>EOG</v>
          </cell>
          <cell r="B51">
            <v>1001</v>
          </cell>
          <cell r="C51" t="str">
            <v>ENERGY</v>
          </cell>
          <cell r="D51">
            <v>0.1074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0.47750000000000004</v>
          </cell>
          <cell r="K51">
            <v>0</v>
          </cell>
          <cell r="L51">
            <v>0</v>
          </cell>
          <cell r="M51">
            <v>0.68369999999999997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6.1589168617789951E-2</v>
          </cell>
          <cell r="S51">
            <v>6.8199999999999997E-2</v>
          </cell>
          <cell r="T51">
            <v>7.6799999999999993E-2</v>
          </cell>
          <cell r="U51">
            <v>0</v>
          </cell>
          <cell r="V51">
            <v>0</v>
          </cell>
          <cell r="W51">
            <v>0.3412</v>
          </cell>
          <cell r="X51">
            <v>0.2987640235318707</v>
          </cell>
          <cell r="Y51">
            <v>0.21759999999999999</v>
          </cell>
          <cell r="Z51">
            <v>0.12790000000000001</v>
          </cell>
          <cell r="AA51">
            <v>0</v>
          </cell>
          <cell r="AB51">
            <v>9.4700000000000006E-2</v>
          </cell>
          <cell r="AC51">
            <v>0</v>
          </cell>
          <cell r="AD51">
            <v>0</v>
          </cell>
          <cell r="AE51">
            <v>0.19510000000000002</v>
          </cell>
          <cell r="AF51">
            <v>0.224</v>
          </cell>
          <cell r="AG51">
            <v>0.25040000000000001</v>
          </cell>
          <cell r="AH51">
            <v>0.44590000000000002</v>
          </cell>
          <cell r="AI51">
            <v>0</v>
          </cell>
          <cell r="AJ51">
            <v>0</v>
          </cell>
          <cell r="AK51">
            <v>0</v>
          </cell>
          <cell r="AL51">
            <v>0.1076</v>
          </cell>
          <cell r="AM51">
            <v>0.1779</v>
          </cell>
          <cell r="AN51">
            <v>0.29149999999999998</v>
          </cell>
          <cell r="AO51">
            <v>0.1002</v>
          </cell>
          <cell r="AP51">
            <v>8.8898480245278591E-2</v>
          </cell>
          <cell r="AQ51">
            <v>0.15970000000000001</v>
          </cell>
          <cell r="AR51">
            <v>4.7E-2</v>
          </cell>
          <cell r="AS51">
            <v>0</v>
          </cell>
          <cell r="AT51">
            <v>0</v>
          </cell>
          <cell r="AU51">
            <v>0</v>
          </cell>
          <cell r="AV51">
            <v>0.68940000000000001</v>
          </cell>
          <cell r="AW51">
            <v>0</v>
          </cell>
          <cell r="AX51">
            <v>0.54689999999999994</v>
          </cell>
          <cell r="AY51">
            <v>6.8199999999999997E-2</v>
          </cell>
          <cell r="AZ51">
            <v>0.25874918988982504</v>
          </cell>
          <cell r="BA51">
            <v>0.31523884721673906</v>
          </cell>
          <cell r="BB51">
            <v>4.7546779010197805E-2</v>
          </cell>
          <cell r="BC51">
            <v>0.1027</v>
          </cell>
          <cell r="BD51">
            <v>0</v>
          </cell>
          <cell r="BE51">
            <v>0.4632</v>
          </cell>
          <cell r="BF51">
            <v>0.106</v>
          </cell>
          <cell r="BG51">
            <v>0.15090000000000001</v>
          </cell>
          <cell r="BH51">
            <v>0</v>
          </cell>
          <cell r="BI51">
            <v>0.1343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0.44739999999999996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0.75800000000000001</v>
          </cell>
          <cell r="BW51">
            <v>0.67659999999999998</v>
          </cell>
          <cell r="BX51">
            <v>0.35410000000000003</v>
          </cell>
          <cell r="BY51">
            <v>0.67659999999999998</v>
          </cell>
          <cell r="BZ51">
            <v>0</v>
          </cell>
          <cell r="CA51">
            <v>0.1613</v>
          </cell>
          <cell r="CB51">
            <v>0</v>
          </cell>
          <cell r="CC51">
            <v>0</v>
          </cell>
          <cell r="CD51">
            <v>0.38640000000000002</v>
          </cell>
          <cell r="CE51">
            <v>0.48799999999999999</v>
          </cell>
          <cell r="CF51">
            <v>0</v>
          </cell>
          <cell r="CG51">
            <v>0.82399999999999995</v>
          </cell>
          <cell r="CH51">
            <v>0.90449999999999997</v>
          </cell>
          <cell r="CI51">
            <v>0</v>
          </cell>
          <cell r="CJ51">
            <v>0</v>
          </cell>
          <cell r="CK51">
            <v>0.17030000000000001</v>
          </cell>
          <cell r="CL51">
            <v>0</v>
          </cell>
          <cell r="CM51">
            <v>0</v>
          </cell>
          <cell r="CN51">
            <v>0.1043</v>
          </cell>
          <cell r="CO51">
            <v>0</v>
          </cell>
          <cell r="CP51">
            <v>0.25900000000000001</v>
          </cell>
          <cell r="CQ51">
            <v>0</v>
          </cell>
          <cell r="CR51">
            <v>0.1133</v>
          </cell>
          <cell r="CS51">
            <v>6.0100000000000001E-2</v>
          </cell>
          <cell r="CT51">
            <v>8.9899999999999994E-2</v>
          </cell>
          <cell r="CU51">
            <v>0</v>
          </cell>
          <cell r="CV51">
            <v>0</v>
          </cell>
          <cell r="CW51">
            <v>0</v>
          </cell>
          <cell r="CX51">
            <v>0.27760000000000001</v>
          </cell>
          <cell r="CY51">
            <v>0</v>
          </cell>
          <cell r="CZ51">
            <v>0.64780000000000004</v>
          </cell>
          <cell r="DA51">
            <v>0</v>
          </cell>
          <cell r="DB51">
            <v>0.2208</v>
          </cell>
          <cell r="DC51">
            <v>0.10829999999999999</v>
          </cell>
        </row>
        <row r="52">
          <cell r="A52" t="str">
            <v>HOPE</v>
          </cell>
          <cell r="B52">
            <v>1003</v>
          </cell>
          <cell r="C52" t="str">
            <v xml:space="preserve">CORP </v>
          </cell>
          <cell r="D52">
            <v>1.44E-2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9.1899999999999996E-2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7.7791711139438714E-3</v>
          </cell>
          <cell r="S52">
            <v>9.1999999999999998E-3</v>
          </cell>
          <cell r="T52">
            <v>1.04E-2</v>
          </cell>
          <cell r="U52">
            <v>0</v>
          </cell>
          <cell r="V52">
            <v>0</v>
          </cell>
          <cell r="W52">
            <v>4.5999999999999999E-2</v>
          </cell>
          <cell r="X52">
            <v>2.8357748366354588E-2</v>
          </cell>
          <cell r="Y52">
            <v>2.07E-2</v>
          </cell>
          <cell r="Z52">
            <v>1.7000000000000001E-2</v>
          </cell>
          <cell r="AA52">
            <v>0</v>
          </cell>
          <cell r="AB52">
            <v>1.26E-2</v>
          </cell>
          <cell r="AC52">
            <v>0</v>
          </cell>
          <cell r="AD52">
            <v>0</v>
          </cell>
          <cell r="AE52">
            <v>2.5999999999999999E-2</v>
          </cell>
          <cell r="AF52">
            <v>2.9899999999999999E-2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1.55E-2</v>
          </cell>
          <cell r="AM52">
            <v>1.5900000000000001E-2</v>
          </cell>
          <cell r="AN52">
            <v>3.3799999999999997E-2</v>
          </cell>
          <cell r="AO52">
            <v>9.4999999999999998E-3</v>
          </cell>
          <cell r="AP52">
            <v>1.1825793759181158E-2</v>
          </cell>
          <cell r="AQ52">
            <v>3.3500000000000002E-2</v>
          </cell>
          <cell r="AR52">
            <v>4.7999999999999996E-3</v>
          </cell>
          <cell r="AS52">
            <v>0</v>
          </cell>
          <cell r="AT52">
            <v>0</v>
          </cell>
          <cell r="AU52">
            <v>0</v>
          </cell>
          <cell r="AV52">
            <v>7.0900000000000005E-2</v>
          </cell>
          <cell r="AW52">
            <v>0</v>
          </cell>
          <cell r="AX52">
            <v>0.1147</v>
          </cell>
          <cell r="AY52">
            <v>0</v>
          </cell>
          <cell r="AZ52">
            <v>5.6707712248865848E-3</v>
          </cell>
          <cell r="BA52">
            <v>6.9088037899723651E-3</v>
          </cell>
          <cell r="BB52">
            <v>7.7850792592990279E-3</v>
          </cell>
          <cell r="BC52">
            <v>1.0800000000000001E-2</v>
          </cell>
          <cell r="BD52">
            <v>0</v>
          </cell>
          <cell r="BE52">
            <v>4.8899999999999999E-2</v>
          </cell>
          <cell r="BF52">
            <v>1.12E-2</v>
          </cell>
          <cell r="BG52">
            <v>1.5900000000000001E-2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0.08</v>
          </cell>
          <cell r="BW52">
            <v>7.1400000000000005E-2</v>
          </cell>
          <cell r="BX52">
            <v>3.7400000000000003E-2</v>
          </cell>
          <cell r="BY52">
            <v>7.1400000000000005E-2</v>
          </cell>
          <cell r="BZ52">
            <v>0</v>
          </cell>
          <cell r="CA52">
            <v>1.7000000000000001E-2</v>
          </cell>
          <cell r="CB52">
            <v>0</v>
          </cell>
          <cell r="CC52">
            <v>0</v>
          </cell>
          <cell r="CD52">
            <v>4.0800000000000003E-2</v>
          </cell>
          <cell r="CE52">
            <v>0</v>
          </cell>
          <cell r="CF52">
            <v>0.1242</v>
          </cell>
          <cell r="CG52">
            <v>0</v>
          </cell>
          <cell r="CH52">
            <v>9.5500000000000002E-2</v>
          </cell>
          <cell r="CI52">
            <v>0</v>
          </cell>
          <cell r="CJ52">
            <v>0</v>
          </cell>
          <cell r="CK52">
            <v>1.7999999999999999E-2</v>
          </cell>
          <cell r="CL52">
            <v>0</v>
          </cell>
          <cell r="CM52">
            <v>0</v>
          </cell>
          <cell r="CN52">
            <v>1.0999999999999999E-2</v>
          </cell>
          <cell r="CO52">
            <v>0</v>
          </cell>
          <cell r="CP52">
            <v>2.7300000000000001E-2</v>
          </cell>
          <cell r="CQ52">
            <v>0</v>
          </cell>
          <cell r="CR52">
            <v>1.06E-2</v>
          </cell>
          <cell r="CS52">
            <v>6.0000000000000001E-3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6.4699999999999994E-2</v>
          </cell>
          <cell r="DA52">
            <v>0</v>
          </cell>
          <cell r="DB52">
            <v>2.2100000000000002E-2</v>
          </cell>
          <cell r="DC52">
            <v>1.0800000000000001E-2</v>
          </cell>
        </row>
        <row r="53">
          <cell r="A53" t="str">
            <v>PNG</v>
          </cell>
          <cell r="B53">
            <v>1002</v>
          </cell>
          <cell r="C53" t="str">
            <v>CORP</v>
          </cell>
          <cell r="D53">
            <v>3.5200000000000002E-2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0.22439999999999999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1.7049457179109044E-2</v>
          </cell>
          <cell r="S53">
            <v>2.4E-2</v>
          </cell>
          <cell r="T53">
            <v>2.7E-2</v>
          </cell>
          <cell r="U53">
            <v>0</v>
          </cell>
          <cell r="V53">
            <v>0</v>
          </cell>
          <cell r="W53">
            <v>0.12</v>
          </cell>
          <cell r="X53">
            <v>8.8237630092270994E-2</v>
          </cell>
          <cell r="Y53">
            <v>6.3200000000000006E-2</v>
          </cell>
          <cell r="Z53">
            <v>4.3099999999999999E-2</v>
          </cell>
          <cell r="AA53">
            <v>0</v>
          </cell>
          <cell r="AB53">
            <v>3.1899999999999998E-2</v>
          </cell>
          <cell r="AC53">
            <v>0</v>
          </cell>
          <cell r="AD53">
            <v>0</v>
          </cell>
          <cell r="AE53">
            <v>6.5699999999999995E-2</v>
          </cell>
          <cell r="AF53">
            <v>7.5399999999999995E-2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4.36E-2</v>
          </cell>
          <cell r="AM53">
            <v>5.4199999999999998E-2</v>
          </cell>
          <cell r="AN53">
            <v>0.10390000000000001</v>
          </cell>
          <cell r="AO53">
            <v>5.8400000000000001E-2</v>
          </cell>
          <cell r="AP53">
            <v>4.2347610473611526E-2</v>
          </cell>
          <cell r="AQ53">
            <v>7.3899999999999993E-2</v>
          </cell>
          <cell r="AR53">
            <v>1.6299999999999999E-2</v>
          </cell>
          <cell r="AS53">
            <v>0</v>
          </cell>
          <cell r="AT53">
            <v>0</v>
          </cell>
          <cell r="AU53">
            <v>0</v>
          </cell>
          <cell r="AV53">
            <v>0.2397</v>
          </cell>
          <cell r="AW53">
            <v>0</v>
          </cell>
          <cell r="AX53">
            <v>0.33839999999999998</v>
          </cell>
          <cell r="AY53">
            <v>1.1599999999999999E-2</v>
          </cell>
          <cell r="AZ53">
            <v>0.17919637070641609</v>
          </cell>
          <cell r="BA53">
            <v>0</v>
          </cell>
          <cell r="BB53">
            <v>2.3195677102268154E-2</v>
          </cell>
          <cell r="BC53">
            <v>2.1899999999999999E-2</v>
          </cell>
          <cell r="BD53">
            <v>0</v>
          </cell>
          <cell r="BE53">
            <v>9.8900000000000002E-2</v>
          </cell>
          <cell r="BF53">
            <v>2.2700000000000001E-2</v>
          </cell>
          <cell r="BG53">
            <v>3.2199999999999999E-2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0.16200000000000001</v>
          </cell>
          <cell r="BW53">
            <v>0.14449999999999999</v>
          </cell>
          <cell r="BX53">
            <v>7.5600000000000001E-2</v>
          </cell>
          <cell r="BY53">
            <v>0.14449999999999999</v>
          </cell>
          <cell r="BZ53">
            <v>0</v>
          </cell>
          <cell r="CA53">
            <v>3.4500000000000003E-2</v>
          </cell>
          <cell r="CB53">
            <v>0</v>
          </cell>
          <cell r="CC53">
            <v>0</v>
          </cell>
          <cell r="CD53">
            <v>8.2500000000000004E-2</v>
          </cell>
          <cell r="CE53">
            <v>0</v>
          </cell>
          <cell r="CF53">
            <v>0</v>
          </cell>
          <cell r="CG53">
            <v>0.17599999999999999</v>
          </cell>
          <cell r="CH53">
            <v>0</v>
          </cell>
          <cell r="CI53">
            <v>0</v>
          </cell>
          <cell r="CJ53">
            <v>0</v>
          </cell>
          <cell r="CK53">
            <v>3.6400000000000002E-2</v>
          </cell>
          <cell r="CL53">
            <v>0</v>
          </cell>
          <cell r="CM53">
            <v>0</v>
          </cell>
          <cell r="CN53">
            <v>2.23E-2</v>
          </cell>
          <cell r="CO53">
            <v>0</v>
          </cell>
          <cell r="CP53">
            <v>5.5300000000000002E-2</v>
          </cell>
          <cell r="CQ53">
            <v>0</v>
          </cell>
          <cell r="CR53">
            <v>2.1899999999999999E-2</v>
          </cell>
          <cell r="CS53">
            <v>2.6700000000000002E-2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0.28749999999999998</v>
          </cell>
          <cell r="DA53">
            <v>0</v>
          </cell>
          <cell r="DB53">
            <v>9.7900000000000001E-2</v>
          </cell>
          <cell r="DC53">
            <v>4.8099999999999997E-2</v>
          </cell>
        </row>
        <row r="54">
          <cell r="A54" t="str">
            <v>TIOGA</v>
          </cell>
          <cell r="B54">
            <v>8151</v>
          </cell>
          <cell r="C54" t="str">
            <v>ENERGY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5.4219129723712052E-6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2.0000000000000001E-4</v>
          </cell>
          <cell r="CT54">
            <v>2.9999999999999997E-4</v>
          </cell>
          <cell r="CU54">
            <v>0</v>
          </cell>
          <cell r="CV54">
            <v>0</v>
          </cell>
          <cell r="CW54">
            <v>0</v>
          </cell>
          <cell r="CX54">
            <v>1E-3</v>
          </cell>
          <cell r="CY54">
            <v>0</v>
          </cell>
          <cell r="CZ54">
            <v>0</v>
          </cell>
          <cell r="DA54">
            <v>0</v>
          </cell>
          <cell r="DB54">
            <v>8.0000000000000004E-4</v>
          </cell>
          <cell r="DC54">
            <v>4.0000000000000002E-4</v>
          </cell>
        </row>
        <row r="55">
          <cell r="A55" t="str">
            <v>VPCUST</v>
          </cell>
          <cell r="B55">
            <v>1000</v>
          </cell>
          <cell r="C55" t="str">
            <v>DOM VP</v>
          </cell>
          <cell r="D55">
            <v>2.6100000000000002E-2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8.8300000000000003E-2</v>
          </cell>
          <cell r="L55">
            <v>0</v>
          </cell>
          <cell r="M55">
            <v>0</v>
          </cell>
          <cell r="N55">
            <v>5.04E-2</v>
          </cell>
          <cell r="O55">
            <v>0</v>
          </cell>
          <cell r="P55">
            <v>0</v>
          </cell>
          <cell r="Q55">
            <v>0</v>
          </cell>
          <cell r="R55">
            <v>1.0392681306325492E-2</v>
          </cell>
          <cell r="S55">
            <v>1.26E-2</v>
          </cell>
          <cell r="T55">
            <v>1.4200000000000001E-2</v>
          </cell>
          <cell r="U55">
            <v>3.5400000000000001E-2</v>
          </cell>
          <cell r="V55">
            <v>3.5400000000000001E-2</v>
          </cell>
          <cell r="W55">
            <v>0</v>
          </cell>
          <cell r="X55">
            <v>0.58464059800950374</v>
          </cell>
          <cell r="Y55">
            <v>0.44979999999999998</v>
          </cell>
          <cell r="Z55">
            <v>8.5199999999999998E-2</v>
          </cell>
          <cell r="AA55">
            <v>0</v>
          </cell>
          <cell r="AB55">
            <v>6.3100000000000003E-2</v>
          </cell>
          <cell r="AC55">
            <v>0</v>
          </cell>
          <cell r="AD55">
            <v>0</v>
          </cell>
          <cell r="AE55">
            <v>0</v>
          </cell>
          <cell r="AF55">
            <v>0.1492</v>
          </cell>
          <cell r="AG55">
            <v>0.16669999999999999</v>
          </cell>
          <cell r="AH55">
            <v>0</v>
          </cell>
          <cell r="AI55">
            <v>0</v>
          </cell>
          <cell r="AJ55">
            <v>0.1226</v>
          </cell>
          <cell r="AK55">
            <v>0</v>
          </cell>
          <cell r="AL55">
            <v>3.5999999999999997E-2</v>
          </cell>
          <cell r="AM55">
            <v>0.05</v>
          </cell>
          <cell r="AN55">
            <v>0.57079999999999997</v>
          </cell>
          <cell r="AO55">
            <v>1.61E-2</v>
          </cell>
          <cell r="AP55">
            <v>1.9449766500506172E-2</v>
          </cell>
          <cell r="AQ55">
            <v>8.0000000000000004E-4</v>
          </cell>
          <cell r="AR55">
            <v>4.1999999999999997E-3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2.3300000000000001E-2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2.1074068072039383E-3</v>
          </cell>
          <cell r="BC55">
            <v>1.6299999999999999E-2</v>
          </cell>
          <cell r="BD55">
            <v>2.2700000000000001E-2</v>
          </cell>
          <cell r="BE55">
            <v>0</v>
          </cell>
          <cell r="BF55">
            <v>1.6899999999999998E-2</v>
          </cell>
          <cell r="BG55">
            <v>2.4E-2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8.1799999999999998E-2</v>
          </cell>
          <cell r="BU55">
            <v>0.1056</v>
          </cell>
          <cell r="BV55">
            <v>0</v>
          </cell>
          <cell r="BW55">
            <v>0.1075</v>
          </cell>
          <cell r="BX55">
            <v>5.6300000000000003E-2</v>
          </cell>
          <cell r="BY55">
            <v>0.1075</v>
          </cell>
          <cell r="BZ55">
            <v>0</v>
          </cell>
          <cell r="CA55">
            <v>0</v>
          </cell>
          <cell r="CB55">
            <v>3.5499999999999997E-2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3.4700000000000002E-2</v>
          </cell>
          <cell r="CK55">
            <v>2.7099999999999999E-2</v>
          </cell>
          <cell r="CL55">
            <v>0</v>
          </cell>
          <cell r="CM55">
            <v>0</v>
          </cell>
          <cell r="CN55">
            <v>1.66E-2</v>
          </cell>
          <cell r="CO55">
            <v>0</v>
          </cell>
          <cell r="CP55">
            <v>4.1200000000000001E-2</v>
          </cell>
          <cell r="CQ55">
            <v>0</v>
          </cell>
          <cell r="CR55">
            <v>1.18E-2</v>
          </cell>
          <cell r="CS55">
            <v>9.7000000000000003E-3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6.1899999999999997E-2</v>
          </cell>
          <cell r="CZ55">
            <v>0</v>
          </cell>
          <cell r="DA55">
            <v>2.1299999999999999E-2</v>
          </cell>
          <cell r="DB55">
            <v>0</v>
          </cell>
          <cell r="DC55">
            <v>0</v>
          </cell>
        </row>
        <row r="56">
          <cell r="A56" t="str">
            <v>VPD</v>
          </cell>
          <cell r="B56">
            <v>1000</v>
          </cell>
          <cell r="C56" t="str">
            <v>DOM VP</v>
          </cell>
          <cell r="D56">
            <v>0.23680000000000001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0.80010000000000003</v>
          </cell>
          <cell r="L56">
            <v>0.89471000000000001</v>
          </cell>
          <cell r="M56">
            <v>0</v>
          </cell>
          <cell r="N56">
            <v>0.45660000000000001</v>
          </cell>
          <cell r="O56">
            <v>0</v>
          </cell>
          <cell r="P56">
            <v>0</v>
          </cell>
          <cell r="Q56">
            <v>0</v>
          </cell>
          <cell r="R56">
            <v>9.6605660269747581E-2</v>
          </cell>
          <cell r="S56">
            <v>0.1071</v>
          </cell>
          <cell r="T56">
            <v>0.1207</v>
          </cell>
          <cell r="U56">
            <v>0.30009999999999998</v>
          </cell>
          <cell r="V56">
            <v>0.30009999999999998</v>
          </cell>
          <cell r="W56">
            <v>0</v>
          </cell>
          <cell r="X56">
            <v>0</v>
          </cell>
          <cell r="Y56">
            <v>0.1178</v>
          </cell>
          <cell r="Z56">
            <v>0.2903</v>
          </cell>
          <cell r="AA56">
            <v>0.32440000000000002</v>
          </cell>
          <cell r="AB56">
            <v>0.21490000000000001</v>
          </cell>
          <cell r="AC56">
            <v>0</v>
          </cell>
          <cell r="AD56">
            <v>0</v>
          </cell>
          <cell r="AE56">
            <v>0</v>
          </cell>
          <cell r="AF56">
            <v>0.50829999999999997</v>
          </cell>
          <cell r="AG56">
            <v>0.56810000000000005</v>
          </cell>
          <cell r="AH56">
            <v>0</v>
          </cell>
          <cell r="AI56">
            <v>0</v>
          </cell>
          <cell r="AJ56">
            <v>0.41760000000000003</v>
          </cell>
          <cell r="AK56">
            <v>0</v>
          </cell>
          <cell r="AL56">
            <v>0.25800000000000001</v>
          </cell>
          <cell r="AM56">
            <v>0.42399999999999999</v>
          </cell>
          <cell r="AN56">
            <v>0</v>
          </cell>
          <cell r="AO56">
            <v>0.13639999999999999</v>
          </cell>
          <cell r="AP56">
            <v>0.16481461167288838</v>
          </cell>
          <cell r="AQ56">
            <v>0.41799999999999998</v>
          </cell>
          <cell r="AR56">
            <v>0.11890000000000001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0.66469999999999996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0.23785064262988323</v>
          </cell>
          <cell r="BC56">
            <v>0.1384</v>
          </cell>
          <cell r="BD56">
            <v>0.19239999999999999</v>
          </cell>
          <cell r="BE56">
            <v>0</v>
          </cell>
          <cell r="BF56">
            <v>0.14269999999999999</v>
          </cell>
          <cell r="BG56">
            <v>0.20319999999999999</v>
          </cell>
          <cell r="BH56">
            <v>0.19769999999999999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0.69269999999999998</v>
          </cell>
          <cell r="BU56">
            <v>0.89439999999999997</v>
          </cell>
          <cell r="BV56">
            <v>0</v>
          </cell>
          <cell r="BW56">
            <v>0</v>
          </cell>
          <cell r="BX56">
            <v>0.47660000000000002</v>
          </cell>
          <cell r="BY56">
            <v>0</v>
          </cell>
          <cell r="BZ56">
            <v>0</v>
          </cell>
          <cell r="CA56">
            <v>0</v>
          </cell>
          <cell r="CB56">
            <v>0.30060000000000003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0.29360000000000003</v>
          </cell>
          <cell r="CK56">
            <v>0.22920000000000001</v>
          </cell>
          <cell r="CL56">
            <v>0</v>
          </cell>
          <cell r="CM56">
            <v>0.64380000000000004</v>
          </cell>
          <cell r="CN56">
            <v>0.1404</v>
          </cell>
          <cell r="CO56">
            <v>0</v>
          </cell>
          <cell r="CP56">
            <v>0.3488</v>
          </cell>
          <cell r="CQ56">
            <v>0</v>
          </cell>
          <cell r="CR56">
            <v>0.115</v>
          </cell>
          <cell r="CS56">
            <v>8.2500000000000004E-2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0.52449999999999997</v>
          </cell>
          <cell r="CZ56">
            <v>0</v>
          </cell>
          <cell r="DA56">
            <v>0.18029999999999999</v>
          </cell>
          <cell r="DB56">
            <v>0</v>
          </cell>
          <cell r="DC56">
            <v>0</v>
          </cell>
        </row>
        <row r="57">
          <cell r="A57" t="str">
            <v>VPEM</v>
          </cell>
          <cell r="B57">
            <v>6200</v>
          </cell>
          <cell r="C57" t="str">
            <v>ENERGY</v>
          </cell>
          <cell r="D57">
            <v>5.4000000000000003E-3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0.43279999999999996</v>
          </cell>
          <cell r="J57">
            <v>2.3900000000000001E-2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0.74</v>
          </cell>
          <cell r="P57">
            <v>0</v>
          </cell>
          <cell r="Q57">
            <v>0.79569999999999996</v>
          </cell>
          <cell r="R57">
            <v>1.0788155045971451E-2</v>
          </cell>
          <cell r="S57">
            <v>1.4800000000000001E-2</v>
          </cell>
          <cell r="T57">
            <v>1.67E-2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4.5999999999999999E-3</v>
          </cell>
          <cell r="AC57">
            <v>0</v>
          </cell>
          <cell r="AD57">
            <v>0.73270000000000002</v>
          </cell>
          <cell r="AE57">
            <v>9.5999999999999992E-3</v>
          </cell>
          <cell r="AF57">
            <v>0</v>
          </cell>
          <cell r="AG57">
            <v>0</v>
          </cell>
          <cell r="AH57">
            <v>2.1899999999999999E-2</v>
          </cell>
          <cell r="AI57">
            <v>0</v>
          </cell>
          <cell r="AJ57">
            <v>0</v>
          </cell>
          <cell r="AK57">
            <v>0</v>
          </cell>
          <cell r="AL57">
            <v>4.3E-3</v>
          </cell>
          <cell r="AM57">
            <v>7.9000000000000008E-3</v>
          </cell>
          <cell r="AN57">
            <v>0</v>
          </cell>
          <cell r="AO57">
            <v>1.2999999999999999E-2</v>
          </cell>
          <cell r="AP57">
            <v>4.341487816961225E-3</v>
          </cell>
          <cell r="AQ57">
            <v>0</v>
          </cell>
          <cell r="AR57">
            <v>1.2999999999999999E-3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3.8144361871686954E-4</v>
          </cell>
          <cell r="BC57">
            <v>7.7000000000000002E-3</v>
          </cell>
          <cell r="BD57">
            <v>0</v>
          </cell>
          <cell r="BE57">
            <v>0</v>
          </cell>
          <cell r="BF57">
            <v>7.9000000000000008E-3</v>
          </cell>
          <cell r="BG57">
            <v>0</v>
          </cell>
          <cell r="BH57">
            <v>0</v>
          </cell>
          <cell r="BI57">
            <v>0.01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0.60389999999999999</v>
          </cell>
          <cell r="BP57">
            <v>3.3399999999999999E-2</v>
          </cell>
          <cell r="BQ57">
            <v>0.43809999999999999</v>
          </cell>
          <cell r="BR57">
            <v>2.4500000000000001E-2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1.2E-2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9.11E-2</v>
          </cell>
          <cell r="CJ57">
            <v>1.6299999999999999E-2</v>
          </cell>
          <cell r="CK57">
            <v>1.2699999999999999E-2</v>
          </cell>
          <cell r="CL57">
            <v>0.69510000000000005</v>
          </cell>
          <cell r="CM57">
            <v>0</v>
          </cell>
          <cell r="CN57">
            <v>7.7999999999999996E-3</v>
          </cell>
          <cell r="CO57">
            <v>1.41E-2</v>
          </cell>
          <cell r="CP57">
            <v>0</v>
          </cell>
          <cell r="CQ57">
            <v>0</v>
          </cell>
          <cell r="CR57">
            <v>1.4E-3</v>
          </cell>
          <cell r="CS57">
            <v>1.2200000000000001E-2</v>
          </cell>
          <cell r="CT57">
            <v>1.83E-2</v>
          </cell>
          <cell r="CU57">
            <v>0</v>
          </cell>
          <cell r="CV57">
            <v>0</v>
          </cell>
          <cell r="CW57">
            <v>0</v>
          </cell>
          <cell r="CX57">
            <v>5.6500000000000002E-2</v>
          </cell>
          <cell r="CY57">
            <v>0</v>
          </cell>
          <cell r="CZ57">
            <v>0</v>
          </cell>
          <cell r="DA57">
            <v>2.6700000000000002E-2</v>
          </cell>
          <cell r="DB57">
            <v>0</v>
          </cell>
          <cell r="DC57">
            <v>2.1999999999999999E-2</v>
          </cell>
        </row>
        <row r="58">
          <cell r="A58" t="str">
            <v>VPES</v>
          </cell>
          <cell r="B58">
            <v>4100</v>
          </cell>
          <cell r="C58" t="str">
            <v>GENERATION</v>
          </cell>
          <cell r="D58">
            <v>3.0999999999999999E-3</v>
          </cell>
          <cell r="E58">
            <v>0</v>
          </cell>
          <cell r="F58">
            <v>0</v>
          </cell>
          <cell r="G58">
            <v>1.9E-2</v>
          </cell>
          <cell r="H58">
            <v>7.3000000000000001E-3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6.0000000000000001E-3</v>
          </cell>
          <cell r="O58">
            <v>0</v>
          </cell>
          <cell r="P58">
            <v>0</v>
          </cell>
          <cell r="Q58">
            <v>0</v>
          </cell>
          <cell r="R58">
            <v>1.275393921976302E-3</v>
          </cell>
          <cell r="S58">
            <v>2.3999999999999998E-3</v>
          </cell>
          <cell r="T58">
            <v>2.7000000000000001E-3</v>
          </cell>
          <cell r="U58">
            <v>6.7999999999999996E-3</v>
          </cell>
          <cell r="V58">
            <v>6.7999999999999996E-3</v>
          </cell>
          <cell r="W58">
            <v>0</v>
          </cell>
          <cell r="X58">
            <v>0</v>
          </cell>
          <cell r="Y58">
            <v>0</v>
          </cell>
          <cell r="Z58">
            <v>3.8E-3</v>
          </cell>
          <cell r="AA58">
            <v>0</v>
          </cell>
          <cell r="AB58">
            <v>2.8E-3</v>
          </cell>
          <cell r="AC58">
            <v>0</v>
          </cell>
          <cell r="AD58">
            <v>0</v>
          </cell>
          <cell r="AE58">
            <v>5.7999999999999996E-3</v>
          </cell>
          <cell r="AF58">
            <v>0</v>
          </cell>
          <cell r="AG58">
            <v>0</v>
          </cell>
          <cell r="AH58">
            <v>0</v>
          </cell>
          <cell r="AI58">
            <v>6.4999999999999997E-3</v>
          </cell>
          <cell r="AJ58">
            <v>5.4999999999999997E-3</v>
          </cell>
          <cell r="AK58">
            <v>0</v>
          </cell>
          <cell r="AL58">
            <v>4.4000000000000003E-3</v>
          </cell>
          <cell r="AM58">
            <v>1.1999999999999999E-3</v>
          </cell>
          <cell r="AN58">
            <v>0</v>
          </cell>
          <cell r="AO58">
            <v>3.0999999999999999E-3</v>
          </cell>
          <cell r="AP58">
            <v>3.7260571533315029E-3</v>
          </cell>
          <cell r="AQ58">
            <v>0</v>
          </cell>
          <cell r="AR58">
            <v>2.0000000000000001E-4</v>
          </cell>
          <cell r="AS58">
            <v>0</v>
          </cell>
          <cell r="AT58">
            <v>6.9999999999999999E-4</v>
          </cell>
          <cell r="AU58">
            <v>4.0000000000000002E-4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3.0999999999999999E-3</v>
          </cell>
          <cell r="BD58">
            <v>4.4000000000000003E-3</v>
          </cell>
          <cell r="BE58">
            <v>0</v>
          </cell>
          <cell r="BF58">
            <v>3.2000000000000002E-3</v>
          </cell>
          <cell r="BG58">
            <v>4.5999999999999999E-3</v>
          </cell>
          <cell r="BH58">
            <v>0</v>
          </cell>
          <cell r="BI58">
            <v>4.1000000000000003E-3</v>
          </cell>
          <cell r="BJ58">
            <v>0</v>
          </cell>
          <cell r="BK58">
            <v>1.12E-2</v>
          </cell>
          <cell r="BL58">
            <v>5.7999999999999996E-3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0.01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4.8999999999999998E-3</v>
          </cell>
          <cell r="CB58">
            <v>6.7999999999999996E-3</v>
          </cell>
          <cell r="CC58">
            <v>0.02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6.6E-3</v>
          </cell>
          <cell r="CK58">
            <v>5.1999999999999998E-3</v>
          </cell>
          <cell r="CL58">
            <v>0</v>
          </cell>
          <cell r="CM58">
            <v>0</v>
          </cell>
          <cell r="CN58">
            <v>3.2000000000000002E-3</v>
          </cell>
          <cell r="CO58">
            <v>5.7000000000000002E-3</v>
          </cell>
          <cell r="CP58">
            <v>0</v>
          </cell>
          <cell r="CQ58">
            <v>0</v>
          </cell>
          <cell r="CR58">
            <v>5.9999999999999995E-4</v>
          </cell>
          <cell r="CS58">
            <v>3.0999999999999999E-3</v>
          </cell>
          <cell r="CT58">
            <v>4.7000000000000002E-3</v>
          </cell>
          <cell r="CU58">
            <v>0</v>
          </cell>
          <cell r="CV58">
            <v>6.8999999999999999E-3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6.7999999999999996E-3</v>
          </cell>
          <cell r="DB58">
            <v>0</v>
          </cell>
          <cell r="DC58">
            <v>0</v>
          </cell>
        </row>
        <row r="59">
          <cell r="A59" t="str">
            <v>VPET</v>
          </cell>
          <cell r="B59">
            <v>1000</v>
          </cell>
          <cell r="C59" t="str">
            <v>DOM VP</v>
          </cell>
          <cell r="D59">
            <v>1.15E-2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3.9E-2</v>
          </cell>
          <cell r="L59">
            <v>4.36E-2</v>
          </cell>
          <cell r="M59">
            <v>0</v>
          </cell>
          <cell r="N59">
            <v>2.23E-2</v>
          </cell>
          <cell r="O59">
            <v>0</v>
          </cell>
          <cell r="P59">
            <v>0</v>
          </cell>
          <cell r="Q59">
            <v>0</v>
          </cell>
          <cell r="R59">
            <v>2.0939842690453951E-2</v>
          </cell>
          <cell r="S59">
            <v>1.9199999999999998E-2</v>
          </cell>
          <cell r="T59">
            <v>2.1700000000000001E-2</v>
          </cell>
          <cell r="U59">
            <v>5.3900000000000003E-2</v>
          </cell>
          <cell r="V59">
            <v>5.3900000000000003E-2</v>
          </cell>
          <cell r="W59">
            <v>0</v>
          </cell>
          <cell r="X59">
            <v>0</v>
          </cell>
          <cell r="Y59">
            <v>5.9999999999999995E-4</v>
          </cell>
          <cell r="Z59">
            <v>1.5100000000000001E-2</v>
          </cell>
          <cell r="AA59">
            <v>1.6899999999999998E-2</v>
          </cell>
          <cell r="AB59">
            <v>1.12E-2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2.1700000000000001E-2</v>
          </cell>
          <cell r="AK59">
            <v>0</v>
          </cell>
          <cell r="AL59">
            <v>1.4500000000000001E-2</v>
          </cell>
          <cell r="AM59">
            <v>1.6E-2</v>
          </cell>
          <cell r="AN59">
            <v>0</v>
          </cell>
          <cell r="AO59">
            <v>2.4500000000000001E-2</v>
          </cell>
          <cell r="AP59">
            <v>2.9610425184533076E-2</v>
          </cell>
          <cell r="AQ59">
            <v>1.8100000000000002E-2</v>
          </cell>
          <cell r="AR59">
            <v>4.7199999999999999E-2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0.26390000000000002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6.1371383476935999E-2</v>
          </cell>
          <cell r="BC59">
            <v>2.4899999999999999E-2</v>
          </cell>
          <cell r="BD59">
            <v>3.4599999999999999E-2</v>
          </cell>
          <cell r="BE59">
            <v>0</v>
          </cell>
          <cell r="BF59">
            <v>2.5700000000000001E-2</v>
          </cell>
          <cell r="BG59">
            <v>3.6499999999999998E-2</v>
          </cell>
          <cell r="BH59">
            <v>3.5499999999999997E-2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0.20680000000000001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7.9399999999999998E-2</v>
          </cell>
          <cell r="BS59">
            <v>0</v>
          </cell>
          <cell r="BT59">
            <v>0.1245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5.3999999999999999E-2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5.28E-2</v>
          </cell>
          <cell r="CK59">
            <v>4.1200000000000001E-2</v>
          </cell>
          <cell r="CL59">
            <v>0</v>
          </cell>
          <cell r="CM59">
            <v>0</v>
          </cell>
          <cell r="CN59">
            <v>2.52E-2</v>
          </cell>
          <cell r="CO59">
            <v>0</v>
          </cell>
          <cell r="CP59">
            <v>0</v>
          </cell>
          <cell r="CQ59">
            <v>0</v>
          </cell>
          <cell r="CR59">
            <v>1.5699999999999999E-2</v>
          </cell>
          <cell r="CS59">
            <v>6.4899999999999999E-2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0.41320000000000001</v>
          </cell>
          <cell r="CZ59">
            <v>0</v>
          </cell>
          <cell r="DA59">
            <v>0.1421</v>
          </cell>
          <cell r="DB59">
            <v>0</v>
          </cell>
          <cell r="DC59">
            <v>0</v>
          </cell>
        </row>
        <row r="60">
          <cell r="A60" t="str">
            <v>VPFOS</v>
          </cell>
          <cell r="B60">
            <v>1000</v>
          </cell>
          <cell r="C60" t="str">
            <v>GENERATION</v>
          </cell>
          <cell r="D60">
            <v>9.9000000000000005E-2</v>
          </cell>
          <cell r="E60">
            <v>0</v>
          </cell>
          <cell r="F60">
            <v>0</v>
          </cell>
          <cell r="G60">
            <v>0.60450000000000004</v>
          </cell>
          <cell r="H60">
            <v>0.2303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0.191</v>
          </cell>
          <cell r="O60">
            <v>0</v>
          </cell>
          <cell r="P60">
            <v>0</v>
          </cell>
          <cell r="Q60">
            <v>0</v>
          </cell>
          <cell r="R60">
            <v>0.22237896060743201</v>
          </cell>
          <cell r="S60">
            <v>0.11710000000000001</v>
          </cell>
          <cell r="T60">
            <v>0.1318</v>
          </cell>
          <cell r="U60">
            <v>0.32790000000000002</v>
          </cell>
          <cell r="V60">
            <v>0.32790000000000002</v>
          </cell>
          <cell r="W60">
            <v>0</v>
          </cell>
          <cell r="X60">
            <v>0</v>
          </cell>
          <cell r="Y60">
            <v>2.8E-3</v>
          </cell>
          <cell r="Z60">
            <v>0.1205</v>
          </cell>
          <cell r="AA60">
            <v>0.13469999999999999</v>
          </cell>
          <cell r="AB60">
            <v>8.9200000000000002E-2</v>
          </cell>
          <cell r="AC60">
            <v>0</v>
          </cell>
          <cell r="AD60">
            <v>0</v>
          </cell>
          <cell r="AE60">
            <v>0.18390000000000001</v>
          </cell>
          <cell r="AF60">
            <v>0</v>
          </cell>
          <cell r="AG60">
            <v>0</v>
          </cell>
          <cell r="AH60">
            <v>0</v>
          </cell>
          <cell r="AI60">
            <v>0.20569999999999999</v>
          </cell>
          <cell r="AJ60">
            <v>0.1734</v>
          </cell>
          <cell r="AK60">
            <v>0</v>
          </cell>
          <cell r="AL60">
            <v>0.1037</v>
          </cell>
          <cell r="AM60">
            <v>5.6300000000000003E-2</v>
          </cell>
          <cell r="AN60">
            <v>0</v>
          </cell>
          <cell r="AO60">
            <v>0.14909999999999998</v>
          </cell>
          <cell r="AP60">
            <v>0.18021234234507355</v>
          </cell>
          <cell r="AQ60">
            <v>6.2399999999999997E-2</v>
          </cell>
          <cell r="AR60">
            <v>0.21299999999999999</v>
          </cell>
          <cell r="AS60">
            <v>0</v>
          </cell>
          <cell r="AT60">
            <v>0.6411</v>
          </cell>
          <cell r="AU60">
            <v>0.37540000000000001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0.21131548512846185</v>
          </cell>
          <cell r="BC60">
            <v>0.15130000000000002</v>
          </cell>
          <cell r="BD60">
            <v>0.21029999999999999</v>
          </cell>
          <cell r="BE60">
            <v>0</v>
          </cell>
          <cell r="BF60">
            <v>0.156</v>
          </cell>
          <cell r="BG60">
            <v>0.22209999999999999</v>
          </cell>
          <cell r="BH60">
            <v>0.21609999999999999</v>
          </cell>
          <cell r="BI60">
            <v>0.19750000000000001</v>
          </cell>
          <cell r="BJ60">
            <v>0</v>
          </cell>
          <cell r="BK60">
            <v>0.53949999999999998</v>
          </cell>
          <cell r="BL60">
            <v>0.2823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0.4829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0.23730000000000001</v>
          </cell>
          <cell r="CB60">
            <v>0.3286</v>
          </cell>
          <cell r="CC60">
            <v>0.96619999999999995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0.32090000000000002</v>
          </cell>
          <cell r="CK60">
            <v>0.2505</v>
          </cell>
          <cell r="CL60">
            <v>0</v>
          </cell>
          <cell r="CM60">
            <v>0</v>
          </cell>
          <cell r="CN60">
            <v>0.15359999999999999</v>
          </cell>
          <cell r="CO60">
            <v>0.27779999999999999</v>
          </cell>
          <cell r="CP60">
            <v>0</v>
          </cell>
          <cell r="CQ60">
            <v>0</v>
          </cell>
          <cell r="CR60">
            <v>3.7900000000000003E-2</v>
          </cell>
          <cell r="CS60">
            <v>0.1507</v>
          </cell>
          <cell r="CT60">
            <v>0.22539999999999999</v>
          </cell>
          <cell r="CU60">
            <v>0</v>
          </cell>
          <cell r="CV60">
            <v>0.3337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0.32969999999999999</v>
          </cell>
          <cell r="DB60">
            <v>0</v>
          </cell>
          <cell r="DC60">
            <v>0</v>
          </cell>
        </row>
        <row r="61">
          <cell r="A61" t="str">
            <v>VPNS</v>
          </cell>
          <cell r="B61">
            <v>6100</v>
          </cell>
          <cell r="C61" t="str">
            <v>GENERATION</v>
          </cell>
          <cell r="D61">
            <v>2.0000000000000001E-4</v>
          </cell>
          <cell r="E61">
            <v>8.0000000000000004E-4</v>
          </cell>
          <cell r="F61">
            <v>8.0000000000000004E-4</v>
          </cell>
          <cell r="G61">
            <v>0</v>
          </cell>
          <cell r="H61">
            <v>5.0000000000000001E-4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4.0000000000000002E-4</v>
          </cell>
          <cell r="O61">
            <v>0</v>
          </cell>
          <cell r="P61">
            <v>0</v>
          </cell>
          <cell r="Q61">
            <v>0</v>
          </cell>
          <cell r="R61">
            <v>9.4809407167146766E-5</v>
          </cell>
          <cell r="S61">
            <v>1E-4</v>
          </cell>
          <cell r="T61">
            <v>1E-4</v>
          </cell>
          <cell r="U61">
            <v>2.0000000000000001E-4</v>
          </cell>
          <cell r="V61">
            <v>2.0000000000000001E-4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2.0000000000000001E-4</v>
          </cell>
          <cell r="AC61">
            <v>6.9999999999999999E-4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4.0000000000000002E-4</v>
          </cell>
          <cell r="AJ61">
            <v>4.0000000000000002E-4</v>
          </cell>
          <cell r="AK61">
            <v>0</v>
          </cell>
          <cell r="AL61">
            <v>2.9999999999999997E-4</v>
          </cell>
          <cell r="AM61">
            <v>4.0000000000000002E-4</v>
          </cell>
          <cell r="AN61">
            <v>0</v>
          </cell>
          <cell r="AO61">
            <v>4.0000000000000002E-4</v>
          </cell>
          <cell r="AP61">
            <v>3.2645375954569537E-4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2.0000000000000001E-4</v>
          </cell>
          <cell r="BD61">
            <v>0</v>
          </cell>
          <cell r="BE61">
            <v>0</v>
          </cell>
          <cell r="BF61">
            <v>2.0000000000000001E-4</v>
          </cell>
          <cell r="BG61">
            <v>0</v>
          </cell>
          <cell r="BH61">
            <v>0</v>
          </cell>
          <cell r="BI61">
            <v>2.9999999999999997E-4</v>
          </cell>
          <cell r="BJ61">
            <v>8.9999999999999998E-4</v>
          </cell>
          <cell r="BK61">
            <v>0</v>
          </cell>
          <cell r="BL61">
            <v>4.0000000000000002E-4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6.9999999999999999E-4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5.0000000000000001E-4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5.0000000000000001E-4</v>
          </cell>
          <cell r="CK61">
            <v>4.0000000000000002E-4</v>
          </cell>
          <cell r="CL61">
            <v>0</v>
          </cell>
          <cell r="CM61">
            <v>0</v>
          </cell>
          <cell r="CN61">
            <v>2.0000000000000001E-4</v>
          </cell>
          <cell r="CO61">
            <v>4.0000000000000002E-4</v>
          </cell>
          <cell r="CP61">
            <v>0</v>
          </cell>
          <cell r="CQ61">
            <v>0</v>
          </cell>
          <cell r="CR61">
            <v>1E-4</v>
          </cell>
          <cell r="CS61">
            <v>2.0000000000000001E-4</v>
          </cell>
          <cell r="CT61">
            <v>2.0000000000000001E-4</v>
          </cell>
          <cell r="CU61">
            <v>0</v>
          </cell>
          <cell r="CV61">
            <v>4.0000000000000002E-4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4.0000000000000002E-4</v>
          </cell>
          <cell r="DB61">
            <v>0</v>
          </cell>
          <cell r="DC61">
            <v>0</v>
          </cell>
        </row>
        <row r="62">
          <cell r="A62" t="str">
            <v>VPNUC</v>
          </cell>
          <cell r="B62">
            <v>1000</v>
          </cell>
          <cell r="C62" t="str">
            <v>GENERATION</v>
          </cell>
          <cell r="D62">
            <v>0.1416</v>
          </cell>
          <cell r="E62">
            <v>0.53610000000000002</v>
          </cell>
          <cell r="F62">
            <v>0.53610000000000002</v>
          </cell>
          <cell r="G62">
            <v>0</v>
          </cell>
          <cell r="H62">
            <v>0.3296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0.27329999999999999</v>
          </cell>
          <cell r="O62">
            <v>0</v>
          </cell>
          <cell r="P62">
            <v>0</v>
          </cell>
          <cell r="Q62">
            <v>0</v>
          </cell>
          <cell r="R62">
            <v>6.3383644044006385E-2</v>
          </cell>
          <cell r="S62">
            <v>9.5299999999999996E-2</v>
          </cell>
          <cell r="T62">
            <v>0.10730000000000001</v>
          </cell>
          <cell r="U62">
            <v>0.2671</v>
          </cell>
          <cell r="V62">
            <v>0.2671</v>
          </cell>
          <cell r="W62">
            <v>0</v>
          </cell>
          <cell r="X62">
            <v>0</v>
          </cell>
          <cell r="Y62">
            <v>8.9300000000000004E-2</v>
          </cell>
          <cell r="Z62">
            <v>0.17979999999999999</v>
          </cell>
          <cell r="AA62">
            <v>0.20100000000000001</v>
          </cell>
          <cell r="AB62">
            <v>0.1331</v>
          </cell>
          <cell r="AC62">
            <v>0.46850000000000003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0.30709999999999998</v>
          </cell>
          <cell r="AJ62">
            <v>0.25879999999999997</v>
          </cell>
          <cell r="AK62">
            <v>0</v>
          </cell>
          <cell r="AL62">
            <v>0.14499999999999999</v>
          </cell>
          <cell r="AM62">
            <v>4.5900000000000003E-2</v>
          </cell>
          <cell r="AN62">
            <v>0</v>
          </cell>
          <cell r="AO62">
            <v>0.12139999999999999</v>
          </cell>
          <cell r="AP62">
            <v>0.14670114176443322</v>
          </cell>
          <cell r="AQ62">
            <v>3.2000000000000001E-2</v>
          </cell>
          <cell r="AR62">
            <v>9.4700000000000006E-2</v>
          </cell>
          <cell r="AS62">
            <v>0.4254</v>
          </cell>
          <cell r="AT62">
            <v>0</v>
          </cell>
          <cell r="AU62">
            <v>0.1671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8.5990389837577882E-2</v>
          </cell>
          <cell r="BC62">
            <v>0.1231</v>
          </cell>
          <cell r="BD62">
            <v>0.17119999999999999</v>
          </cell>
          <cell r="BE62">
            <v>0</v>
          </cell>
          <cell r="BF62">
            <v>0.127</v>
          </cell>
          <cell r="BG62">
            <v>0.18079999999999999</v>
          </cell>
          <cell r="BH62">
            <v>0.17599999999999999</v>
          </cell>
          <cell r="BI62">
            <v>0.16099999999999998</v>
          </cell>
          <cell r="BJ62">
            <v>0.49170000000000003</v>
          </cell>
          <cell r="BK62">
            <v>0</v>
          </cell>
          <cell r="BL62">
            <v>0.2298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0.39319999999999999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0.2676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0.26129999999999998</v>
          </cell>
          <cell r="CK62">
            <v>0.2041</v>
          </cell>
          <cell r="CL62">
            <v>0</v>
          </cell>
          <cell r="CM62">
            <v>0</v>
          </cell>
          <cell r="CN62">
            <v>0.125</v>
          </cell>
          <cell r="CO62">
            <v>0.22620000000000001</v>
          </cell>
          <cell r="CP62">
            <v>0</v>
          </cell>
          <cell r="CQ62">
            <v>0</v>
          </cell>
          <cell r="CR62">
            <v>5.0799999999999998E-2</v>
          </cell>
          <cell r="CS62">
            <v>0.12290000000000001</v>
          </cell>
          <cell r="CT62">
            <v>0.18360000000000001</v>
          </cell>
          <cell r="CU62">
            <v>0.6542</v>
          </cell>
          <cell r="CV62">
            <v>0.27160000000000001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0.26850000000000002</v>
          </cell>
          <cell r="DB62">
            <v>0</v>
          </cell>
          <cell r="DC62">
            <v>0</v>
          </cell>
        </row>
        <row r="63">
          <cell r="A63" t="str">
            <v>VPOG</v>
          </cell>
          <cell r="B63">
            <v>1000</v>
          </cell>
          <cell r="C63" t="str">
            <v>GENERATION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4.3286419959750445E-5</v>
          </cell>
          <cell r="S63">
            <v>1.6000000000000001E-3</v>
          </cell>
          <cell r="T63">
            <v>1.8E-3</v>
          </cell>
          <cell r="U63">
            <v>4.5999999999999999E-3</v>
          </cell>
          <cell r="V63">
            <v>4.5999999999999999E-3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8.0000000000000004E-4</v>
          </cell>
          <cell r="AN63">
            <v>0</v>
          </cell>
          <cell r="AO63">
            <v>2.0999999999999999E-3</v>
          </cell>
          <cell r="AP63">
            <v>2.5176970155632223E-3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6.0605404216676473E-4</v>
          </cell>
          <cell r="BC63">
            <v>2.0999999999999999E-3</v>
          </cell>
          <cell r="BD63">
            <v>2.8999999999999998E-3</v>
          </cell>
          <cell r="BE63">
            <v>0</v>
          </cell>
          <cell r="BF63">
            <v>2.2000000000000001E-3</v>
          </cell>
          <cell r="BG63">
            <v>3.0999999999999999E-3</v>
          </cell>
          <cell r="BH63">
            <v>3.0000000000000001E-3</v>
          </cell>
          <cell r="BI63">
            <v>2.8E-3</v>
          </cell>
          <cell r="BJ63">
            <v>0</v>
          </cell>
          <cell r="BK63">
            <v>7.4999999999999997E-3</v>
          </cell>
          <cell r="BL63">
            <v>3.8999999999999998E-3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6.7999999999999996E-3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4.5999999999999999E-3</v>
          </cell>
          <cell r="CC63">
            <v>1.35E-2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4.4999999999999997E-3</v>
          </cell>
          <cell r="CK63">
            <v>3.5000000000000001E-3</v>
          </cell>
          <cell r="CL63">
            <v>0</v>
          </cell>
          <cell r="CM63">
            <v>0</v>
          </cell>
          <cell r="CN63">
            <v>2.0999999999999999E-3</v>
          </cell>
          <cell r="CO63">
            <v>3.8999999999999998E-3</v>
          </cell>
          <cell r="CP63">
            <v>0</v>
          </cell>
          <cell r="CQ63">
            <v>0</v>
          </cell>
          <cell r="CR63">
            <v>4.0000000000000002E-4</v>
          </cell>
          <cell r="CS63">
            <v>2.0999999999999999E-3</v>
          </cell>
          <cell r="CT63">
            <v>3.2000000000000002E-3</v>
          </cell>
          <cell r="CU63">
            <v>0</v>
          </cell>
          <cell r="CV63">
            <v>4.7000000000000002E-3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4.5999999999999999E-3</v>
          </cell>
          <cell r="DB63">
            <v>0</v>
          </cell>
          <cell r="DC63">
            <v>0</v>
          </cell>
        </row>
        <row r="64">
          <cell r="A64" t="str">
            <v>VPP</v>
          </cell>
          <cell r="B64">
            <v>6500</v>
          </cell>
          <cell r="C64" t="str">
            <v>GENERATION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5.9255879479466723E-7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1E-4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1E-4</v>
          </cell>
          <cell r="BJ64">
            <v>0</v>
          </cell>
          <cell r="BK64">
            <v>1E-4</v>
          </cell>
          <cell r="BL64">
            <v>1E-4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1E-4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1E-4</v>
          </cell>
          <cell r="CC64">
            <v>2.9999999999999997E-4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1E-4</v>
          </cell>
          <cell r="CK64">
            <v>1E-4</v>
          </cell>
          <cell r="CL64">
            <v>0</v>
          </cell>
          <cell r="CM64">
            <v>0</v>
          </cell>
          <cell r="CN64">
            <v>0</v>
          </cell>
          <cell r="CO64">
            <v>1E-4</v>
          </cell>
          <cell r="CP64">
            <v>0</v>
          </cell>
          <cell r="CQ64">
            <v>0</v>
          </cell>
          <cell r="CR64">
            <v>0</v>
          </cell>
          <cell r="CS64">
            <v>2.0000000000000001E-4</v>
          </cell>
          <cell r="CT64">
            <v>2.9999999999999997E-4</v>
          </cell>
          <cell r="CU64">
            <v>0</v>
          </cell>
          <cell r="CV64">
            <v>5.0000000000000001E-4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5.0000000000000001E-4</v>
          </cell>
          <cell r="DB64">
            <v>0</v>
          </cell>
          <cell r="DC64">
            <v>0</v>
          </cell>
        </row>
        <row r="65">
          <cell r="A65" t="str">
            <v>VPS</v>
          </cell>
          <cell r="B65">
            <v>6000</v>
          </cell>
          <cell r="C65" t="str">
            <v>GENERATION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4.1479115635626707E-7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1E-4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1E-4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1E-4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1E-4</v>
          </cell>
          <cell r="CK65">
            <v>1E-4</v>
          </cell>
          <cell r="CL65">
            <v>0</v>
          </cell>
          <cell r="CM65">
            <v>2.0000000000000001E-4</v>
          </cell>
          <cell r="CN65">
            <v>0</v>
          </cell>
          <cell r="CO65">
            <v>1E-4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VPSE</v>
          </cell>
          <cell r="B66">
            <v>6300</v>
          </cell>
          <cell r="C66" t="str">
            <v>GENERATION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9.0845188829970442E-4</v>
          </cell>
          <cell r="S66">
            <v>1.4E-3</v>
          </cell>
          <cell r="T66">
            <v>1.6000000000000001E-3</v>
          </cell>
          <cell r="U66">
            <v>4.0000000000000001E-3</v>
          </cell>
          <cell r="V66">
            <v>4.0000000000000001E-3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2.0000000000000001E-4</v>
          </cell>
          <cell r="AN66">
            <v>0</v>
          </cell>
          <cell r="AO66">
            <v>3.7000000000000002E-3</v>
          </cell>
          <cell r="AP66">
            <v>0</v>
          </cell>
          <cell r="AQ66">
            <v>0</v>
          </cell>
          <cell r="AR66">
            <v>6.9999999999999999E-4</v>
          </cell>
          <cell r="AS66">
            <v>0</v>
          </cell>
          <cell r="AT66">
            <v>0</v>
          </cell>
          <cell r="AU66">
            <v>1.1999999999999999E-3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6.9999999999999999E-4</v>
          </cell>
          <cell r="BD66">
            <v>0</v>
          </cell>
          <cell r="BE66">
            <v>0</v>
          </cell>
          <cell r="BF66">
            <v>6.9999999999999999E-4</v>
          </cell>
          <cell r="BG66">
            <v>0</v>
          </cell>
          <cell r="BH66">
            <v>0</v>
          </cell>
          <cell r="BI66">
            <v>8.9999999999999998E-4</v>
          </cell>
          <cell r="BJ66">
            <v>0</v>
          </cell>
          <cell r="BK66">
            <v>0</v>
          </cell>
          <cell r="BL66">
            <v>1.2999999999999999E-3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2.3E-3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1.1000000000000001E-3</v>
          </cell>
          <cell r="CB66">
            <v>1.6000000000000001E-3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1.5E-3</v>
          </cell>
          <cell r="CK66">
            <v>1.1999999999999999E-3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1E-4</v>
          </cell>
          <cell r="CS66">
            <v>8.6999999999999994E-3</v>
          </cell>
          <cell r="CT66">
            <v>1.3100000000000001E-2</v>
          </cell>
          <cell r="CU66">
            <v>0</v>
          </cell>
          <cell r="CV66">
            <v>1.9300000000000001E-2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1.9099999999999999E-2</v>
          </cell>
          <cell r="DB66">
            <v>0</v>
          </cell>
          <cell r="DC66">
            <v>0</v>
          </cell>
        </row>
        <row r="67">
          <cell r="A67" t="str">
            <v>VPTCAP</v>
          </cell>
          <cell r="B67">
            <v>1000</v>
          </cell>
          <cell r="C67" t="str">
            <v>CORP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4.0140034217686133E-4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roval"/>
      <sheetName val="J053-p1"/>
      <sheetName val="Allocation-p2"/>
      <sheetName val="Revenue Allocation Table-p3"/>
      <sheetName val="Combined Balance Detail-p14"/>
      <sheetName val="Distr - Balance Detail-p6"/>
      <sheetName val="Distr - OU Collection-p15"/>
      <sheetName val="Distr - ROR-p16"/>
      <sheetName val="Distr - OpEx-p17"/>
      <sheetName val="Distr - Net Assets-p18"/>
      <sheetName val="Trans - Balance Detail-p7"/>
      <sheetName val="Trans - OU Collection-p19"/>
      <sheetName val="Trans - ROR-p20"/>
      <sheetName val="Trans - OpEx-p21"/>
      <sheetName val="Trans - Net Assets-p22"/>
      <sheetName val="B216810396964DCDB399904ED81BA7S"/>
      <sheetName val="Input-p8-9"/>
      <sheetName val="A216810396964DCDB399904ED81BA8E"/>
      <sheetName val="GL Connect-p10"/>
      <sheetName val="Data"/>
      <sheetName val="Review Checklist-p11-13"/>
      <sheetName val="Error Checks-p23-24"/>
      <sheetName val="Revenue Report"/>
      <sheetName val="GLT Mechanism Recon"/>
      <sheetName val="Distr - Startup"/>
      <sheetName val="Trans - Startup"/>
      <sheetName val="Version History"/>
      <sheetName val="New Yr. Setup Notes"/>
      <sheetName val="Electronic Evidence"/>
      <sheetName val="Support---&gt;"/>
      <sheetName val="PM Distr - Bal Detail-p4"/>
      <sheetName val="PM Trans - Bal Detail-p5"/>
      <sheetName val="Dist Plant,CWIP, and Depr-p25"/>
      <sheetName val="Trans Plant,CWIP,and Depr-p26"/>
      <sheetName val="Removal Costs-p27"/>
      <sheetName val="Def Tax on RB &amp; COR-Dist-p28"/>
      <sheetName val="Def Tax on RB &amp; COR-TRAN- p29"/>
      <sheetName val="Def Tax on Retirements-p30"/>
      <sheetName val="ROR-p31"/>
      <sheetName val="2019 GLT Splits-p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7">
          <cell r="O77">
            <v>202012</v>
          </cell>
          <cell r="P77">
            <v>202011</v>
          </cell>
          <cell r="Q77">
            <v>202010</v>
          </cell>
          <cell r="R77">
            <v>202009</v>
          </cell>
          <cell r="S77">
            <v>202008</v>
          </cell>
          <cell r="T77">
            <v>202007</v>
          </cell>
          <cell r="U77">
            <v>202006</v>
          </cell>
          <cell r="V77">
            <v>202005</v>
          </cell>
          <cell r="W77">
            <v>202004</v>
          </cell>
          <cell r="X77">
            <v>202003</v>
          </cell>
          <cell r="Y77">
            <v>202002</v>
          </cell>
          <cell r="Z77">
            <v>202001</v>
          </cell>
          <cell r="AA77">
            <v>201912</v>
          </cell>
          <cell r="AB77">
            <v>201911</v>
          </cell>
          <cell r="AC77">
            <v>201910</v>
          </cell>
          <cell r="AD77">
            <v>201909</v>
          </cell>
          <cell r="AE77">
            <v>201908</v>
          </cell>
          <cell r="AF77">
            <v>201907</v>
          </cell>
          <cell r="AG77">
            <v>201906</v>
          </cell>
          <cell r="AH77">
            <v>201905</v>
          </cell>
          <cell r="AI77">
            <v>201904</v>
          </cell>
          <cell r="AJ77">
            <v>201903</v>
          </cell>
          <cell r="AK77">
            <v>201902</v>
          </cell>
          <cell r="AL77">
            <v>201901</v>
          </cell>
          <cell r="AM77">
            <v>201812</v>
          </cell>
          <cell r="AN77">
            <v>201811</v>
          </cell>
          <cell r="AO77">
            <v>201810</v>
          </cell>
          <cell r="AP77">
            <v>201809</v>
          </cell>
          <cell r="AQ77">
            <v>201808</v>
          </cell>
          <cell r="AR77">
            <v>201807</v>
          </cell>
          <cell r="AS77">
            <v>201806</v>
          </cell>
          <cell r="AT77">
            <v>201805</v>
          </cell>
          <cell r="AU77">
            <v>201804</v>
          </cell>
          <cell r="AV77">
            <v>201803</v>
          </cell>
          <cell r="AW77">
            <v>201802</v>
          </cell>
          <cell r="AX77">
            <v>201801</v>
          </cell>
          <cell r="AY77">
            <v>201712</v>
          </cell>
          <cell r="AZ77">
            <v>201711</v>
          </cell>
          <cell r="BA77">
            <v>201710</v>
          </cell>
          <cell r="BB77">
            <v>201709</v>
          </cell>
          <cell r="BC77">
            <v>201708</v>
          </cell>
          <cell r="BD77">
            <v>201707</v>
          </cell>
          <cell r="BE77">
            <v>201706</v>
          </cell>
          <cell r="BF77">
            <v>201705</v>
          </cell>
          <cell r="BG77">
            <v>201704</v>
          </cell>
          <cell r="BH77">
            <v>201703</v>
          </cell>
          <cell r="BI77">
            <v>201702</v>
          </cell>
          <cell r="BJ77">
            <v>201701</v>
          </cell>
          <cell r="BK77">
            <v>201612</v>
          </cell>
          <cell r="BL77">
            <v>201611</v>
          </cell>
          <cell r="BM77">
            <v>201610</v>
          </cell>
          <cell r="BN77">
            <v>201609</v>
          </cell>
          <cell r="BO77">
            <v>201608</v>
          </cell>
          <cell r="BP77">
            <v>201607</v>
          </cell>
          <cell r="BQ77">
            <v>201606</v>
          </cell>
          <cell r="BR77">
            <v>201605</v>
          </cell>
          <cell r="BS77">
            <v>201604</v>
          </cell>
          <cell r="BT77">
            <v>201603</v>
          </cell>
          <cell r="BU77">
            <v>201602</v>
          </cell>
          <cell r="BV77">
            <v>201601</v>
          </cell>
          <cell r="BW77">
            <v>201512</v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</row>
        <row r="78">
          <cell r="O78">
            <v>2020</v>
          </cell>
          <cell r="P78">
            <v>2020</v>
          </cell>
          <cell r="Q78">
            <v>2020</v>
          </cell>
          <cell r="R78">
            <v>2020</v>
          </cell>
          <cell r="S78">
            <v>2020</v>
          </cell>
          <cell r="T78">
            <v>2020</v>
          </cell>
          <cell r="U78">
            <v>2020</v>
          </cell>
          <cell r="V78">
            <v>2020</v>
          </cell>
          <cell r="W78">
            <v>2020</v>
          </cell>
          <cell r="X78">
            <v>2020</v>
          </cell>
          <cell r="Y78">
            <v>2020</v>
          </cell>
          <cell r="Z78">
            <v>2020</v>
          </cell>
          <cell r="AA78">
            <v>2019</v>
          </cell>
          <cell r="AB78">
            <v>2019</v>
          </cell>
          <cell r="AC78">
            <v>2019</v>
          </cell>
          <cell r="AD78">
            <v>2019</v>
          </cell>
          <cell r="AE78">
            <v>2019</v>
          </cell>
          <cell r="AF78">
            <v>2019</v>
          </cell>
          <cell r="AG78">
            <v>2019</v>
          </cell>
          <cell r="AH78">
            <v>2019</v>
          </cell>
          <cell r="AI78">
            <v>2019</v>
          </cell>
          <cell r="AJ78">
            <v>2019</v>
          </cell>
          <cell r="AK78">
            <v>2019</v>
          </cell>
          <cell r="AL78">
            <v>2019</v>
          </cell>
          <cell r="AM78">
            <v>2018</v>
          </cell>
          <cell r="AN78">
            <v>2018</v>
          </cell>
          <cell r="AO78">
            <v>2018</v>
          </cell>
          <cell r="AP78">
            <v>2018</v>
          </cell>
          <cell r="AQ78">
            <v>2018</v>
          </cell>
          <cell r="AR78">
            <v>2018</v>
          </cell>
          <cell r="AS78">
            <v>2018</v>
          </cell>
          <cell r="AT78">
            <v>2018</v>
          </cell>
          <cell r="AU78">
            <v>2018</v>
          </cell>
          <cell r="AV78">
            <v>2018</v>
          </cell>
          <cell r="AW78">
            <v>2018</v>
          </cell>
          <cell r="AX78">
            <v>2018</v>
          </cell>
          <cell r="AY78">
            <v>2017</v>
          </cell>
          <cell r="AZ78">
            <v>2017</v>
          </cell>
          <cell r="BA78">
            <v>2017</v>
          </cell>
          <cell r="BB78">
            <v>2017</v>
          </cell>
          <cell r="BC78">
            <v>2017</v>
          </cell>
          <cell r="BD78">
            <v>2017</v>
          </cell>
          <cell r="BE78">
            <v>2017</v>
          </cell>
          <cell r="BF78">
            <v>2017</v>
          </cell>
          <cell r="BG78">
            <v>2017</v>
          </cell>
          <cell r="BH78">
            <v>2017</v>
          </cell>
          <cell r="BI78">
            <v>2017</v>
          </cell>
          <cell r="BJ78">
            <v>2017</v>
          </cell>
          <cell r="BK78">
            <v>2016</v>
          </cell>
          <cell r="BL78">
            <v>2016</v>
          </cell>
          <cell r="BM78">
            <v>2016</v>
          </cell>
          <cell r="BN78">
            <v>2016</v>
          </cell>
          <cell r="BO78">
            <v>2016</v>
          </cell>
          <cell r="BP78">
            <v>2016</v>
          </cell>
          <cell r="BQ78">
            <v>2016</v>
          </cell>
          <cell r="BR78">
            <v>2016</v>
          </cell>
          <cell r="BS78">
            <v>2016</v>
          </cell>
          <cell r="BT78">
            <v>2016</v>
          </cell>
          <cell r="BU78">
            <v>2016</v>
          </cell>
          <cell r="BV78">
            <v>2016</v>
          </cell>
          <cell r="BW78">
            <v>2015</v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</row>
        <row r="79">
          <cell r="O79">
            <v>12</v>
          </cell>
          <cell r="P79">
            <v>11</v>
          </cell>
          <cell r="Q79">
            <v>10</v>
          </cell>
          <cell r="R79">
            <v>9</v>
          </cell>
          <cell r="S79">
            <v>8</v>
          </cell>
          <cell r="T79">
            <v>7</v>
          </cell>
          <cell r="U79">
            <v>6</v>
          </cell>
          <cell r="V79">
            <v>5</v>
          </cell>
          <cell r="W79">
            <v>4</v>
          </cell>
          <cell r="X79">
            <v>3</v>
          </cell>
          <cell r="Y79">
            <v>2</v>
          </cell>
          <cell r="Z79">
            <v>1</v>
          </cell>
          <cell r="AA79">
            <v>12</v>
          </cell>
          <cell r="AB79">
            <v>11</v>
          </cell>
          <cell r="AC79">
            <v>10</v>
          </cell>
          <cell r="AD79">
            <v>9</v>
          </cell>
          <cell r="AE79">
            <v>8</v>
          </cell>
          <cell r="AF79">
            <v>7</v>
          </cell>
          <cell r="AG79">
            <v>6</v>
          </cell>
          <cell r="AH79">
            <v>5</v>
          </cell>
          <cell r="AI79">
            <v>4</v>
          </cell>
          <cell r="AJ79">
            <v>3</v>
          </cell>
          <cell r="AK79">
            <v>2</v>
          </cell>
          <cell r="AL79">
            <v>1</v>
          </cell>
          <cell r="AM79">
            <v>12</v>
          </cell>
          <cell r="AN79">
            <v>11</v>
          </cell>
          <cell r="AO79">
            <v>10</v>
          </cell>
          <cell r="AP79">
            <v>9</v>
          </cell>
          <cell r="AQ79">
            <v>8</v>
          </cell>
          <cell r="AR79">
            <v>7</v>
          </cell>
          <cell r="AS79">
            <v>6</v>
          </cell>
          <cell r="AT79">
            <v>5</v>
          </cell>
          <cell r="AU79">
            <v>4</v>
          </cell>
          <cell r="AV79">
            <v>3</v>
          </cell>
          <cell r="AW79">
            <v>2</v>
          </cell>
          <cell r="AX79">
            <v>1</v>
          </cell>
          <cell r="AY79">
            <v>12</v>
          </cell>
          <cell r="AZ79">
            <v>11</v>
          </cell>
          <cell r="BA79">
            <v>10</v>
          </cell>
          <cell r="BB79">
            <v>9</v>
          </cell>
          <cell r="BC79">
            <v>8</v>
          </cell>
          <cell r="BD79">
            <v>7</v>
          </cell>
          <cell r="BE79">
            <v>6</v>
          </cell>
          <cell r="BF79">
            <v>5</v>
          </cell>
          <cell r="BG79">
            <v>4</v>
          </cell>
          <cell r="BH79">
            <v>3</v>
          </cell>
          <cell r="BI79">
            <v>2</v>
          </cell>
          <cell r="BJ79">
            <v>1</v>
          </cell>
          <cell r="BK79">
            <v>12</v>
          </cell>
          <cell r="BL79">
            <v>11</v>
          </cell>
          <cell r="BM79">
            <v>10</v>
          </cell>
          <cell r="BN79">
            <v>9</v>
          </cell>
          <cell r="BO79">
            <v>8</v>
          </cell>
          <cell r="BP79">
            <v>7</v>
          </cell>
          <cell r="BQ79">
            <v>6</v>
          </cell>
          <cell r="BR79">
            <v>5</v>
          </cell>
          <cell r="BS79">
            <v>4</v>
          </cell>
          <cell r="BT79">
            <v>3</v>
          </cell>
          <cell r="BU79">
            <v>2</v>
          </cell>
          <cell r="BV79">
            <v>1</v>
          </cell>
          <cell r="BW79">
            <v>12</v>
          </cell>
          <cell r="BX79" t="str">
            <v/>
          </cell>
          <cell r="BY79" t="str">
            <v/>
          </cell>
          <cell r="BZ79" t="str">
            <v/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</row>
        <row r="84">
          <cell r="O84">
            <v>72692224.670000002</v>
          </cell>
          <cell r="P84">
            <v>71722046.950000003</v>
          </cell>
          <cell r="Q84">
            <v>70384008.370000005</v>
          </cell>
          <cell r="R84">
            <v>68304885.280000001</v>
          </cell>
          <cell r="S84">
            <v>67392926.540000007</v>
          </cell>
          <cell r="T84">
            <v>65863249.229999997</v>
          </cell>
          <cell r="U84">
            <v>64538573.909999996</v>
          </cell>
          <cell r="V84">
            <v>63027762.460000008</v>
          </cell>
          <cell r="W84">
            <v>61689500.399999999</v>
          </cell>
          <cell r="X84">
            <v>60463359.100000001</v>
          </cell>
          <cell r="Y84">
            <v>57699012.600000001</v>
          </cell>
          <cell r="Z84">
            <v>56859607.689999998</v>
          </cell>
          <cell r="AA84">
            <v>55802661.969999999</v>
          </cell>
          <cell r="AB84">
            <v>54138979.700000003</v>
          </cell>
          <cell r="AC84">
            <v>52204254.890000001</v>
          </cell>
          <cell r="AD84">
            <v>50555145.670000002</v>
          </cell>
          <cell r="AE84">
            <v>48799695.539999999</v>
          </cell>
          <cell r="AF84">
            <v>47162016.650000006</v>
          </cell>
          <cell r="AG84">
            <v>45530514.760000005</v>
          </cell>
          <cell r="AH84">
            <v>43713041.299999997</v>
          </cell>
          <cell r="AI84">
            <v>41956291.920000002</v>
          </cell>
          <cell r="AJ84">
            <v>38295916.860000007</v>
          </cell>
          <cell r="AK84">
            <v>37344591.980000012</v>
          </cell>
          <cell r="AL84">
            <v>35987940.68</v>
          </cell>
          <cell r="AM84">
            <v>35116262.590000004</v>
          </cell>
          <cell r="AN84">
            <v>33799338.990000002</v>
          </cell>
          <cell r="AO84">
            <v>30669507.59</v>
          </cell>
          <cell r="AP84">
            <v>29493675.960000001</v>
          </cell>
          <cell r="AQ84">
            <v>27556767.710000001</v>
          </cell>
          <cell r="AR84">
            <v>26110670.129999999</v>
          </cell>
          <cell r="AS84">
            <v>24503751.039999999</v>
          </cell>
          <cell r="AT84">
            <v>23345252.420000002</v>
          </cell>
          <cell r="AU84">
            <v>22144715.75</v>
          </cell>
          <cell r="AV84">
            <v>20918278.960000001</v>
          </cell>
          <cell r="AW84">
            <v>19614845.59</v>
          </cell>
          <cell r="AX84">
            <v>18694748.18</v>
          </cell>
          <cell r="AY84">
            <v>17681979.870000001</v>
          </cell>
          <cell r="AZ84">
            <v>16010268.99</v>
          </cell>
          <cell r="BA84">
            <v>13359775.57</v>
          </cell>
          <cell r="BB84">
            <v>9459921.3599999994</v>
          </cell>
          <cell r="BC84">
            <v>6302967</v>
          </cell>
          <cell r="BD84">
            <v>3037429.96</v>
          </cell>
          <cell r="BE84">
            <v>244926833.38</v>
          </cell>
          <cell r="BF84">
            <v>241878074.94999999</v>
          </cell>
          <cell r="BG84">
            <v>238184140.47</v>
          </cell>
          <cell r="BH84">
            <v>234537476.19</v>
          </cell>
          <cell r="BI84">
            <v>230465769.88999999</v>
          </cell>
          <cell r="BJ84">
            <v>226727802.00999996</v>
          </cell>
          <cell r="BK84">
            <v>223092597.29999998</v>
          </cell>
          <cell r="BL84">
            <v>218177496.94999996</v>
          </cell>
          <cell r="BM84">
            <v>213600648.46000001</v>
          </cell>
          <cell r="BN84">
            <v>208528784.72</v>
          </cell>
          <cell r="BO84">
            <v>203280650.56999999</v>
          </cell>
          <cell r="BP84">
            <v>197954538.44999999</v>
          </cell>
          <cell r="BQ84">
            <v>193090539.58000001</v>
          </cell>
          <cell r="BR84">
            <v>188180821.56999999</v>
          </cell>
          <cell r="BS84">
            <v>183150376.68000001</v>
          </cell>
          <cell r="BT84">
            <v>178407423.22</v>
          </cell>
          <cell r="BU84">
            <v>173926709.34999999</v>
          </cell>
          <cell r="BV84">
            <v>169798502.09</v>
          </cell>
          <cell r="BW84">
            <v>166381907.16999999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</row>
        <row r="85">
          <cell r="O85">
            <v>-4180206.34</v>
          </cell>
          <cell r="P85">
            <v>-3995314.32</v>
          </cell>
          <cell r="Q85">
            <v>-3813555.13</v>
          </cell>
          <cell r="R85">
            <v>-3635733.28</v>
          </cell>
          <cell r="S85">
            <v>-3461948.48</v>
          </cell>
          <cell r="T85">
            <v>-3292133.92</v>
          </cell>
          <cell r="U85">
            <v>-3126177.67</v>
          </cell>
          <cell r="V85">
            <v>-2964054.83</v>
          </cell>
          <cell r="W85">
            <v>-2805810.03</v>
          </cell>
          <cell r="X85">
            <v>-2651056.66</v>
          </cell>
          <cell r="Y85">
            <v>-2501682.02</v>
          </cell>
          <cell r="Z85">
            <v>-2357143.9700000002</v>
          </cell>
          <cell r="AA85">
            <v>-2215132.89</v>
          </cell>
          <cell r="AB85">
            <v>-2076774.38</v>
          </cell>
          <cell r="AC85">
            <v>-1943210.44</v>
          </cell>
          <cell r="AD85">
            <v>-1814421.51</v>
          </cell>
          <cell r="AE85">
            <v>-1690207.77</v>
          </cell>
          <cell r="AF85">
            <v>-1570548.21</v>
          </cell>
          <cell r="AG85">
            <v>-1455271.4</v>
          </cell>
          <cell r="AH85">
            <v>-1344620.57</v>
          </cell>
          <cell r="AI85">
            <v>-1238761.07</v>
          </cell>
          <cell r="AJ85">
            <v>-1140592.3999999999</v>
          </cell>
          <cell r="AK85">
            <v>-1049772.93</v>
          </cell>
          <cell r="AL85">
            <v>-961776.71</v>
          </cell>
          <cell r="AM85">
            <v>-875631.04</v>
          </cell>
          <cell r="AN85">
            <v>-792210.86</v>
          </cell>
          <cell r="AO85">
            <v>-710854.94</v>
          </cell>
          <cell r="AP85">
            <v>-639977.63</v>
          </cell>
          <cell r="AQ85">
            <v>-573213.42000000004</v>
          </cell>
          <cell r="AR85">
            <v>-510355.05</v>
          </cell>
          <cell r="AS85">
            <v>-451154.27</v>
          </cell>
          <cell r="AT85">
            <v>-395195.98000000004</v>
          </cell>
          <cell r="AU85">
            <v>-342074.73</v>
          </cell>
          <cell r="AV85">
            <v>-291894.02</v>
          </cell>
          <cell r="AW85">
            <v>-244781.03</v>
          </cell>
          <cell r="AX85">
            <v>-200411.61</v>
          </cell>
          <cell r="AY85">
            <v>-158385.18</v>
          </cell>
          <cell r="AZ85">
            <v>-119677.57</v>
          </cell>
          <cell r="BA85">
            <v>-86150.91</v>
          </cell>
          <cell r="BB85">
            <v>-60027.199999999997</v>
          </cell>
          <cell r="BC85">
            <v>-41623.97</v>
          </cell>
          <cell r="BD85">
            <v>-3483.1</v>
          </cell>
          <cell r="BE85">
            <v>-18243773.18</v>
          </cell>
          <cell r="BF85">
            <v>-17571754.370000001</v>
          </cell>
          <cell r="BG85">
            <v>-16908737.559999999</v>
          </cell>
          <cell r="BH85">
            <v>-16255222.939999999</v>
          </cell>
          <cell r="BI85">
            <v>-15611327.4</v>
          </cell>
          <cell r="BJ85">
            <v>-14977062.199999999</v>
          </cell>
          <cell r="BK85">
            <v>-14352040.949999999</v>
          </cell>
          <cell r="BL85">
            <v>-13737840.220000001</v>
          </cell>
          <cell r="BM85">
            <v>-13135549.92</v>
          </cell>
          <cell r="BN85">
            <v>-12555505.18</v>
          </cell>
          <cell r="BO85">
            <v>-11998464.48</v>
          </cell>
          <cell r="BP85">
            <v>-11454605.41</v>
          </cell>
          <cell r="BQ85">
            <v>-10923501.880000001</v>
          </cell>
          <cell r="BR85">
            <v>-10404912.34</v>
          </cell>
          <cell r="BS85">
            <v>-9899181.6899999995</v>
          </cell>
          <cell r="BT85">
            <v>-9405502.6199999992</v>
          </cell>
          <cell r="BU85">
            <v>-8922952.4299999997</v>
          </cell>
          <cell r="BV85">
            <v>-8450674.7100000009</v>
          </cell>
          <cell r="BW85">
            <v>-7987505.5800000001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</row>
        <row r="86">
          <cell r="O86">
            <v>13528779.039999999</v>
          </cell>
          <cell r="P86">
            <v>13273172.130000001</v>
          </cell>
          <cell r="Q86">
            <v>12884725.17</v>
          </cell>
          <cell r="R86">
            <v>12318185.699999999</v>
          </cell>
          <cell r="S86">
            <v>11959226.810000001</v>
          </cell>
          <cell r="T86">
            <v>11568487.279999999</v>
          </cell>
          <cell r="U86">
            <v>11223915.869999999</v>
          </cell>
          <cell r="V86">
            <v>10849776.639999999</v>
          </cell>
          <cell r="W86">
            <v>10320675.199999999</v>
          </cell>
          <cell r="X86">
            <v>9654291.7100000009</v>
          </cell>
          <cell r="Y86">
            <v>8988394.8800000008</v>
          </cell>
          <cell r="Z86">
            <v>8459892.2799999993</v>
          </cell>
          <cell r="AA86">
            <v>7647537.2999999998</v>
          </cell>
          <cell r="AB86">
            <v>7487648.1900000004</v>
          </cell>
          <cell r="AC86">
            <v>6984604.5800000001</v>
          </cell>
          <cell r="AD86">
            <v>6571139.8200000003</v>
          </cell>
          <cell r="AE86">
            <v>6102920.8499999996</v>
          </cell>
          <cell r="AF86">
            <v>5728715.1800000006</v>
          </cell>
          <cell r="AG86">
            <v>5343996.8600000003</v>
          </cell>
          <cell r="AH86">
            <v>4893125.6100000003</v>
          </cell>
          <cell r="AI86">
            <v>4500793.04</v>
          </cell>
          <cell r="AJ86">
            <v>3715078.14</v>
          </cell>
          <cell r="AK86">
            <v>3684750.7600000002</v>
          </cell>
          <cell r="AL86">
            <v>3669143.1</v>
          </cell>
          <cell r="AM86">
            <v>3466154.78</v>
          </cell>
          <cell r="AN86">
            <v>3299122.11</v>
          </cell>
          <cell r="AO86">
            <v>3132941.75</v>
          </cell>
          <cell r="AP86">
            <v>2944074.83</v>
          </cell>
          <cell r="AQ86">
            <v>2802081.39</v>
          </cell>
          <cell r="AR86">
            <v>2671672.84</v>
          </cell>
          <cell r="AS86">
            <v>2559902.92</v>
          </cell>
          <cell r="AT86">
            <v>2398285.6699999995</v>
          </cell>
          <cell r="AU86">
            <v>2246271.5999999996</v>
          </cell>
          <cell r="AV86">
            <v>2096194.07</v>
          </cell>
          <cell r="AW86">
            <v>1970935.42</v>
          </cell>
          <cell r="AX86">
            <v>1789207.19</v>
          </cell>
          <cell r="AY86">
            <v>1643717.13</v>
          </cell>
          <cell r="AZ86">
            <v>1192482.7</v>
          </cell>
          <cell r="BA86">
            <v>903421.45</v>
          </cell>
          <cell r="BB86">
            <v>502267.67</v>
          </cell>
          <cell r="BC86">
            <v>354600.65</v>
          </cell>
          <cell r="BD86">
            <v>203541.69</v>
          </cell>
          <cell r="BE86">
            <v>5308416.62</v>
          </cell>
          <cell r="BF86">
            <v>5120795.0999999996</v>
          </cell>
          <cell r="BG86">
            <v>4936468.2699999996</v>
          </cell>
          <cell r="BH86">
            <v>4884911.3600000003</v>
          </cell>
          <cell r="BI86">
            <v>4763777.1100000003</v>
          </cell>
          <cell r="BJ86">
            <v>4531081.7200000007</v>
          </cell>
          <cell r="BK86">
            <v>4464379.71</v>
          </cell>
          <cell r="BL86">
            <v>4314784.26</v>
          </cell>
          <cell r="BM86">
            <v>4269258.55</v>
          </cell>
          <cell r="BN86">
            <v>4219897.68</v>
          </cell>
          <cell r="BO86">
            <v>4173005.85</v>
          </cell>
          <cell r="BP86">
            <v>4079387.27</v>
          </cell>
          <cell r="BQ86">
            <v>4023851.73</v>
          </cell>
          <cell r="BR86">
            <v>3911885.12</v>
          </cell>
          <cell r="BS86">
            <v>3809813.6</v>
          </cell>
          <cell r="BT86">
            <v>3763503.95</v>
          </cell>
          <cell r="BU86">
            <v>3727182.15</v>
          </cell>
          <cell r="BV86">
            <v>3683440.18</v>
          </cell>
          <cell r="BW86">
            <v>3628305.11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</row>
        <row r="87">
          <cell r="O87">
            <v>-11553913.109999999</v>
          </cell>
          <cell r="P87">
            <v>-11414547.73</v>
          </cell>
          <cell r="Q87">
            <v>-11104205.609999999</v>
          </cell>
          <cell r="R87">
            <v>-10780673.08</v>
          </cell>
          <cell r="S87">
            <v>-10504537.66</v>
          </cell>
          <cell r="T87">
            <v>-10256274.970000001</v>
          </cell>
          <cell r="U87">
            <v>-10034626.26</v>
          </cell>
          <cell r="V87">
            <v>-9817492.6600000001</v>
          </cell>
          <cell r="W87">
            <v>-9579443.4561665859</v>
          </cell>
          <cell r="X87">
            <v>-9324146.7300000004</v>
          </cell>
          <cell r="Y87">
            <v>-9086334.0800000001</v>
          </cell>
          <cell r="Z87">
            <v>-8910308.5500000007</v>
          </cell>
          <cell r="AA87">
            <v>-8790723.3000000007</v>
          </cell>
          <cell r="AB87">
            <v>-8385489.8499999996</v>
          </cell>
          <cell r="AC87">
            <v>-8044111.5999999996</v>
          </cell>
          <cell r="AD87">
            <v>-7717838.7199999997</v>
          </cell>
          <cell r="AE87">
            <v>-7389192.1148268059</v>
          </cell>
          <cell r="AF87">
            <v>-7118226.7299298029</v>
          </cell>
          <cell r="AG87">
            <v>-6855479.861694946</v>
          </cell>
          <cell r="AH87">
            <v>-6598140.7599999998</v>
          </cell>
          <cell r="AI87">
            <v>-6364692.9699999997</v>
          </cell>
          <cell r="AJ87">
            <v>-6046523.7202483118</v>
          </cell>
          <cell r="AK87">
            <v>-5947139.7187169762</v>
          </cell>
          <cell r="AL87">
            <v>-5912804.4299999997</v>
          </cell>
          <cell r="AM87">
            <v>-5841052.25</v>
          </cell>
          <cell r="AN87">
            <v>-5677773.9000000004</v>
          </cell>
          <cell r="AO87">
            <v>-5424678.4000000004</v>
          </cell>
          <cell r="AP87">
            <v>-5197254.8499999996</v>
          </cell>
          <cell r="AQ87">
            <v>-4974735.74</v>
          </cell>
          <cell r="AR87">
            <v>-4790459.59</v>
          </cell>
          <cell r="AS87">
            <v>-4625157.2752162451</v>
          </cell>
          <cell r="AT87">
            <v>-4483310.3600000003</v>
          </cell>
          <cell r="AU87">
            <v>-4349185.74</v>
          </cell>
          <cell r="AV87">
            <v>-4248651.4232056169</v>
          </cell>
          <cell r="AW87">
            <v>-4164057.52</v>
          </cell>
          <cell r="AX87">
            <v>-4084296.3</v>
          </cell>
          <cell r="AY87">
            <v>-4031690.84</v>
          </cell>
          <cell r="AZ87">
            <v>-2946106.56</v>
          </cell>
          <cell r="BA87">
            <v>-2028811.5</v>
          </cell>
          <cell r="BB87">
            <v>-1160546.54</v>
          </cell>
          <cell r="BC87">
            <v>-553339.98</v>
          </cell>
          <cell r="BD87">
            <v>-180193.26101066667</v>
          </cell>
          <cell r="BE87">
            <v>-38810975.420000002</v>
          </cell>
          <cell r="BF87">
            <v>-38108993.939999998</v>
          </cell>
          <cell r="BG87">
            <v>-37482100.799999997</v>
          </cell>
          <cell r="BH87">
            <v>-37031489.859999999</v>
          </cell>
          <cell r="BI87">
            <v>-36673342.630000003</v>
          </cell>
          <cell r="BJ87">
            <v>-36385915.189999998</v>
          </cell>
          <cell r="BK87">
            <v>-36256614.840000004</v>
          </cell>
          <cell r="BL87">
            <v>-34695845.079999998</v>
          </cell>
          <cell r="BM87">
            <v>-33413593.98</v>
          </cell>
          <cell r="BN87">
            <v>-32142066.609999999</v>
          </cell>
          <cell r="BO87">
            <v>-31011065.350000001</v>
          </cell>
          <cell r="BP87">
            <v>-29966211.100000001</v>
          </cell>
          <cell r="BQ87">
            <v>-29110393.98</v>
          </cell>
          <cell r="BR87">
            <v>-28314107.350000001</v>
          </cell>
          <cell r="BS87">
            <v>-27670471.489999998</v>
          </cell>
          <cell r="BT87">
            <v>-27238406.489999998</v>
          </cell>
          <cell r="BU87">
            <v>-26841122.059999999</v>
          </cell>
          <cell r="BV87">
            <v>-26694672.289999999</v>
          </cell>
          <cell r="BW87">
            <v>-26602653.989999998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7090839.9299999997</v>
          </cell>
          <cell r="BF88">
            <v>7090839.9299999997</v>
          </cell>
          <cell r="BG88">
            <v>7090839.9299999997</v>
          </cell>
          <cell r="BH88">
            <v>7090839.9299999997</v>
          </cell>
          <cell r="BI88">
            <v>7090839.9299999997</v>
          </cell>
          <cell r="BJ88">
            <v>7090839.9299999997</v>
          </cell>
          <cell r="BK88">
            <v>7090839.9299999997</v>
          </cell>
          <cell r="BL88">
            <v>7090839.9299999997</v>
          </cell>
          <cell r="BM88">
            <v>3715279.44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-4889166.9800000004</v>
          </cell>
          <cell r="BF89">
            <v>-4889166.9800000004</v>
          </cell>
          <cell r="BG89">
            <v>-4889166.9800000004</v>
          </cell>
          <cell r="BH89">
            <v>-4889166.9800000004</v>
          </cell>
          <cell r="BI89">
            <v>-4889166.9800000004</v>
          </cell>
          <cell r="BJ89">
            <v>-4889166.9800000004</v>
          </cell>
          <cell r="BK89">
            <v>-4889166.9800000004</v>
          </cell>
          <cell r="BL89">
            <v>-4889166.9800000004</v>
          </cell>
          <cell r="BM89">
            <v>-3095931.21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-453616.94</v>
          </cell>
          <cell r="BF90">
            <v>-453616.94</v>
          </cell>
          <cell r="BG90">
            <v>-453616.94</v>
          </cell>
          <cell r="BH90">
            <v>-453616.94</v>
          </cell>
          <cell r="BI90">
            <v>-453616.94</v>
          </cell>
          <cell r="BJ90">
            <v>-453616.94338109798</v>
          </cell>
          <cell r="BK90">
            <v>-453616.94338109798</v>
          </cell>
          <cell r="BL90">
            <v>-453616.94338109798</v>
          </cell>
          <cell r="BM90">
            <v>-218841.66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O91">
            <v>70486884.260000005</v>
          </cell>
          <cell r="P91">
            <v>69585357.030000001</v>
          </cell>
          <cell r="Q91">
            <v>68350972.799999997</v>
          </cell>
          <cell r="R91">
            <v>66206664.620000005</v>
          </cell>
          <cell r="S91">
            <v>65385667.210000008</v>
          </cell>
          <cell r="T91">
            <v>63883327.61999999</v>
          </cell>
          <cell r="U91">
            <v>62601685.850000001</v>
          </cell>
          <cell r="V91">
            <v>61095991.610000014</v>
          </cell>
          <cell r="W91">
            <v>59624922.113833405</v>
          </cell>
          <cell r="X91">
            <v>58142447.420000002</v>
          </cell>
          <cell r="Y91">
            <v>55099391.380000003</v>
          </cell>
          <cell r="Z91">
            <v>54052047.450000003</v>
          </cell>
          <cell r="AA91">
            <v>52444343.079999998</v>
          </cell>
          <cell r="AB91">
            <v>51164363.659999996</v>
          </cell>
          <cell r="AC91">
            <v>49201537.43</v>
          </cell>
          <cell r="AD91">
            <v>47594025.260000005</v>
          </cell>
          <cell r="AE91">
            <v>45823216.505173191</v>
          </cell>
          <cell r="AF91">
            <v>44201956.8900702</v>
          </cell>
          <cell r="AG91">
            <v>42563760.358305059</v>
          </cell>
          <cell r="AH91">
            <v>40663405.579999998</v>
          </cell>
          <cell r="AI91">
            <v>38853630.920000002</v>
          </cell>
          <cell r="AJ91">
            <v>34823878.879751697</v>
          </cell>
          <cell r="AK91">
            <v>34032430.091283031</v>
          </cell>
          <cell r="AL91">
            <v>32782502.640000001</v>
          </cell>
          <cell r="AM91">
            <v>31865734.080000006</v>
          </cell>
          <cell r="AN91">
            <v>30628476.340000004</v>
          </cell>
          <cell r="AO91">
            <v>27666916</v>
          </cell>
          <cell r="AP91">
            <v>26600518.310000002</v>
          </cell>
          <cell r="AQ91">
            <v>24810899.939999998</v>
          </cell>
          <cell r="AR91">
            <v>23481528.329999998</v>
          </cell>
          <cell r="AS91">
            <v>21987342.414783753</v>
          </cell>
          <cell r="AT91">
            <v>20865031.75</v>
          </cell>
          <cell r="AU91">
            <v>19699726.879999995</v>
          </cell>
          <cell r="AV91">
            <v>18473927.586794384</v>
          </cell>
          <cell r="AW91">
            <v>17176942.459999997</v>
          </cell>
          <cell r="AX91">
            <v>16199247.460000001</v>
          </cell>
          <cell r="AY91">
            <v>15135620.98</v>
          </cell>
          <cell r="AZ91">
            <v>14136967.560000001</v>
          </cell>
          <cell r="BA91">
            <v>12148234.609999999</v>
          </cell>
          <cell r="BB91">
            <v>8741615.2899999991</v>
          </cell>
          <cell r="BC91">
            <v>6062603.7000000011</v>
          </cell>
          <cell r="BD91">
            <v>3057295.288989333</v>
          </cell>
          <cell r="BE91">
            <v>191432445.38999999</v>
          </cell>
          <cell r="BF91">
            <v>189570065.72999999</v>
          </cell>
          <cell r="BG91">
            <v>186981714.37</v>
          </cell>
          <cell r="BH91">
            <v>184387618.74000001</v>
          </cell>
          <cell r="BI91">
            <v>181196820.96000001</v>
          </cell>
          <cell r="BJ91">
            <v>178147850.33338109</v>
          </cell>
          <cell r="BK91">
            <v>175200265.21338111</v>
          </cell>
          <cell r="BL91">
            <v>172310539.90338108</v>
          </cell>
          <cell r="BM91">
            <v>170920256.54000005</v>
          </cell>
          <cell r="BN91">
            <v>168051110.61000001</v>
          </cell>
          <cell r="BO91">
            <v>164444126.59</v>
          </cell>
          <cell r="BP91">
            <v>160613109.21000001</v>
          </cell>
          <cell r="BQ91">
            <v>157080495.45000002</v>
          </cell>
          <cell r="BR91">
            <v>153373687</v>
          </cell>
          <cell r="BS91">
            <v>149390537.09999999</v>
          </cell>
          <cell r="BT91">
            <v>145527018.05999997</v>
          </cell>
          <cell r="BU91">
            <v>141889817.00999999</v>
          </cell>
          <cell r="BV91">
            <v>138336595.27000001</v>
          </cell>
          <cell r="BW91">
            <v>135420052.70999998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</row>
        <row r="96">
          <cell r="O96">
            <v>99030.180000000008</v>
          </cell>
          <cell r="P96">
            <v>107195.41</v>
          </cell>
          <cell r="Q96">
            <v>128711.62</v>
          </cell>
          <cell r="R96">
            <v>144152.28</v>
          </cell>
          <cell r="S96">
            <v>102549.29999999999</v>
          </cell>
          <cell r="T96">
            <v>127792.47</v>
          </cell>
          <cell r="U96">
            <v>82944.179999999993</v>
          </cell>
          <cell r="V96">
            <v>200109.46</v>
          </cell>
          <cell r="W96">
            <v>89067.53</v>
          </cell>
          <cell r="X96">
            <v>77236.679999999993</v>
          </cell>
          <cell r="Y96">
            <v>109915.09</v>
          </cell>
          <cell r="Z96">
            <v>191850.95</v>
          </cell>
          <cell r="AA96">
            <v>92177.96</v>
          </cell>
          <cell r="AB96">
            <v>74100.510000000009</v>
          </cell>
          <cell r="AC96">
            <v>69510.05</v>
          </cell>
          <cell r="AD96">
            <v>94599.16</v>
          </cell>
          <cell r="AE96">
            <v>75650.09</v>
          </cell>
          <cell r="AF96">
            <v>70058.930000000008</v>
          </cell>
          <cell r="AG96">
            <v>138836.32</v>
          </cell>
          <cell r="AH96">
            <v>154764.51</v>
          </cell>
          <cell r="AI96">
            <v>23537.760000000009</v>
          </cell>
          <cell r="AJ96">
            <v>7399.9800000000114</v>
          </cell>
          <cell r="AK96">
            <v>-994.94999999999709</v>
          </cell>
          <cell r="AL96">
            <v>13468.560000000001</v>
          </cell>
          <cell r="AM96">
            <v>177111.56000000003</v>
          </cell>
          <cell r="AN96">
            <v>48892.760000000009</v>
          </cell>
          <cell r="AO96">
            <v>120155.35</v>
          </cell>
          <cell r="AP96">
            <v>63358.099999999991</v>
          </cell>
          <cell r="AQ96">
            <v>101207.37999999998</v>
          </cell>
          <cell r="AR96">
            <v>71171.619999999981</v>
          </cell>
          <cell r="AS96">
            <v>59565.02</v>
          </cell>
          <cell r="AT96">
            <v>74792.559999999983</v>
          </cell>
          <cell r="AU96">
            <v>-106295.09</v>
          </cell>
          <cell r="AV96">
            <v>-13517.44999999999</v>
          </cell>
          <cell r="AW96">
            <v>-32468.410000000011</v>
          </cell>
          <cell r="AX96">
            <v>116637.37</v>
          </cell>
          <cell r="AY96">
            <v>88839.3</v>
          </cell>
          <cell r="AZ96">
            <v>78694.020000000019</v>
          </cell>
          <cell r="BA96">
            <v>107597.89000000001</v>
          </cell>
          <cell r="BB96">
            <v>64736.08</v>
          </cell>
          <cell r="BC96">
            <v>85274.15</v>
          </cell>
          <cell r="BD96">
            <v>62063.899999999994</v>
          </cell>
          <cell r="BE96">
            <v>46261.820000000007</v>
          </cell>
          <cell r="BF96">
            <v>25340.609999999982</v>
          </cell>
          <cell r="BG96">
            <v>-101343.68999999999</v>
          </cell>
          <cell r="BH96">
            <v>14185.92</v>
          </cell>
          <cell r="BI96">
            <v>9078.5800000000072</v>
          </cell>
          <cell r="BJ96">
            <v>73315.010000000009</v>
          </cell>
          <cell r="BK96">
            <v>221230.34</v>
          </cell>
          <cell r="BL96">
            <v>137250.54</v>
          </cell>
          <cell r="BM96">
            <v>105591.66</v>
          </cell>
          <cell r="BN96">
            <v>107454.16</v>
          </cell>
          <cell r="BO96">
            <v>100872.94</v>
          </cell>
          <cell r="BP96">
            <v>38305.359999999993</v>
          </cell>
          <cell r="BQ96">
            <v>65244.409999999996</v>
          </cell>
          <cell r="BR96">
            <v>116051.95</v>
          </cell>
          <cell r="BS96">
            <v>-120770.09000000001</v>
          </cell>
          <cell r="BT96">
            <v>12343.580000000005</v>
          </cell>
          <cell r="BU96">
            <v>-34136.199999999997</v>
          </cell>
          <cell r="BV96">
            <v>209067.12999999998</v>
          </cell>
          <cell r="BW96">
            <v>235856.42999999996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O97">
            <v>184892.02</v>
          </cell>
          <cell r="P97">
            <v>181759.19</v>
          </cell>
          <cell r="Q97">
            <v>177821.85</v>
          </cell>
          <cell r="R97">
            <v>173784.8</v>
          </cell>
          <cell r="S97">
            <v>169814.56</v>
          </cell>
          <cell r="T97">
            <v>165956.25</v>
          </cell>
          <cell r="U97">
            <v>162122.84</v>
          </cell>
          <cell r="V97">
            <v>158244.79999999999</v>
          </cell>
          <cell r="W97">
            <v>154753.37</v>
          </cell>
          <cell r="X97">
            <v>149374.64000000001</v>
          </cell>
          <cell r="Y97">
            <v>144538.04999999999</v>
          </cell>
          <cell r="Z97">
            <v>142011.07999999999</v>
          </cell>
          <cell r="AA97">
            <v>138358.51</v>
          </cell>
          <cell r="AB97">
            <v>133563.94</v>
          </cell>
          <cell r="AC97">
            <v>128788.93</v>
          </cell>
          <cell r="AD97">
            <v>124213.74</v>
          </cell>
          <cell r="AE97">
            <v>119659.56</v>
          </cell>
          <cell r="AF97">
            <v>115276.81</v>
          </cell>
          <cell r="AG97">
            <v>110650.83</v>
          </cell>
          <cell r="AH97">
            <v>105859.5</v>
          </cell>
          <cell r="AI97">
            <v>98168.67</v>
          </cell>
          <cell r="AJ97">
            <v>90819.47</v>
          </cell>
          <cell r="AK97">
            <v>87996.22</v>
          </cell>
          <cell r="AL97">
            <v>86145.67</v>
          </cell>
          <cell r="AM97">
            <v>83420.179999999993</v>
          </cell>
          <cell r="AN97">
            <v>77276.75</v>
          </cell>
          <cell r="AO97">
            <v>70877.31</v>
          </cell>
          <cell r="AP97">
            <v>66764.210000000006</v>
          </cell>
          <cell r="AQ97">
            <v>62858.37</v>
          </cell>
          <cell r="AR97">
            <v>59200.78</v>
          </cell>
          <cell r="AS97">
            <v>55958.29</v>
          </cell>
          <cell r="AT97">
            <v>53121.25</v>
          </cell>
          <cell r="AU97">
            <v>50180.71</v>
          </cell>
          <cell r="AV97">
            <v>47112.99</v>
          </cell>
          <cell r="AW97">
            <v>44369.42</v>
          </cell>
          <cell r="AX97">
            <v>42026.43</v>
          </cell>
          <cell r="AY97">
            <v>38707.61</v>
          </cell>
          <cell r="AZ97">
            <v>33526.660000000003</v>
          </cell>
          <cell r="BA97">
            <v>26123.71</v>
          </cell>
          <cell r="BB97">
            <v>18403.23</v>
          </cell>
          <cell r="BC97">
            <v>38140.870000000003</v>
          </cell>
          <cell r="BD97">
            <v>3483.1</v>
          </cell>
          <cell r="BE97">
            <v>672018.81</v>
          </cell>
          <cell r="BF97">
            <v>663016.81000000006</v>
          </cell>
          <cell r="BG97">
            <v>653514.62</v>
          </cell>
          <cell r="BH97">
            <v>643895.54</v>
          </cell>
          <cell r="BI97">
            <v>634265.19999999995</v>
          </cell>
          <cell r="BJ97">
            <v>625021.25</v>
          </cell>
          <cell r="BK97">
            <v>614200.7300000001</v>
          </cell>
          <cell r="BL97">
            <v>602290.30000000005</v>
          </cell>
          <cell r="BM97">
            <v>580044.74</v>
          </cell>
          <cell r="BN97">
            <v>557040.69999999995</v>
          </cell>
          <cell r="BO97">
            <v>543859.06999999995</v>
          </cell>
          <cell r="BP97">
            <v>531103.53</v>
          </cell>
          <cell r="BQ97">
            <v>518589.54</v>
          </cell>
          <cell r="BR97">
            <v>505730.65</v>
          </cell>
          <cell r="BS97">
            <v>493679.07</v>
          </cell>
          <cell r="BT97">
            <v>482550.19</v>
          </cell>
          <cell r="BU97">
            <v>472277.72</v>
          </cell>
          <cell r="BV97">
            <v>463169.13</v>
          </cell>
          <cell r="BW97">
            <v>453566.03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-22304.98</v>
          </cell>
          <cell r="BF98">
            <v>-22304.98</v>
          </cell>
          <cell r="BG98">
            <v>-22304.98</v>
          </cell>
          <cell r="BH98">
            <v>-22304.98</v>
          </cell>
          <cell r="BI98">
            <v>-22304.98</v>
          </cell>
          <cell r="BJ98">
            <v>-22304.98</v>
          </cell>
          <cell r="BK98">
            <v>-22304.98</v>
          </cell>
          <cell r="BL98">
            <v>-16974.41</v>
          </cell>
          <cell r="BM98">
            <v>-5821.92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O99">
            <v>68347</v>
          </cell>
          <cell r="P99">
            <v>68347</v>
          </cell>
          <cell r="Q99">
            <v>68347</v>
          </cell>
          <cell r="R99">
            <v>68347</v>
          </cell>
          <cell r="S99">
            <v>68347</v>
          </cell>
          <cell r="T99">
            <v>68347</v>
          </cell>
          <cell r="U99">
            <v>68347</v>
          </cell>
          <cell r="V99">
            <v>68347</v>
          </cell>
          <cell r="W99">
            <v>68347</v>
          </cell>
          <cell r="X99">
            <v>68347</v>
          </cell>
          <cell r="Y99">
            <v>68347</v>
          </cell>
          <cell r="Z99">
            <v>68347</v>
          </cell>
          <cell r="AA99">
            <v>40112</v>
          </cell>
          <cell r="AB99">
            <v>40112</v>
          </cell>
          <cell r="AC99">
            <v>40112</v>
          </cell>
          <cell r="AD99">
            <v>40112</v>
          </cell>
          <cell r="AE99">
            <v>40112</v>
          </cell>
          <cell r="AF99">
            <v>40112</v>
          </cell>
          <cell r="AG99">
            <v>40112</v>
          </cell>
          <cell r="AH99">
            <v>40112</v>
          </cell>
          <cell r="AI99">
            <v>40112</v>
          </cell>
          <cell r="AJ99">
            <v>40112</v>
          </cell>
          <cell r="AK99">
            <v>40112</v>
          </cell>
          <cell r="AL99">
            <v>40112</v>
          </cell>
          <cell r="AM99">
            <v>20784</v>
          </cell>
          <cell r="AN99">
            <v>20784</v>
          </cell>
          <cell r="AO99">
            <v>20784</v>
          </cell>
          <cell r="AP99">
            <v>20784</v>
          </cell>
          <cell r="AQ99">
            <v>20784</v>
          </cell>
          <cell r="AR99">
            <v>20784</v>
          </cell>
          <cell r="AS99">
            <v>20784</v>
          </cell>
          <cell r="AT99">
            <v>20784</v>
          </cell>
          <cell r="AU99">
            <v>20784</v>
          </cell>
          <cell r="AV99">
            <v>20784</v>
          </cell>
          <cell r="AW99">
            <v>20784</v>
          </cell>
          <cell r="AX99">
            <v>20784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215880</v>
          </cell>
          <cell r="BF99">
            <v>215880</v>
          </cell>
          <cell r="BG99">
            <v>215880</v>
          </cell>
          <cell r="BH99">
            <v>215880</v>
          </cell>
          <cell r="BI99">
            <v>215880</v>
          </cell>
          <cell r="BJ99">
            <v>215880</v>
          </cell>
          <cell r="BK99">
            <v>170197</v>
          </cell>
          <cell r="BL99">
            <v>170197</v>
          </cell>
          <cell r="BM99">
            <v>170197</v>
          </cell>
          <cell r="BN99">
            <v>170197</v>
          </cell>
          <cell r="BO99">
            <v>170197</v>
          </cell>
          <cell r="BP99">
            <v>170197</v>
          </cell>
          <cell r="BQ99">
            <v>170197</v>
          </cell>
          <cell r="BR99">
            <v>170197</v>
          </cell>
          <cell r="BS99">
            <v>170197</v>
          </cell>
          <cell r="BT99">
            <v>170197</v>
          </cell>
          <cell r="BU99">
            <v>170197</v>
          </cell>
          <cell r="BV99">
            <v>170197</v>
          </cell>
          <cell r="BW99">
            <v>118644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O100">
            <v>352269.2</v>
          </cell>
          <cell r="P100">
            <v>357301.6</v>
          </cell>
          <cell r="Q100">
            <v>374880.47</v>
          </cell>
          <cell r="R100">
            <v>386284.07999999996</v>
          </cell>
          <cell r="S100">
            <v>340710.86</v>
          </cell>
          <cell r="T100">
            <v>362095.72</v>
          </cell>
          <cell r="U100">
            <v>313414.02</v>
          </cell>
          <cell r="V100">
            <v>426701.26</v>
          </cell>
          <cell r="W100">
            <v>312167.90000000002</v>
          </cell>
          <cell r="X100">
            <v>294958.32</v>
          </cell>
          <cell r="Y100">
            <v>322800.14</v>
          </cell>
          <cell r="Z100">
            <v>402209.03</v>
          </cell>
          <cell r="AA100">
            <v>270648.47000000003</v>
          </cell>
          <cell r="AB100">
            <v>247776.45</v>
          </cell>
          <cell r="AC100">
            <v>238410.97999999998</v>
          </cell>
          <cell r="AD100">
            <v>258924.90000000002</v>
          </cell>
          <cell r="AE100">
            <v>235421.65</v>
          </cell>
          <cell r="AF100">
            <v>225447.74</v>
          </cell>
          <cell r="AG100">
            <v>289599.15000000002</v>
          </cell>
          <cell r="AH100">
            <v>300736.01</v>
          </cell>
          <cell r="AI100">
            <v>161818.43</v>
          </cell>
          <cell r="AJ100">
            <v>138331.45000000001</v>
          </cell>
          <cell r="AK100">
            <v>127113.27</v>
          </cell>
          <cell r="AL100">
            <v>139726.22999999998</v>
          </cell>
          <cell r="AM100">
            <v>281315.74</v>
          </cell>
          <cell r="AN100">
            <v>146953.51</v>
          </cell>
          <cell r="AO100">
            <v>211816.66</v>
          </cell>
          <cell r="AP100">
            <v>150906.31</v>
          </cell>
          <cell r="AQ100">
            <v>184849.74999999997</v>
          </cell>
          <cell r="AR100">
            <v>151156.39999999997</v>
          </cell>
          <cell r="AS100">
            <v>136307.31</v>
          </cell>
          <cell r="AT100">
            <v>148697.81</v>
          </cell>
          <cell r="AU100">
            <v>-35330.379999999997</v>
          </cell>
          <cell r="AV100">
            <v>54379.540000000008</v>
          </cell>
          <cell r="AW100">
            <v>32685.009999999987</v>
          </cell>
          <cell r="AX100">
            <v>179447.8</v>
          </cell>
          <cell r="AY100">
            <v>127546.91</v>
          </cell>
          <cell r="AZ100">
            <v>112220.68000000002</v>
          </cell>
          <cell r="BA100">
            <v>133721.60000000001</v>
          </cell>
          <cell r="BB100">
            <v>83139.31</v>
          </cell>
          <cell r="BC100">
            <v>123415.01999999999</v>
          </cell>
          <cell r="BD100">
            <v>65547</v>
          </cell>
          <cell r="BE100">
            <v>911855.65000000014</v>
          </cell>
          <cell r="BF100">
            <v>881932.44000000006</v>
          </cell>
          <cell r="BG100">
            <v>745745.95000000007</v>
          </cell>
          <cell r="BH100">
            <v>851656.4800000001</v>
          </cell>
          <cell r="BI100">
            <v>836918.79999999993</v>
          </cell>
          <cell r="BJ100">
            <v>891911.28</v>
          </cell>
          <cell r="BK100">
            <v>983323.09000000008</v>
          </cell>
          <cell r="BL100">
            <v>892763.43</v>
          </cell>
          <cell r="BM100">
            <v>850011.48</v>
          </cell>
          <cell r="BN100">
            <v>834691.86</v>
          </cell>
          <cell r="BO100">
            <v>814929.01</v>
          </cell>
          <cell r="BP100">
            <v>739605.89</v>
          </cell>
          <cell r="BQ100">
            <v>754030.95</v>
          </cell>
          <cell r="BR100">
            <v>791979.6</v>
          </cell>
          <cell r="BS100">
            <v>543105.98</v>
          </cell>
          <cell r="BT100">
            <v>665090.77</v>
          </cell>
          <cell r="BU100">
            <v>608338.52</v>
          </cell>
          <cell r="BV100">
            <v>842433.26</v>
          </cell>
          <cell r="BW100">
            <v>808066.46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5">
          <cell r="O105">
            <v>70486884.260000005</v>
          </cell>
          <cell r="P105">
            <v>69585357.030000001</v>
          </cell>
          <cell r="Q105">
            <v>68350972.799999997</v>
          </cell>
          <cell r="R105">
            <v>66206664.620000005</v>
          </cell>
          <cell r="S105">
            <v>65385667.210000008</v>
          </cell>
          <cell r="T105">
            <v>63883327.61999999</v>
          </cell>
          <cell r="U105">
            <v>62601685.850000001</v>
          </cell>
          <cell r="V105">
            <v>61095991.610000014</v>
          </cell>
          <cell r="W105">
            <v>59624922.113833405</v>
          </cell>
          <cell r="X105">
            <v>58142447.420000002</v>
          </cell>
          <cell r="Y105">
            <v>55099391.380000003</v>
          </cell>
          <cell r="Z105">
            <v>54052047.450000003</v>
          </cell>
          <cell r="AA105">
            <v>52444343.079999998</v>
          </cell>
          <cell r="AB105">
            <v>51164363.659999996</v>
          </cell>
          <cell r="AC105">
            <v>49201537.43</v>
          </cell>
          <cell r="AD105">
            <v>47594025.260000005</v>
          </cell>
          <cell r="AE105">
            <v>45823216.505173191</v>
          </cell>
          <cell r="AF105">
            <v>44201956.8900702</v>
          </cell>
          <cell r="AG105">
            <v>42563760.358305059</v>
          </cell>
          <cell r="AH105">
            <v>40663405.579999998</v>
          </cell>
          <cell r="AI105">
            <v>38853630.920000002</v>
          </cell>
          <cell r="AJ105">
            <v>34823878.879751697</v>
          </cell>
          <cell r="AK105">
            <v>34032430.091283031</v>
          </cell>
          <cell r="AL105">
            <v>32782502.640000001</v>
          </cell>
          <cell r="AM105">
            <v>31865734.080000006</v>
          </cell>
          <cell r="AN105">
            <v>30628476.340000004</v>
          </cell>
          <cell r="AO105">
            <v>27666916</v>
          </cell>
          <cell r="AP105">
            <v>26600518.310000002</v>
          </cell>
          <cell r="AQ105">
            <v>24810899.939999998</v>
          </cell>
          <cell r="AR105">
            <v>23481528.329999998</v>
          </cell>
          <cell r="AS105">
            <v>21987342.414783753</v>
          </cell>
          <cell r="AT105">
            <v>20865031.75</v>
          </cell>
          <cell r="AU105">
            <v>19699726.879999995</v>
          </cell>
          <cell r="AV105">
            <v>18473927.586794384</v>
          </cell>
          <cell r="AW105">
            <v>17176942.459999997</v>
          </cell>
          <cell r="AX105">
            <v>16199247.460000001</v>
          </cell>
          <cell r="AY105">
            <v>15135620.98</v>
          </cell>
          <cell r="AZ105">
            <v>14136967.560000001</v>
          </cell>
          <cell r="BA105">
            <v>12148234.609999999</v>
          </cell>
          <cell r="BB105">
            <v>8741615.2899999991</v>
          </cell>
          <cell r="BC105">
            <v>6062603.7000000011</v>
          </cell>
          <cell r="BD105">
            <v>3057295.288989333</v>
          </cell>
          <cell r="BE105">
            <v>191432445.38999999</v>
          </cell>
          <cell r="BF105">
            <v>189570065.72999999</v>
          </cell>
          <cell r="BG105">
            <v>186981714.37</v>
          </cell>
          <cell r="BH105">
            <v>184387618.74000001</v>
          </cell>
          <cell r="BI105">
            <v>181196820.96000001</v>
          </cell>
          <cell r="BJ105">
            <v>178147850.33338109</v>
          </cell>
          <cell r="BK105">
            <v>175200265.21338111</v>
          </cell>
          <cell r="BL105">
            <v>172310539.90338108</v>
          </cell>
          <cell r="BM105">
            <v>170920256.54000005</v>
          </cell>
          <cell r="BN105">
            <v>168051110.61000001</v>
          </cell>
          <cell r="BO105">
            <v>164444126.59</v>
          </cell>
          <cell r="BP105">
            <v>160613109.21000001</v>
          </cell>
          <cell r="BQ105">
            <v>157080495.45000002</v>
          </cell>
          <cell r="BR105">
            <v>153373687</v>
          </cell>
          <cell r="BS105">
            <v>149390537.09999999</v>
          </cell>
          <cell r="BT105">
            <v>145527018.05999997</v>
          </cell>
          <cell r="BU105">
            <v>141889817.00999999</v>
          </cell>
          <cell r="BV105">
            <v>138336595.27000001</v>
          </cell>
          <cell r="BW105">
            <v>135420052.70999998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O106">
            <v>62073823.259999998</v>
          </cell>
          <cell r="P106">
            <v>61372734.850000001</v>
          </cell>
          <cell r="Q106">
            <v>60626132.829999998</v>
          </cell>
          <cell r="R106">
            <v>59853648.840000004</v>
          </cell>
          <cell r="S106">
            <v>59147758.189999998</v>
          </cell>
          <cell r="T106">
            <v>58368019.57</v>
          </cell>
          <cell r="U106">
            <v>57580118.409999996</v>
          </cell>
          <cell r="V106">
            <v>56743190.509999998</v>
          </cell>
          <cell r="W106">
            <v>55872630.289999999</v>
          </cell>
          <cell r="X106">
            <v>54934557.329999998</v>
          </cell>
          <cell r="Y106">
            <v>53865260.640000001</v>
          </cell>
          <cell r="Z106">
            <v>53248195.270000003</v>
          </cell>
          <cell r="AA106">
            <v>42001137.340000004</v>
          </cell>
          <cell r="AB106">
            <v>41130870.189999998</v>
          </cell>
          <cell r="AC106">
            <v>40218734.420000002</v>
          </cell>
          <cell r="AD106">
            <v>39320454.119999997</v>
          </cell>
          <cell r="AE106">
            <v>38401168.439999998</v>
          </cell>
          <cell r="AF106">
            <v>37473412.43</v>
          </cell>
          <cell r="AG106">
            <v>36512191.789999999</v>
          </cell>
          <cell r="AH106">
            <v>35503597.030000001</v>
          </cell>
          <cell r="AI106">
            <v>34471635.32</v>
          </cell>
          <cell r="AJ106">
            <v>33376136.420000002</v>
          </cell>
          <cell r="AK106">
            <v>32893555.600000001</v>
          </cell>
          <cell r="AL106">
            <v>32324118.359999999</v>
          </cell>
          <cell r="AM106">
            <v>22660916.350000001</v>
          </cell>
          <cell r="AN106">
            <v>21893848.199999999</v>
          </cell>
          <cell r="AO106">
            <v>21099791.100000001</v>
          </cell>
          <cell r="AP106">
            <v>20443078.609999999</v>
          </cell>
          <cell r="AQ106">
            <v>19758918.640000001</v>
          </cell>
          <cell r="AR106">
            <v>19127420.98</v>
          </cell>
          <cell r="AS106">
            <v>18505405.649999999</v>
          </cell>
          <cell r="AT106">
            <v>17925082.850000001</v>
          </cell>
          <cell r="AU106">
            <v>17337093.07</v>
          </cell>
          <cell r="AV106">
            <v>16746434.619999999</v>
          </cell>
          <cell r="AW106">
            <v>16170603.630000001</v>
          </cell>
          <cell r="AX106">
            <v>15667434.220000001</v>
          </cell>
          <cell r="AY106">
            <v>8468905.3499999996</v>
          </cell>
          <cell r="AZ106">
            <v>7357786.0700000003</v>
          </cell>
          <cell r="BA106">
            <v>6001949.7800000003</v>
          </cell>
          <cell r="BB106">
            <v>4465378.57</v>
          </cell>
          <cell r="BC106">
            <v>3039966.33</v>
          </cell>
          <cell r="BD106">
            <v>1528647.64</v>
          </cell>
          <cell r="BE106">
            <v>183845254.38999999</v>
          </cell>
          <cell r="BF106">
            <v>182580722.56</v>
          </cell>
          <cell r="BG106">
            <v>181182853.91999999</v>
          </cell>
          <cell r="BH106">
            <v>179733138.81</v>
          </cell>
          <cell r="BI106">
            <v>178181645.5</v>
          </cell>
          <cell r="BJ106">
            <v>176674057.77000001</v>
          </cell>
          <cell r="BK106">
            <v>156350585.44</v>
          </cell>
          <cell r="BL106">
            <v>154779778.78999999</v>
          </cell>
          <cell r="BM106">
            <v>153186073.22999999</v>
          </cell>
          <cell r="BN106">
            <v>151412654.90000001</v>
          </cell>
          <cell r="BO106">
            <v>149563937.59999999</v>
          </cell>
          <cell r="BP106">
            <v>147703913.97999999</v>
          </cell>
          <cell r="BQ106">
            <v>145859743.22999999</v>
          </cell>
          <cell r="BR106">
            <v>143989617.86000001</v>
          </cell>
          <cell r="BS106">
            <v>142112804.03</v>
          </cell>
          <cell r="BT106">
            <v>140293370.75999999</v>
          </cell>
          <cell r="BU106">
            <v>138548821.66</v>
          </cell>
          <cell r="BV106">
            <v>136878323.99000001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O107">
            <v>62073823.259999998</v>
          </cell>
          <cell r="P107">
            <v>62073823.259999998</v>
          </cell>
          <cell r="Q107">
            <v>62073823.259999998</v>
          </cell>
          <cell r="R107">
            <v>62073823.259999998</v>
          </cell>
          <cell r="S107">
            <v>62073823.259999998</v>
          </cell>
          <cell r="T107">
            <v>62073823.259999998</v>
          </cell>
          <cell r="U107">
            <v>62073823.259999998</v>
          </cell>
          <cell r="V107">
            <v>62073823.259999998</v>
          </cell>
          <cell r="W107">
            <v>62073823.259999998</v>
          </cell>
          <cell r="X107">
            <v>62073823.259999998</v>
          </cell>
          <cell r="Y107">
            <v>62073823.259999998</v>
          </cell>
          <cell r="Z107">
            <v>62073823.259999998</v>
          </cell>
          <cell r="AA107">
            <v>42001137.340000004</v>
          </cell>
          <cell r="AB107">
            <v>42001137.340000004</v>
          </cell>
          <cell r="AC107">
            <v>42001137.340000004</v>
          </cell>
          <cell r="AD107">
            <v>42001137.340000004</v>
          </cell>
          <cell r="AE107">
            <v>42001137.340000004</v>
          </cell>
          <cell r="AF107">
            <v>42001137.340000004</v>
          </cell>
          <cell r="AG107">
            <v>42001137.340000004</v>
          </cell>
          <cell r="AH107">
            <v>42001137.340000004</v>
          </cell>
          <cell r="AI107">
            <v>42001137.340000004</v>
          </cell>
          <cell r="AJ107">
            <v>42001137.340000004</v>
          </cell>
          <cell r="AK107">
            <v>42001137.340000004</v>
          </cell>
          <cell r="AL107">
            <v>42001137.340000004</v>
          </cell>
          <cell r="AM107">
            <v>22660916.350000001</v>
          </cell>
          <cell r="AN107">
            <v>22660916.350000001</v>
          </cell>
          <cell r="AO107">
            <v>22660916.350000001</v>
          </cell>
          <cell r="AP107">
            <v>22660916.350000001</v>
          </cell>
          <cell r="AQ107">
            <v>22660916.350000001</v>
          </cell>
          <cell r="AR107">
            <v>22660916.350000001</v>
          </cell>
          <cell r="AS107">
            <v>22660916.350000001</v>
          </cell>
          <cell r="AT107">
            <v>22660916.350000001</v>
          </cell>
          <cell r="AU107">
            <v>22660916.350000001</v>
          </cell>
          <cell r="AV107">
            <v>22660916.350000001</v>
          </cell>
          <cell r="AW107">
            <v>22660916.350000001</v>
          </cell>
          <cell r="AX107">
            <v>22660916.350000001</v>
          </cell>
          <cell r="AY107">
            <v>8468905.3499999996</v>
          </cell>
          <cell r="AZ107">
            <v>8468905.3499999996</v>
          </cell>
          <cell r="BA107">
            <v>8468905.3499999996</v>
          </cell>
          <cell r="BB107">
            <v>8468905.3499999996</v>
          </cell>
          <cell r="BC107">
            <v>8468905.3499999996</v>
          </cell>
          <cell r="BD107">
            <v>8468905.3499999996</v>
          </cell>
          <cell r="BE107">
            <v>183845254.38999999</v>
          </cell>
          <cell r="BF107">
            <v>183845254.38999999</v>
          </cell>
          <cell r="BG107">
            <v>183845254.38999999</v>
          </cell>
          <cell r="BH107">
            <v>183845254.38999999</v>
          </cell>
          <cell r="BI107">
            <v>183845254.38999999</v>
          </cell>
          <cell r="BJ107">
            <v>183845254.38999999</v>
          </cell>
          <cell r="BK107">
            <v>156350585.44</v>
          </cell>
          <cell r="BL107">
            <v>156350585.44</v>
          </cell>
          <cell r="BM107">
            <v>156350585.44</v>
          </cell>
          <cell r="BN107">
            <v>156350585.44</v>
          </cell>
          <cell r="BO107">
            <v>156350585.44</v>
          </cell>
          <cell r="BP107">
            <v>156350585.44</v>
          </cell>
          <cell r="BQ107">
            <v>156350585.44</v>
          </cell>
          <cell r="BR107">
            <v>156350585.44</v>
          </cell>
          <cell r="BS107">
            <v>156350585.44</v>
          </cell>
          <cell r="BT107">
            <v>156350585.44</v>
          </cell>
          <cell r="BU107">
            <v>156350585.44</v>
          </cell>
          <cell r="BV107">
            <v>156350585.44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O108">
            <v>5172818.6100000003</v>
          </cell>
          <cell r="P108">
            <v>5172818.6100000003</v>
          </cell>
          <cell r="Q108">
            <v>5172818.6100000003</v>
          </cell>
          <cell r="R108">
            <v>5172818.6100000003</v>
          </cell>
          <cell r="S108">
            <v>5172818.6100000003</v>
          </cell>
          <cell r="T108">
            <v>5172818.6100000003</v>
          </cell>
          <cell r="U108">
            <v>5172818.6100000003</v>
          </cell>
          <cell r="V108">
            <v>5172818.6100000003</v>
          </cell>
          <cell r="W108">
            <v>5172818.6100000003</v>
          </cell>
          <cell r="X108">
            <v>5172818.6100000003</v>
          </cell>
          <cell r="Y108">
            <v>5172818.6100000003</v>
          </cell>
          <cell r="Z108">
            <v>5172818.6100000003</v>
          </cell>
          <cell r="AA108">
            <v>3500094.78</v>
          </cell>
          <cell r="AB108">
            <v>3500094.78</v>
          </cell>
          <cell r="AC108">
            <v>3500094.78</v>
          </cell>
          <cell r="AD108">
            <v>3500094.78</v>
          </cell>
          <cell r="AE108">
            <v>3500094.78</v>
          </cell>
          <cell r="AF108">
            <v>3500094.78</v>
          </cell>
          <cell r="AG108">
            <v>3500094.78</v>
          </cell>
          <cell r="AH108">
            <v>3500094.78</v>
          </cell>
          <cell r="AI108">
            <v>3500094.78</v>
          </cell>
          <cell r="AJ108">
            <v>3500094.78</v>
          </cell>
          <cell r="AK108">
            <v>3500094.78</v>
          </cell>
          <cell r="AL108">
            <v>3500094.78</v>
          </cell>
          <cell r="AM108">
            <v>1888409.7</v>
          </cell>
          <cell r="AN108">
            <v>1888409.7</v>
          </cell>
          <cell r="AO108">
            <v>1888409.7</v>
          </cell>
          <cell r="AP108">
            <v>1888409.7</v>
          </cell>
          <cell r="AQ108">
            <v>1888409.7</v>
          </cell>
          <cell r="AR108">
            <v>1888409.7</v>
          </cell>
          <cell r="AS108">
            <v>1888409.7</v>
          </cell>
          <cell r="AT108">
            <v>1888409.7</v>
          </cell>
          <cell r="AU108">
            <v>1888409.7</v>
          </cell>
          <cell r="AV108">
            <v>1888409.7</v>
          </cell>
          <cell r="AW108">
            <v>1888409.7</v>
          </cell>
          <cell r="AX108">
            <v>1888409.7</v>
          </cell>
          <cell r="AY108">
            <v>705742.11</v>
          </cell>
          <cell r="AZ108">
            <v>705742.11</v>
          </cell>
          <cell r="BA108">
            <v>705742.11</v>
          </cell>
          <cell r="BB108">
            <v>705742.11</v>
          </cell>
          <cell r="BC108">
            <v>705742.11</v>
          </cell>
          <cell r="BD108">
            <v>705742.11</v>
          </cell>
          <cell r="BE108">
            <v>15320437.869999999</v>
          </cell>
          <cell r="BF108">
            <v>15320437.869999999</v>
          </cell>
          <cell r="BG108">
            <v>15320437.869999999</v>
          </cell>
          <cell r="BH108">
            <v>15320437.869999999</v>
          </cell>
          <cell r="BI108">
            <v>15320437.869999999</v>
          </cell>
          <cell r="BJ108">
            <v>15320437.869999999</v>
          </cell>
          <cell r="BK108">
            <v>13029215.449999999</v>
          </cell>
          <cell r="BL108">
            <v>13029215.449999999</v>
          </cell>
          <cell r="BM108">
            <v>13029215.449999999</v>
          </cell>
          <cell r="BN108">
            <v>13029215.449999999</v>
          </cell>
          <cell r="BO108">
            <v>13029215.449999999</v>
          </cell>
          <cell r="BP108">
            <v>13029215.449999999</v>
          </cell>
          <cell r="BQ108">
            <v>13029215.449999999</v>
          </cell>
          <cell r="BR108">
            <v>13029215.449999999</v>
          </cell>
          <cell r="BS108">
            <v>13029215.449999999</v>
          </cell>
          <cell r="BT108">
            <v>13029215.449999999</v>
          </cell>
          <cell r="BU108">
            <v>13029215.449999999</v>
          </cell>
          <cell r="BV108">
            <v>13029215.449999999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O109">
            <v>8.9200000000000002E-2</v>
          </cell>
          <cell r="P109">
            <v>8.9200000000000002E-2</v>
          </cell>
          <cell r="Q109">
            <v>8.9200000000000002E-2</v>
          </cell>
          <cell r="R109">
            <v>8.9200000000000002E-2</v>
          </cell>
          <cell r="S109">
            <v>8.9200000000000002E-2</v>
          </cell>
          <cell r="T109">
            <v>8.9200000000000002E-2</v>
          </cell>
          <cell r="U109">
            <v>8.9200000000000002E-2</v>
          </cell>
          <cell r="V109">
            <v>8.9200000000000002E-2</v>
          </cell>
          <cell r="W109">
            <v>8.9200000000000002E-2</v>
          </cell>
          <cell r="X109">
            <v>8.9200000000000002E-2</v>
          </cell>
          <cell r="Y109">
            <v>8.9200000000000002E-2</v>
          </cell>
          <cell r="Z109">
            <v>8.9200000000000002E-2</v>
          </cell>
          <cell r="AA109">
            <v>8.9200000000000002E-2</v>
          </cell>
          <cell r="AB109">
            <v>8.9200000000000002E-2</v>
          </cell>
          <cell r="AC109">
            <v>8.9200000000000002E-2</v>
          </cell>
          <cell r="AD109">
            <v>8.9200000000000002E-2</v>
          </cell>
          <cell r="AE109">
            <v>8.9200000000000002E-2</v>
          </cell>
          <cell r="AF109">
            <v>8.9200000000000002E-2</v>
          </cell>
          <cell r="AG109">
            <v>8.9200000000000002E-2</v>
          </cell>
          <cell r="AH109">
            <v>8.9200000000000002E-2</v>
          </cell>
          <cell r="AI109">
            <v>8.6800000000000002E-2</v>
          </cell>
          <cell r="AJ109">
            <v>8.6800000000000002E-2</v>
          </cell>
          <cell r="AK109">
            <v>8.6800000000000002E-2</v>
          </cell>
          <cell r="AL109">
            <v>8.6800000000000002E-2</v>
          </cell>
          <cell r="AM109">
            <v>8.6800000000000002E-2</v>
          </cell>
          <cell r="AN109">
            <v>8.6800000000000002E-2</v>
          </cell>
          <cell r="AO109">
            <v>8.6800000000000002E-2</v>
          </cell>
          <cell r="AP109">
            <v>8.6800000000000002E-2</v>
          </cell>
          <cell r="AQ109">
            <v>8.6800000000000002E-2</v>
          </cell>
          <cell r="AR109">
            <v>8.6800000000000002E-2</v>
          </cell>
          <cell r="AS109">
            <v>8.6800000000000002E-2</v>
          </cell>
          <cell r="AT109">
            <v>8.6800000000000002E-2</v>
          </cell>
          <cell r="AU109">
            <v>8.6800000000000002E-2</v>
          </cell>
          <cell r="AV109">
            <v>8.6800000000000002E-2</v>
          </cell>
          <cell r="AW109">
            <v>8.6800000000000002E-2</v>
          </cell>
          <cell r="AX109">
            <v>8.6800000000000002E-2</v>
          </cell>
          <cell r="AY109">
            <v>0.10249999999999999</v>
          </cell>
          <cell r="AZ109">
            <v>0.10249999999999999</v>
          </cell>
          <cell r="BA109">
            <v>0.10249999999999999</v>
          </cell>
          <cell r="BB109">
            <v>0.10249999999999999</v>
          </cell>
          <cell r="BC109">
            <v>0.10249999999999999</v>
          </cell>
          <cell r="BD109">
            <v>0.10249999999999999</v>
          </cell>
          <cell r="BE109">
            <v>0.10440000000000001</v>
          </cell>
          <cell r="BF109">
            <v>0.10440000000000001</v>
          </cell>
          <cell r="BG109">
            <v>0.10440000000000001</v>
          </cell>
          <cell r="BH109">
            <v>0.10440000000000001</v>
          </cell>
          <cell r="BI109">
            <v>0.10440000000000001</v>
          </cell>
          <cell r="BJ109">
            <v>0.10440000000000001</v>
          </cell>
          <cell r="BK109">
            <v>0.10440000000000001</v>
          </cell>
          <cell r="BL109">
            <v>0.10440000000000001</v>
          </cell>
          <cell r="BM109">
            <v>0.10440000000000001</v>
          </cell>
          <cell r="BN109">
            <v>0.10440000000000001</v>
          </cell>
          <cell r="BO109">
            <v>0.10440000000000001</v>
          </cell>
          <cell r="BP109">
            <v>0.10440000000000001</v>
          </cell>
          <cell r="BQ109">
            <v>0.10440000000000001</v>
          </cell>
          <cell r="BR109">
            <v>0.10440000000000001</v>
          </cell>
          <cell r="BS109">
            <v>0.10440000000000001</v>
          </cell>
          <cell r="BT109">
            <v>0.10440000000000001</v>
          </cell>
          <cell r="BU109">
            <v>0.10440000000000001</v>
          </cell>
          <cell r="BV109">
            <v>0.10440000000000001</v>
          </cell>
          <cell r="BW109">
            <v>0.10440000000000001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O110">
            <v>461415.42</v>
          </cell>
          <cell r="P110">
            <v>461415.42</v>
          </cell>
          <cell r="Q110">
            <v>461415.42</v>
          </cell>
          <cell r="R110">
            <v>461415.42</v>
          </cell>
          <cell r="S110">
            <v>461415.42</v>
          </cell>
          <cell r="T110">
            <v>461415.42</v>
          </cell>
          <cell r="U110">
            <v>461415.42</v>
          </cell>
          <cell r="V110">
            <v>461415.42</v>
          </cell>
          <cell r="W110">
            <v>461415.42</v>
          </cell>
          <cell r="X110">
            <v>461415.42</v>
          </cell>
          <cell r="Y110">
            <v>461415.42</v>
          </cell>
          <cell r="Z110">
            <v>461415.42</v>
          </cell>
          <cell r="AA110">
            <v>312208.45</v>
          </cell>
          <cell r="AB110">
            <v>312208.45</v>
          </cell>
          <cell r="AC110">
            <v>312208.45</v>
          </cell>
          <cell r="AD110">
            <v>312208.45</v>
          </cell>
          <cell r="AE110">
            <v>312208.45</v>
          </cell>
          <cell r="AF110">
            <v>312208.45</v>
          </cell>
          <cell r="AG110">
            <v>312208.45</v>
          </cell>
          <cell r="AH110">
            <v>312208.45</v>
          </cell>
          <cell r="AI110">
            <v>303808.23</v>
          </cell>
          <cell r="AJ110">
            <v>303808.23</v>
          </cell>
          <cell r="AK110">
            <v>303808.23</v>
          </cell>
          <cell r="AL110">
            <v>303808.23</v>
          </cell>
          <cell r="AM110">
            <v>163913.96</v>
          </cell>
          <cell r="AN110">
            <v>163913.96</v>
          </cell>
          <cell r="AO110">
            <v>163913.96</v>
          </cell>
          <cell r="AP110">
            <v>163913.96</v>
          </cell>
          <cell r="AQ110">
            <v>163913.96</v>
          </cell>
          <cell r="AR110">
            <v>163913.96</v>
          </cell>
          <cell r="AS110">
            <v>163913.96</v>
          </cell>
          <cell r="AT110">
            <v>163913.96</v>
          </cell>
          <cell r="AU110">
            <v>163913.96</v>
          </cell>
          <cell r="AV110">
            <v>163913.96</v>
          </cell>
          <cell r="AW110">
            <v>163913.96</v>
          </cell>
          <cell r="AX110">
            <v>163913.96</v>
          </cell>
          <cell r="AY110">
            <v>72338.570000000007</v>
          </cell>
          <cell r="AZ110">
            <v>72338.570000000007</v>
          </cell>
          <cell r="BA110">
            <v>72338.570000000007</v>
          </cell>
          <cell r="BB110">
            <v>72338.570000000007</v>
          </cell>
          <cell r="BC110">
            <v>72338.570000000007</v>
          </cell>
          <cell r="BD110">
            <v>72338.570000000007</v>
          </cell>
          <cell r="BE110">
            <v>1599453.71</v>
          </cell>
          <cell r="BF110">
            <v>1599453.71</v>
          </cell>
          <cell r="BG110">
            <v>1599453.71</v>
          </cell>
          <cell r="BH110">
            <v>1599453.71</v>
          </cell>
          <cell r="BI110">
            <v>1599453.71</v>
          </cell>
          <cell r="BJ110">
            <v>1599453.71</v>
          </cell>
          <cell r="BK110">
            <v>1360250.09</v>
          </cell>
          <cell r="BL110">
            <v>1360250.09</v>
          </cell>
          <cell r="BM110">
            <v>1360250.09</v>
          </cell>
          <cell r="BN110">
            <v>1360250.09</v>
          </cell>
          <cell r="BO110">
            <v>1360250.09</v>
          </cell>
          <cell r="BP110">
            <v>1360250.09</v>
          </cell>
          <cell r="BQ110">
            <v>1360250.09</v>
          </cell>
          <cell r="BR110">
            <v>1360250.09</v>
          </cell>
          <cell r="BS110">
            <v>1360250.09</v>
          </cell>
          <cell r="BT110">
            <v>1360250.09</v>
          </cell>
          <cell r="BU110">
            <v>1360250.09</v>
          </cell>
          <cell r="BV110">
            <v>1360250.09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O111">
            <v>352269.2</v>
          </cell>
          <cell r="P111">
            <v>357301.6</v>
          </cell>
          <cell r="Q111">
            <v>374880.47</v>
          </cell>
          <cell r="R111">
            <v>386284.07999999996</v>
          </cell>
          <cell r="S111">
            <v>340710.86</v>
          </cell>
          <cell r="T111">
            <v>362095.72</v>
          </cell>
          <cell r="U111">
            <v>313414.02</v>
          </cell>
          <cell r="V111">
            <v>426701.26</v>
          </cell>
          <cell r="W111">
            <v>312167.90000000002</v>
          </cell>
          <cell r="X111">
            <v>294958.32</v>
          </cell>
          <cell r="Y111">
            <v>322800.14</v>
          </cell>
          <cell r="Z111">
            <v>402209.03</v>
          </cell>
          <cell r="AA111">
            <v>270648.47000000003</v>
          </cell>
          <cell r="AB111">
            <v>247776.45</v>
          </cell>
          <cell r="AC111">
            <v>238410.97999999998</v>
          </cell>
          <cell r="AD111">
            <v>258924.90000000002</v>
          </cell>
          <cell r="AE111">
            <v>235421.65</v>
          </cell>
          <cell r="AF111">
            <v>225447.74</v>
          </cell>
          <cell r="AG111">
            <v>289599.15000000002</v>
          </cell>
          <cell r="AH111">
            <v>300736.01</v>
          </cell>
          <cell r="AI111">
            <v>161818.43</v>
          </cell>
          <cell r="AJ111">
            <v>138331.45000000001</v>
          </cell>
          <cell r="AK111">
            <v>127113.27</v>
          </cell>
          <cell r="AL111">
            <v>139726.22999999998</v>
          </cell>
          <cell r="AM111">
            <v>281315.74</v>
          </cell>
          <cell r="AN111">
            <v>146953.51</v>
          </cell>
          <cell r="AO111">
            <v>211816.66</v>
          </cell>
          <cell r="AP111">
            <v>150906.31</v>
          </cell>
          <cell r="AQ111">
            <v>184849.74999999997</v>
          </cell>
          <cell r="AR111">
            <v>151156.39999999997</v>
          </cell>
          <cell r="AS111">
            <v>136307.31</v>
          </cell>
          <cell r="AT111">
            <v>148697.81</v>
          </cell>
          <cell r="AU111">
            <v>-35330.379999999997</v>
          </cell>
          <cell r="AV111">
            <v>54379.540000000008</v>
          </cell>
          <cell r="AW111">
            <v>32685.009999999987</v>
          </cell>
          <cell r="AX111">
            <v>179447.8</v>
          </cell>
          <cell r="AY111">
            <v>127546.91</v>
          </cell>
          <cell r="AZ111">
            <v>112220.68000000002</v>
          </cell>
          <cell r="BA111">
            <v>133721.60000000001</v>
          </cell>
          <cell r="BB111">
            <v>83139.31</v>
          </cell>
          <cell r="BC111">
            <v>123415.01999999999</v>
          </cell>
          <cell r="BD111">
            <v>65547</v>
          </cell>
          <cell r="BE111">
            <v>911855.65000000014</v>
          </cell>
          <cell r="BF111">
            <v>881932.44000000006</v>
          </cell>
          <cell r="BG111">
            <v>745745.95000000007</v>
          </cell>
          <cell r="BH111">
            <v>851656.4800000001</v>
          </cell>
          <cell r="BI111">
            <v>836918.79999999993</v>
          </cell>
          <cell r="BJ111">
            <v>891911.28</v>
          </cell>
          <cell r="BK111">
            <v>983323.09000000008</v>
          </cell>
          <cell r="BL111">
            <v>892763.43</v>
          </cell>
          <cell r="BM111">
            <v>850011.48</v>
          </cell>
          <cell r="BN111">
            <v>834691.86</v>
          </cell>
          <cell r="BO111">
            <v>814929.01</v>
          </cell>
          <cell r="BP111">
            <v>739605.89</v>
          </cell>
          <cell r="BQ111">
            <v>754030.95</v>
          </cell>
          <cell r="BR111">
            <v>791979.6</v>
          </cell>
          <cell r="BS111">
            <v>543105.98</v>
          </cell>
          <cell r="BT111">
            <v>665090.77</v>
          </cell>
          <cell r="BU111">
            <v>608338.52</v>
          </cell>
          <cell r="BV111">
            <v>842433.26</v>
          </cell>
          <cell r="BW111">
            <v>808066.46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O112">
            <v>813684.62</v>
          </cell>
          <cell r="P112">
            <v>818717.02</v>
          </cell>
          <cell r="Q112">
            <v>836295.8899999999</v>
          </cell>
          <cell r="R112">
            <v>847699.5</v>
          </cell>
          <cell r="S112">
            <v>802126.28</v>
          </cell>
          <cell r="T112">
            <v>823511.1399999999</v>
          </cell>
          <cell r="U112">
            <v>774829.44</v>
          </cell>
          <cell r="V112">
            <v>888116.67999999993</v>
          </cell>
          <cell r="W112">
            <v>773583.32000000007</v>
          </cell>
          <cell r="X112">
            <v>756373.74</v>
          </cell>
          <cell r="Y112">
            <v>784215.56</v>
          </cell>
          <cell r="Z112">
            <v>863624.45</v>
          </cell>
          <cell r="AA112">
            <v>582856.92000000004</v>
          </cell>
          <cell r="AB112">
            <v>559984.9</v>
          </cell>
          <cell r="AC112">
            <v>550619.42999999993</v>
          </cell>
          <cell r="AD112">
            <v>571133.35000000009</v>
          </cell>
          <cell r="AE112">
            <v>547630.1</v>
          </cell>
          <cell r="AF112">
            <v>537656.18999999994</v>
          </cell>
          <cell r="AG112">
            <v>601807.60000000009</v>
          </cell>
          <cell r="AH112">
            <v>612944.46</v>
          </cell>
          <cell r="AI112">
            <v>465626.66</v>
          </cell>
          <cell r="AJ112">
            <v>442139.68</v>
          </cell>
          <cell r="AK112">
            <v>430921.5</v>
          </cell>
          <cell r="AL112">
            <v>443534.45999999996</v>
          </cell>
          <cell r="AM112">
            <v>445229.69999999995</v>
          </cell>
          <cell r="AN112">
            <v>310867.46999999997</v>
          </cell>
          <cell r="AO112">
            <v>375730.62</v>
          </cell>
          <cell r="AP112">
            <v>314820.27</v>
          </cell>
          <cell r="AQ112">
            <v>348763.70999999996</v>
          </cell>
          <cell r="AR112">
            <v>315070.36</v>
          </cell>
          <cell r="AS112">
            <v>300221.27</v>
          </cell>
          <cell r="AT112">
            <v>312611.77</v>
          </cell>
          <cell r="AU112">
            <v>128583.57999999999</v>
          </cell>
          <cell r="AV112">
            <v>218293.5</v>
          </cell>
          <cell r="AW112">
            <v>196598.96999999997</v>
          </cell>
          <cell r="AX112">
            <v>343361.76</v>
          </cell>
          <cell r="AY112">
            <v>199885.48</v>
          </cell>
          <cell r="AZ112">
            <v>184559.25000000003</v>
          </cell>
          <cell r="BA112">
            <v>206060.17</v>
          </cell>
          <cell r="BB112">
            <v>155477.88</v>
          </cell>
          <cell r="BC112">
            <v>195753.59</v>
          </cell>
          <cell r="BD112">
            <v>137885.57</v>
          </cell>
          <cell r="BE112">
            <v>2511309.3600000003</v>
          </cell>
          <cell r="BF112">
            <v>2481386.15</v>
          </cell>
          <cell r="BG112">
            <v>2345199.66</v>
          </cell>
          <cell r="BH112">
            <v>2451110.19</v>
          </cell>
          <cell r="BI112">
            <v>2436372.5099999998</v>
          </cell>
          <cell r="BJ112">
            <v>2491364.9900000002</v>
          </cell>
          <cell r="BK112">
            <v>2343573.1800000002</v>
          </cell>
          <cell r="BL112">
            <v>2253013.52</v>
          </cell>
          <cell r="BM112">
            <v>2210261.5700000003</v>
          </cell>
          <cell r="BN112">
            <v>2194941.9500000002</v>
          </cell>
          <cell r="BO112">
            <v>2175179.1</v>
          </cell>
          <cell r="BP112">
            <v>2099855.98</v>
          </cell>
          <cell r="BQ112">
            <v>2114281.04</v>
          </cell>
          <cell r="BR112">
            <v>2152229.69</v>
          </cell>
          <cell r="BS112">
            <v>1903356.07</v>
          </cell>
          <cell r="BT112">
            <v>2025340.86</v>
          </cell>
          <cell r="BU112">
            <v>1968588.61</v>
          </cell>
          <cell r="BV112">
            <v>2202683.35</v>
          </cell>
          <cell r="BW112">
            <v>808066.46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O113">
            <v>35617.050000000003</v>
          </cell>
          <cell r="P113">
            <v>35617.050000000003</v>
          </cell>
          <cell r="Q113">
            <v>35617.050000000003</v>
          </cell>
          <cell r="R113">
            <v>35617.050000000003</v>
          </cell>
          <cell r="S113">
            <v>35617.050000000003</v>
          </cell>
          <cell r="T113">
            <v>35617.050000000003</v>
          </cell>
          <cell r="U113">
            <v>35617.050000000003</v>
          </cell>
          <cell r="V113">
            <v>-17796.39</v>
          </cell>
          <cell r="W113">
            <v>-71209.78</v>
          </cell>
          <cell r="X113">
            <v>-71209.78</v>
          </cell>
          <cell r="Y113">
            <v>-71209.78</v>
          </cell>
          <cell r="Z113">
            <v>-71209.78</v>
          </cell>
          <cell r="AA113">
            <v>-71209.78</v>
          </cell>
          <cell r="AB113">
            <v>-71209.78</v>
          </cell>
          <cell r="AC113">
            <v>-71209.78</v>
          </cell>
          <cell r="AD113">
            <v>-71209.78</v>
          </cell>
          <cell r="AE113">
            <v>-71209.78</v>
          </cell>
          <cell r="AF113">
            <v>-71209.78</v>
          </cell>
          <cell r="AG113">
            <v>-71209.78</v>
          </cell>
          <cell r="AH113">
            <v>-125451.19</v>
          </cell>
          <cell r="AI113">
            <v>-179692.59</v>
          </cell>
          <cell r="AJ113">
            <v>-179692.59</v>
          </cell>
          <cell r="AK113">
            <v>-179692.59</v>
          </cell>
          <cell r="AL113">
            <v>-179692.59</v>
          </cell>
          <cell r="AM113">
            <v>-179692.59</v>
          </cell>
          <cell r="AN113">
            <v>-179692.59</v>
          </cell>
          <cell r="AO113">
            <v>-179692.59</v>
          </cell>
          <cell r="AP113">
            <v>-179692.59</v>
          </cell>
          <cell r="AQ113">
            <v>-179692.59</v>
          </cell>
          <cell r="AR113">
            <v>-179692.59</v>
          </cell>
          <cell r="AS113">
            <v>-179692.59</v>
          </cell>
          <cell r="AT113">
            <v>-59264.92</v>
          </cell>
          <cell r="AU113">
            <v>61162.67</v>
          </cell>
          <cell r="AV113">
            <v>61162.67</v>
          </cell>
          <cell r="AW113">
            <v>61162.67</v>
          </cell>
          <cell r="AX113">
            <v>61162.67</v>
          </cell>
          <cell r="AY113">
            <v>61162.67</v>
          </cell>
          <cell r="AZ113">
            <v>61162.67</v>
          </cell>
          <cell r="BA113">
            <v>61162.67</v>
          </cell>
          <cell r="BB113">
            <v>61162.67</v>
          </cell>
          <cell r="BC113">
            <v>61162.67</v>
          </cell>
          <cell r="BD113">
            <v>61162.67</v>
          </cell>
          <cell r="BE113">
            <v>61162.67</v>
          </cell>
          <cell r="BF113">
            <v>87067.72</v>
          </cell>
          <cell r="BG113">
            <v>112972.73</v>
          </cell>
          <cell r="BH113">
            <v>112972.73</v>
          </cell>
          <cell r="BI113">
            <v>112972.73</v>
          </cell>
          <cell r="BJ113">
            <v>112972.73</v>
          </cell>
          <cell r="BK113">
            <v>112972.73</v>
          </cell>
          <cell r="BL113">
            <v>112972.73</v>
          </cell>
          <cell r="BM113">
            <v>112972.73</v>
          </cell>
          <cell r="BN113">
            <v>112972.73</v>
          </cell>
          <cell r="BO113">
            <v>112972.73</v>
          </cell>
          <cell r="BP113">
            <v>112972.73</v>
          </cell>
          <cell r="BQ113">
            <v>112972.73</v>
          </cell>
          <cell r="BR113">
            <v>48840.01</v>
          </cell>
          <cell r="BS113">
            <v>-15292.73</v>
          </cell>
          <cell r="BT113">
            <v>-15292.73</v>
          </cell>
          <cell r="BU113">
            <v>-15292.73</v>
          </cell>
          <cell r="BV113">
            <v>-15292.73</v>
          </cell>
          <cell r="BW113">
            <v>-13354.54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O114">
            <v>849301.67</v>
          </cell>
          <cell r="P114">
            <v>854334.07000000007</v>
          </cell>
          <cell r="Q114">
            <v>871912.94</v>
          </cell>
          <cell r="R114">
            <v>883316.55</v>
          </cell>
          <cell r="S114">
            <v>837743.33000000007</v>
          </cell>
          <cell r="T114">
            <v>859128.19</v>
          </cell>
          <cell r="U114">
            <v>810446.49</v>
          </cell>
          <cell r="V114">
            <v>870320.28999999992</v>
          </cell>
          <cell r="W114">
            <v>702373.54</v>
          </cell>
          <cell r="X114">
            <v>685163.96</v>
          </cell>
          <cell r="Y114">
            <v>713005.78</v>
          </cell>
          <cell r="Z114">
            <v>792414.66999999993</v>
          </cell>
          <cell r="AA114">
            <v>511647.14</v>
          </cell>
          <cell r="AB114">
            <v>488775.12</v>
          </cell>
          <cell r="AC114">
            <v>479409.64999999991</v>
          </cell>
          <cell r="AD114">
            <v>499923.57000000007</v>
          </cell>
          <cell r="AE114">
            <v>476420.31999999995</v>
          </cell>
          <cell r="AF114">
            <v>466446.40999999992</v>
          </cell>
          <cell r="AG114">
            <v>530597.82000000007</v>
          </cell>
          <cell r="AH114">
            <v>487493.26999999996</v>
          </cell>
          <cell r="AI114">
            <v>285934.06999999995</v>
          </cell>
          <cell r="AJ114">
            <v>262447.08999999997</v>
          </cell>
          <cell r="AK114">
            <v>251228.91</v>
          </cell>
          <cell r="AL114">
            <v>263841.87</v>
          </cell>
          <cell r="AM114">
            <v>265537.11</v>
          </cell>
          <cell r="AN114">
            <v>131174.87999999998</v>
          </cell>
          <cell r="AO114">
            <v>196038.03</v>
          </cell>
          <cell r="AP114">
            <v>135127.68000000002</v>
          </cell>
          <cell r="AQ114">
            <v>169071.11999999997</v>
          </cell>
          <cell r="AR114">
            <v>135377.76999999999</v>
          </cell>
          <cell r="AS114">
            <v>120528.68000000002</v>
          </cell>
          <cell r="AT114">
            <v>253346.85000000003</v>
          </cell>
          <cell r="AU114">
            <v>189746.25</v>
          </cell>
          <cell r="AV114">
            <v>279456.17</v>
          </cell>
          <cell r="AW114">
            <v>257761.63999999996</v>
          </cell>
          <cell r="AX114">
            <v>404524.43</v>
          </cell>
          <cell r="AY114">
            <v>261048.15000000002</v>
          </cell>
          <cell r="AZ114">
            <v>245721.92000000004</v>
          </cell>
          <cell r="BA114">
            <v>267222.84000000003</v>
          </cell>
          <cell r="BB114">
            <v>216640.55</v>
          </cell>
          <cell r="BC114">
            <v>256916.26</v>
          </cell>
          <cell r="BD114">
            <v>199048.24</v>
          </cell>
          <cell r="BE114">
            <v>2572472.0300000003</v>
          </cell>
          <cell r="BF114">
            <v>2568453.87</v>
          </cell>
          <cell r="BG114">
            <v>2458172.39</v>
          </cell>
          <cell r="BH114">
            <v>2564082.92</v>
          </cell>
          <cell r="BI114">
            <v>2549345.2399999998</v>
          </cell>
          <cell r="BJ114">
            <v>2604337.7200000002</v>
          </cell>
          <cell r="BK114">
            <v>2456545.91</v>
          </cell>
          <cell r="BL114">
            <v>2365986.25</v>
          </cell>
          <cell r="BM114">
            <v>2323234.3000000003</v>
          </cell>
          <cell r="BN114">
            <v>2307914.6800000002</v>
          </cell>
          <cell r="BO114">
            <v>2288151.83</v>
          </cell>
          <cell r="BP114">
            <v>2212828.71</v>
          </cell>
          <cell r="BQ114">
            <v>2227253.77</v>
          </cell>
          <cell r="BR114">
            <v>2201069.6999999997</v>
          </cell>
          <cell r="BS114">
            <v>1888063.34</v>
          </cell>
          <cell r="BT114">
            <v>2010048.1300000001</v>
          </cell>
          <cell r="BU114">
            <v>1953295.8800000001</v>
          </cell>
          <cell r="BV114">
            <v>2187390.62</v>
          </cell>
          <cell r="BW114">
            <v>794711.91999999993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9">
          <cell r="O119">
            <v>813684.62</v>
          </cell>
          <cell r="P119">
            <v>818717.02</v>
          </cell>
          <cell r="Q119">
            <v>836295.8899999999</v>
          </cell>
          <cell r="R119">
            <v>847699.5</v>
          </cell>
          <cell r="S119">
            <v>802126.28</v>
          </cell>
          <cell r="T119">
            <v>823511.1399999999</v>
          </cell>
          <cell r="U119">
            <v>774829.44</v>
          </cell>
          <cell r="V119">
            <v>888116.67999999993</v>
          </cell>
          <cell r="W119">
            <v>773583.32000000007</v>
          </cell>
          <cell r="X119">
            <v>756373.74</v>
          </cell>
          <cell r="Y119">
            <v>784215.56</v>
          </cell>
          <cell r="Z119">
            <v>863624.45</v>
          </cell>
          <cell r="AA119">
            <v>582856.92000000004</v>
          </cell>
          <cell r="AB119">
            <v>559984.9</v>
          </cell>
          <cell r="AC119">
            <v>550619.42999999993</v>
          </cell>
          <cell r="AD119">
            <v>571133.35000000009</v>
          </cell>
          <cell r="AE119">
            <v>547630.1</v>
          </cell>
          <cell r="AF119">
            <v>537656.18999999994</v>
          </cell>
          <cell r="AG119">
            <v>601807.60000000009</v>
          </cell>
          <cell r="AH119">
            <v>612944.46</v>
          </cell>
          <cell r="AI119">
            <v>465626.66</v>
          </cell>
          <cell r="AJ119">
            <v>442139.68</v>
          </cell>
          <cell r="AK119">
            <v>430921.5</v>
          </cell>
          <cell r="AL119">
            <v>443534.45999999996</v>
          </cell>
          <cell r="AM119">
            <v>445229.69999999995</v>
          </cell>
          <cell r="AN119">
            <v>310867.46999999997</v>
          </cell>
          <cell r="AO119">
            <v>375730.62</v>
          </cell>
          <cell r="AP119">
            <v>314820.27</v>
          </cell>
          <cell r="AQ119">
            <v>348763.70999999996</v>
          </cell>
          <cell r="AR119">
            <v>315070.36</v>
          </cell>
          <cell r="AS119">
            <v>300221.27</v>
          </cell>
          <cell r="AT119">
            <v>312611.77</v>
          </cell>
          <cell r="AU119">
            <v>128583.57999999999</v>
          </cell>
          <cell r="AV119">
            <v>218293.5</v>
          </cell>
          <cell r="AW119">
            <v>196598.96999999997</v>
          </cell>
          <cell r="AX119">
            <v>343361.76</v>
          </cell>
          <cell r="AY119">
            <v>199885.48</v>
          </cell>
          <cell r="AZ119">
            <v>184559.25000000003</v>
          </cell>
          <cell r="BA119">
            <v>206060.17</v>
          </cell>
          <cell r="BB119">
            <v>155477.88</v>
          </cell>
          <cell r="BC119">
            <v>195753.59</v>
          </cell>
          <cell r="BD119">
            <v>137885.57</v>
          </cell>
          <cell r="BE119">
            <v>2511309.3600000003</v>
          </cell>
          <cell r="BF119">
            <v>2481386.15</v>
          </cell>
          <cell r="BG119">
            <v>2345199.66</v>
          </cell>
          <cell r="BH119">
            <v>2451110.19</v>
          </cell>
          <cell r="BI119">
            <v>2436372.5099999998</v>
          </cell>
          <cell r="BJ119">
            <v>2491364.9900000002</v>
          </cell>
          <cell r="BK119">
            <v>2343573.1800000002</v>
          </cell>
          <cell r="BL119">
            <v>2253013.52</v>
          </cell>
          <cell r="BM119">
            <v>2210261.5700000003</v>
          </cell>
          <cell r="BN119">
            <v>2194941.9500000002</v>
          </cell>
          <cell r="BO119">
            <v>2175179.1</v>
          </cell>
          <cell r="BP119">
            <v>2099855.98</v>
          </cell>
          <cell r="BQ119">
            <v>2114281.04</v>
          </cell>
          <cell r="BR119">
            <v>2152229.69</v>
          </cell>
          <cell r="BS119">
            <v>1903356.07</v>
          </cell>
          <cell r="BT119">
            <v>2025340.86</v>
          </cell>
          <cell r="BU119">
            <v>1968588.61</v>
          </cell>
          <cell r="BV119">
            <v>2202683.35</v>
          </cell>
          <cell r="BW119">
            <v>808066.46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</row>
        <row r="120">
          <cell r="O120">
            <v>35617.050000000003</v>
          </cell>
          <cell r="P120">
            <v>35617.050000000003</v>
          </cell>
          <cell r="Q120">
            <v>35617.050000000003</v>
          </cell>
          <cell r="R120">
            <v>35617.050000000003</v>
          </cell>
          <cell r="S120">
            <v>35617.050000000003</v>
          </cell>
          <cell r="T120">
            <v>35617.050000000003</v>
          </cell>
          <cell r="U120">
            <v>35617.050000000003</v>
          </cell>
          <cell r="V120">
            <v>-17796.39</v>
          </cell>
          <cell r="W120">
            <v>-71209.78</v>
          </cell>
          <cell r="X120">
            <v>-71209.78</v>
          </cell>
          <cell r="Y120">
            <v>-71209.78</v>
          </cell>
          <cell r="Z120">
            <v>-71209.78</v>
          </cell>
          <cell r="AA120">
            <v>-71209.78</v>
          </cell>
          <cell r="AB120">
            <v>-71209.78</v>
          </cell>
          <cell r="AC120">
            <v>-71209.78</v>
          </cell>
          <cell r="AD120">
            <v>-71209.78</v>
          </cell>
          <cell r="AE120">
            <v>-71209.78</v>
          </cell>
          <cell r="AF120">
            <v>-71209.78</v>
          </cell>
          <cell r="AG120">
            <v>-71209.78</v>
          </cell>
          <cell r="AH120">
            <v>-125451.19</v>
          </cell>
          <cell r="AI120">
            <v>-179692.59</v>
          </cell>
          <cell r="AJ120">
            <v>-179692.59</v>
          </cell>
          <cell r="AK120">
            <v>-179692.59</v>
          </cell>
          <cell r="AL120">
            <v>-179692.59</v>
          </cell>
          <cell r="AM120">
            <v>-179692.59</v>
          </cell>
          <cell r="AN120">
            <v>-179692.59</v>
          </cell>
          <cell r="AO120">
            <v>-179692.59</v>
          </cell>
          <cell r="AP120">
            <v>-179692.59</v>
          </cell>
          <cell r="AQ120">
            <v>-179692.59</v>
          </cell>
          <cell r="AR120">
            <v>-179692.59</v>
          </cell>
          <cell r="AS120">
            <v>-179692.59</v>
          </cell>
          <cell r="AT120">
            <v>-59264.92</v>
          </cell>
          <cell r="AU120">
            <v>61162.67</v>
          </cell>
          <cell r="AV120">
            <v>61162.67</v>
          </cell>
          <cell r="AW120">
            <v>61162.67</v>
          </cell>
          <cell r="AX120">
            <v>61162.67</v>
          </cell>
          <cell r="AY120">
            <v>61162.67</v>
          </cell>
          <cell r="AZ120">
            <v>61162.67</v>
          </cell>
          <cell r="BA120">
            <v>61162.67</v>
          </cell>
          <cell r="BB120">
            <v>61162.67</v>
          </cell>
          <cell r="BC120">
            <v>61162.67</v>
          </cell>
          <cell r="BD120">
            <v>61162.67</v>
          </cell>
          <cell r="BE120">
            <v>61162.67</v>
          </cell>
          <cell r="BF120">
            <v>87067.72</v>
          </cell>
          <cell r="BG120">
            <v>112972.73</v>
          </cell>
          <cell r="BH120">
            <v>112972.73</v>
          </cell>
          <cell r="BI120">
            <v>112972.73</v>
          </cell>
          <cell r="BJ120">
            <v>112972.73</v>
          </cell>
          <cell r="BK120">
            <v>112972.73</v>
          </cell>
          <cell r="BL120">
            <v>112972.73</v>
          </cell>
          <cell r="BM120">
            <v>112972.73</v>
          </cell>
          <cell r="BN120">
            <v>112972.73</v>
          </cell>
          <cell r="BO120">
            <v>112972.73</v>
          </cell>
          <cell r="BP120">
            <v>112972.73</v>
          </cell>
          <cell r="BQ120">
            <v>112972.73</v>
          </cell>
          <cell r="BR120">
            <v>48840.01</v>
          </cell>
          <cell r="BS120">
            <v>-15292.73</v>
          </cell>
          <cell r="BT120">
            <v>-15292.73</v>
          </cell>
          <cell r="BU120">
            <v>-15292.73</v>
          </cell>
          <cell r="BV120">
            <v>-15292.73</v>
          </cell>
          <cell r="BW120">
            <v>-13354.54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O122">
            <v>849301.67</v>
          </cell>
          <cell r="P122">
            <v>854334.07000000007</v>
          </cell>
          <cell r="Q122">
            <v>871912.94</v>
          </cell>
          <cell r="R122">
            <v>883316.55</v>
          </cell>
          <cell r="S122">
            <v>837743.33000000007</v>
          </cell>
          <cell r="T122">
            <v>859128.19</v>
          </cell>
          <cell r="U122">
            <v>810446.49</v>
          </cell>
          <cell r="V122">
            <v>870320.28999999992</v>
          </cell>
          <cell r="W122">
            <v>702373.54</v>
          </cell>
          <cell r="X122">
            <v>685163.96</v>
          </cell>
          <cell r="Y122">
            <v>713005.78</v>
          </cell>
          <cell r="Z122">
            <v>792414.66999999993</v>
          </cell>
          <cell r="AA122">
            <v>511647.14</v>
          </cell>
          <cell r="AB122">
            <v>488775.12</v>
          </cell>
          <cell r="AC122">
            <v>479409.64999999991</v>
          </cell>
          <cell r="AD122">
            <v>499923.57000000007</v>
          </cell>
          <cell r="AE122">
            <v>476420.31999999995</v>
          </cell>
          <cell r="AF122">
            <v>466446.40999999992</v>
          </cell>
          <cell r="AG122">
            <v>530597.82000000007</v>
          </cell>
          <cell r="AH122">
            <v>487493.26999999996</v>
          </cell>
          <cell r="AI122">
            <v>285934.06999999995</v>
          </cell>
          <cell r="AJ122">
            <v>262447.08999999997</v>
          </cell>
          <cell r="AK122">
            <v>251228.91</v>
          </cell>
          <cell r="AL122">
            <v>263841.87</v>
          </cell>
          <cell r="AM122">
            <v>265537.11</v>
          </cell>
          <cell r="AN122">
            <v>131174.87999999998</v>
          </cell>
          <cell r="AO122">
            <v>196038.03</v>
          </cell>
          <cell r="AP122">
            <v>135127.68000000002</v>
          </cell>
          <cell r="AQ122">
            <v>169071.11999999997</v>
          </cell>
          <cell r="AR122">
            <v>135377.76999999999</v>
          </cell>
          <cell r="AS122">
            <v>120528.68000000002</v>
          </cell>
          <cell r="AT122">
            <v>253346.85000000003</v>
          </cell>
          <cell r="AU122">
            <v>189746.25</v>
          </cell>
          <cell r="AV122">
            <v>279456.17</v>
          </cell>
          <cell r="AW122">
            <v>257761.63999999996</v>
          </cell>
          <cell r="AX122">
            <v>404524.43</v>
          </cell>
          <cell r="AY122">
            <v>261048.15000000002</v>
          </cell>
          <cell r="AZ122">
            <v>245721.92000000004</v>
          </cell>
          <cell r="BA122">
            <v>267222.84000000003</v>
          </cell>
          <cell r="BB122">
            <v>216640.55</v>
          </cell>
          <cell r="BC122">
            <v>256916.26</v>
          </cell>
          <cell r="BD122">
            <v>199048.24</v>
          </cell>
          <cell r="BE122">
            <v>2572472.0300000003</v>
          </cell>
          <cell r="BF122">
            <v>2568453.87</v>
          </cell>
          <cell r="BG122">
            <v>2458172.39</v>
          </cell>
          <cell r="BH122">
            <v>2564082.92</v>
          </cell>
          <cell r="BI122">
            <v>2549345.2399999998</v>
          </cell>
          <cell r="BJ122">
            <v>2604337.7200000002</v>
          </cell>
          <cell r="BK122">
            <v>2456545.91</v>
          </cell>
          <cell r="BL122">
            <v>2365986.25</v>
          </cell>
          <cell r="BM122">
            <v>2323234.3000000003</v>
          </cell>
          <cell r="BN122">
            <v>2307914.6800000002</v>
          </cell>
          <cell r="BO122">
            <v>2288151.83</v>
          </cell>
          <cell r="BP122">
            <v>2212828.71</v>
          </cell>
          <cell r="BQ122">
            <v>2227253.77</v>
          </cell>
          <cell r="BR122">
            <v>2201069.6999999997</v>
          </cell>
          <cell r="BS122">
            <v>1888063.34</v>
          </cell>
          <cell r="BT122">
            <v>2010048.1300000001</v>
          </cell>
          <cell r="BU122">
            <v>1953295.8800000001</v>
          </cell>
          <cell r="BV122">
            <v>2187390.62</v>
          </cell>
          <cell r="BW122">
            <v>794711.91999999993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</row>
        <row r="123">
          <cell r="O123">
            <v>835728.43</v>
          </cell>
          <cell r="P123">
            <v>821469.4</v>
          </cell>
          <cell r="Q123">
            <v>824135.82</v>
          </cell>
          <cell r="R123">
            <v>820615.99</v>
          </cell>
          <cell r="S123">
            <v>822055.08</v>
          </cell>
          <cell r="T123">
            <v>823824.31</v>
          </cell>
          <cell r="U123">
            <v>826960.08</v>
          </cell>
          <cell r="V123">
            <v>626927.82999999996</v>
          </cell>
          <cell r="W123">
            <v>456019.61</v>
          </cell>
          <cell r="X123">
            <v>455873.45</v>
          </cell>
          <cell r="Y123">
            <v>455604.38</v>
          </cell>
          <cell r="Z123">
            <v>458853.11</v>
          </cell>
          <cell r="AA123">
            <v>454866.51</v>
          </cell>
          <cell r="AB123">
            <v>449408.67</v>
          </cell>
          <cell r="AC123">
            <v>448691.94</v>
          </cell>
          <cell r="AD123">
            <v>447401.16</v>
          </cell>
          <cell r="AE123">
            <v>449539.25</v>
          </cell>
          <cell r="AF123">
            <v>451996.74</v>
          </cell>
          <cell r="AG123">
            <v>449177.38</v>
          </cell>
          <cell r="AH123">
            <v>359428.69</v>
          </cell>
          <cell r="AI123">
            <v>266500.84999999998</v>
          </cell>
          <cell r="AJ123">
            <v>265982.09999999998</v>
          </cell>
          <cell r="AK123">
            <v>265307.01</v>
          </cell>
          <cell r="AL123">
            <v>268144.34999999998</v>
          </cell>
          <cell r="AM123">
            <v>263697.40999999997</v>
          </cell>
          <cell r="AN123">
            <v>263756.87</v>
          </cell>
          <cell r="AO123">
            <v>262040.78</v>
          </cell>
          <cell r="AP123">
            <v>262188.76</v>
          </cell>
          <cell r="AQ123">
            <v>263709.62</v>
          </cell>
          <cell r="AR123">
            <v>262181.40000000002</v>
          </cell>
          <cell r="AS123">
            <v>264119.21999999997</v>
          </cell>
          <cell r="AT123">
            <v>289256.77</v>
          </cell>
          <cell r="AU123">
            <v>314869.92</v>
          </cell>
          <cell r="AV123">
            <v>314780.86</v>
          </cell>
          <cell r="AW123">
            <v>314427.87</v>
          </cell>
          <cell r="AX123">
            <v>316914.51</v>
          </cell>
          <cell r="AY123">
            <v>312734.57</v>
          </cell>
          <cell r="AZ123">
            <v>311556.59000000003</v>
          </cell>
          <cell r="BA123">
            <v>308281.83</v>
          </cell>
          <cell r="BB123">
            <v>302415.96000000002</v>
          </cell>
          <cell r="BC123">
            <v>311699.43</v>
          </cell>
          <cell r="BD123">
            <v>1365987.23</v>
          </cell>
          <cell r="BE123">
            <v>2797014.89</v>
          </cell>
          <cell r="BF123">
            <v>2762273.0300000003</v>
          </cell>
          <cell r="BG123">
            <v>2830770.25</v>
          </cell>
          <cell r="BH123">
            <v>2839369.74</v>
          </cell>
          <cell r="BI123">
            <v>2299532.75</v>
          </cell>
          <cell r="BJ123">
            <v>2478136.9500000002</v>
          </cell>
          <cell r="BK123">
            <v>2298680.4299999997</v>
          </cell>
          <cell r="BL123">
            <v>2257562.3899999997</v>
          </cell>
          <cell r="BM123">
            <v>2257674.3199999998</v>
          </cell>
          <cell r="BN123">
            <v>2263458.9700000002</v>
          </cell>
          <cell r="BO123">
            <v>2273264.4700000002</v>
          </cell>
          <cell r="BP123">
            <v>2261812.9900000002</v>
          </cell>
          <cell r="BQ123">
            <v>2279244.08</v>
          </cell>
          <cell r="BR123">
            <v>2232084.58</v>
          </cell>
          <cell r="BS123">
            <v>2166525.54</v>
          </cell>
          <cell r="BT123">
            <v>2221778.09</v>
          </cell>
          <cell r="BU123">
            <v>1970081.87</v>
          </cell>
          <cell r="BV123">
            <v>1559603.36</v>
          </cell>
          <cell r="BW123">
            <v>1589372.96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419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129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187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264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O125">
            <v>13573.239999999991</v>
          </cell>
          <cell r="P125">
            <v>32864.670000000042</v>
          </cell>
          <cell r="Q125">
            <v>47777.119999999995</v>
          </cell>
          <cell r="R125">
            <v>62700.560000000056</v>
          </cell>
          <cell r="S125">
            <v>15688.250000000116</v>
          </cell>
          <cell r="T125">
            <v>35303.879999999888</v>
          </cell>
          <cell r="U125">
            <v>-16513.589999999967</v>
          </cell>
          <cell r="V125">
            <v>242973.45999999996</v>
          </cell>
          <cell r="W125">
            <v>246353.93000000005</v>
          </cell>
          <cell r="X125">
            <v>229290.50999999995</v>
          </cell>
          <cell r="Y125">
            <v>257401.40000000002</v>
          </cell>
          <cell r="Z125">
            <v>333561.55999999994</v>
          </cell>
          <cell r="AA125">
            <v>56780.630000000005</v>
          </cell>
          <cell r="AB125">
            <v>39237.450000000012</v>
          </cell>
          <cell r="AC125">
            <v>30717.709999999905</v>
          </cell>
          <cell r="AD125">
            <v>52522.410000000091</v>
          </cell>
          <cell r="AE125">
            <v>26881.069999999949</v>
          </cell>
          <cell r="AF125">
            <v>14449.669999999925</v>
          </cell>
          <cell r="AG125">
            <v>81420.440000000061</v>
          </cell>
          <cell r="AH125">
            <v>127877.57999999996</v>
          </cell>
          <cell r="AI125">
            <v>19433.219999999972</v>
          </cell>
          <cell r="AJ125">
            <v>-3535.0100000000093</v>
          </cell>
          <cell r="AK125">
            <v>-14078.100000000006</v>
          </cell>
          <cell r="AL125">
            <v>-4302.4799999999814</v>
          </cell>
          <cell r="AM125">
            <v>1575.7000000000116</v>
          </cell>
          <cell r="AN125">
            <v>-132581.99000000002</v>
          </cell>
          <cell r="AO125">
            <v>-66002.75</v>
          </cell>
          <cell r="AP125">
            <v>-127061.07999999999</v>
          </cell>
          <cell r="AQ125">
            <v>-94638.500000000029</v>
          </cell>
          <cell r="AR125">
            <v>-126803.63000000003</v>
          </cell>
          <cell r="AS125">
            <v>-143590.53999999995</v>
          </cell>
          <cell r="AT125">
            <v>-35909.919999999984</v>
          </cell>
          <cell r="AU125">
            <v>-125123.66999999998</v>
          </cell>
          <cell r="AV125">
            <v>-35324.69</v>
          </cell>
          <cell r="AW125">
            <v>-56666.23000000004</v>
          </cell>
          <cell r="AX125">
            <v>87609.919999999984</v>
          </cell>
          <cell r="AY125">
            <v>-51686.419999999984</v>
          </cell>
          <cell r="AZ125">
            <v>-65834.669999999984</v>
          </cell>
          <cell r="BA125">
            <v>-41058.989999999991</v>
          </cell>
          <cell r="BB125">
            <v>-85775.410000000033</v>
          </cell>
          <cell r="BC125">
            <v>-54783.169999999984</v>
          </cell>
          <cell r="BD125">
            <v>-1166938.99</v>
          </cell>
          <cell r="BE125">
            <v>-224542.85999999987</v>
          </cell>
          <cell r="BF125">
            <v>-193819.16000000015</v>
          </cell>
          <cell r="BG125">
            <v>-372597.85999999987</v>
          </cell>
          <cell r="BH125">
            <v>-275286.8200000003</v>
          </cell>
          <cell r="BI125">
            <v>249812.48999999976</v>
          </cell>
          <cell r="BJ125">
            <v>126200.77000000002</v>
          </cell>
          <cell r="BK125">
            <v>157865.48000000045</v>
          </cell>
          <cell r="BL125">
            <v>108423.86000000034</v>
          </cell>
          <cell r="BM125">
            <v>65559.980000000447</v>
          </cell>
          <cell r="BN125">
            <v>44455.709999999963</v>
          </cell>
          <cell r="BO125">
            <v>14887.35999999987</v>
          </cell>
          <cell r="BP125">
            <v>-48984.280000000261</v>
          </cell>
          <cell r="BQ125">
            <v>-51990.310000000056</v>
          </cell>
          <cell r="BR125">
            <v>-31014.880000000354</v>
          </cell>
          <cell r="BS125">
            <v>-278462.19999999995</v>
          </cell>
          <cell r="BT125">
            <v>-211729.95999999973</v>
          </cell>
          <cell r="BU125">
            <v>-16785.989999999991</v>
          </cell>
          <cell r="BV125">
            <v>627787.26</v>
          </cell>
          <cell r="BW125">
            <v>-794661.04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6">
          <cell r="O126">
            <v>-35617.050000000003</v>
          </cell>
          <cell r="P126">
            <v>-35617.050000000003</v>
          </cell>
          <cell r="Q126">
            <v>-35617.050000000003</v>
          </cell>
          <cell r="R126">
            <v>-35617.050000000003</v>
          </cell>
          <cell r="S126">
            <v>-35617.050000000003</v>
          </cell>
          <cell r="T126">
            <v>-35617.050000000003</v>
          </cell>
          <cell r="U126">
            <v>-35617.050000000003</v>
          </cell>
          <cell r="V126">
            <v>17796.39</v>
          </cell>
          <cell r="W126">
            <v>71209.78</v>
          </cell>
          <cell r="X126">
            <v>71209.78</v>
          </cell>
          <cell r="Y126">
            <v>71209.78</v>
          </cell>
          <cell r="Z126">
            <v>71209.78</v>
          </cell>
          <cell r="AA126">
            <v>71209.78</v>
          </cell>
          <cell r="AB126">
            <v>71209.78</v>
          </cell>
          <cell r="AC126">
            <v>71209.78</v>
          </cell>
          <cell r="AD126">
            <v>71209.78</v>
          </cell>
          <cell r="AE126">
            <v>71209.78</v>
          </cell>
          <cell r="AF126">
            <v>71209.78</v>
          </cell>
          <cell r="AG126">
            <v>71209.78</v>
          </cell>
          <cell r="AH126">
            <v>125451.19</v>
          </cell>
          <cell r="AI126">
            <v>179692.59</v>
          </cell>
          <cell r="AJ126">
            <v>179692.59</v>
          </cell>
          <cell r="AK126">
            <v>179692.59</v>
          </cell>
          <cell r="AL126">
            <v>179692.59</v>
          </cell>
          <cell r="AM126">
            <v>179692.59</v>
          </cell>
          <cell r="AN126">
            <v>179692.59</v>
          </cell>
          <cell r="AO126">
            <v>179692.59</v>
          </cell>
          <cell r="AP126">
            <v>179692.59</v>
          </cell>
          <cell r="AQ126">
            <v>179692.59</v>
          </cell>
          <cell r="AR126">
            <v>179692.59</v>
          </cell>
          <cell r="AS126">
            <v>179692.59</v>
          </cell>
          <cell r="AT126">
            <v>59264.92</v>
          </cell>
          <cell r="AU126">
            <v>-61162.67</v>
          </cell>
          <cell r="AV126">
            <v>-61162.67</v>
          </cell>
          <cell r="AW126">
            <v>-61162.67</v>
          </cell>
          <cell r="AX126">
            <v>-61162.67</v>
          </cell>
          <cell r="AY126">
            <v>-61162.67</v>
          </cell>
          <cell r="AZ126">
            <v>-61162.67</v>
          </cell>
          <cell r="BA126">
            <v>-61162.67</v>
          </cell>
          <cell r="BB126">
            <v>-61162.67</v>
          </cell>
          <cell r="BC126">
            <v>-61162.67</v>
          </cell>
          <cell r="BD126">
            <v>-61162.67</v>
          </cell>
          <cell r="BE126">
            <v>-61162.67</v>
          </cell>
          <cell r="BF126">
            <v>-87067.72</v>
          </cell>
          <cell r="BG126">
            <v>-112972.73</v>
          </cell>
          <cell r="BH126">
            <v>-112972.73</v>
          </cell>
          <cell r="BI126">
            <v>-112972.73</v>
          </cell>
          <cell r="BJ126">
            <v>-112972.73</v>
          </cell>
          <cell r="BK126">
            <v>-112972.73</v>
          </cell>
          <cell r="BL126">
            <v>-112972.73</v>
          </cell>
          <cell r="BM126">
            <v>-112972.73</v>
          </cell>
          <cell r="BN126">
            <v>-112972.73</v>
          </cell>
          <cell r="BO126">
            <v>-112972.73</v>
          </cell>
          <cell r="BP126">
            <v>-112972.73</v>
          </cell>
          <cell r="BQ126">
            <v>-112972.73</v>
          </cell>
          <cell r="BR126">
            <v>-48840.01</v>
          </cell>
          <cell r="BS126">
            <v>15292.73</v>
          </cell>
          <cell r="BT126">
            <v>15292.73</v>
          </cell>
          <cell r="BU126">
            <v>15292.73</v>
          </cell>
          <cell r="BV126">
            <v>15292.73</v>
          </cell>
          <cell r="BW126">
            <v>13354.54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O127" t="str">
            <v>2019</v>
          </cell>
          <cell r="P127" t="str">
            <v>2019</v>
          </cell>
          <cell r="Q127" t="str">
            <v>2019</v>
          </cell>
          <cell r="R127" t="str">
            <v>2019</v>
          </cell>
          <cell r="S127" t="str">
            <v>2019</v>
          </cell>
          <cell r="T127" t="str">
            <v>2019</v>
          </cell>
          <cell r="U127" t="str">
            <v>2019</v>
          </cell>
          <cell r="V127" t="str">
            <v>2019</v>
          </cell>
          <cell r="W127" t="str">
            <v>2018</v>
          </cell>
          <cell r="X127" t="str">
            <v>2018</v>
          </cell>
          <cell r="Y127" t="str">
            <v>2018</v>
          </cell>
          <cell r="Z127" t="str">
            <v>2018</v>
          </cell>
          <cell r="AA127" t="str">
            <v>2018</v>
          </cell>
          <cell r="AB127" t="str">
            <v>2018</v>
          </cell>
          <cell r="AC127" t="str">
            <v>2018</v>
          </cell>
          <cell r="AD127" t="str">
            <v>2018</v>
          </cell>
          <cell r="AE127" t="str">
            <v>2018</v>
          </cell>
          <cell r="AF127" t="str">
            <v>2018</v>
          </cell>
          <cell r="AG127" t="str">
            <v>2018</v>
          </cell>
          <cell r="AH127" t="str">
            <v>2018</v>
          </cell>
          <cell r="AI127" t="str">
            <v>2017</v>
          </cell>
          <cell r="AJ127" t="str">
            <v>2017</v>
          </cell>
          <cell r="AK127" t="str">
            <v>2017</v>
          </cell>
          <cell r="AL127" t="str">
            <v>2017</v>
          </cell>
          <cell r="AM127" t="str">
            <v>2017</v>
          </cell>
          <cell r="AN127" t="str">
            <v>2017</v>
          </cell>
          <cell r="AO127" t="str">
            <v>2017</v>
          </cell>
          <cell r="AP127" t="str">
            <v>2017</v>
          </cell>
          <cell r="AQ127" t="str">
            <v>2017</v>
          </cell>
          <cell r="AR127" t="str">
            <v>2017</v>
          </cell>
          <cell r="AS127" t="str">
            <v>2017</v>
          </cell>
          <cell r="AT127" t="str">
            <v>2017</v>
          </cell>
          <cell r="AU127" t="str">
            <v>2016</v>
          </cell>
          <cell r="AV127" t="str">
            <v>2016</v>
          </cell>
          <cell r="AW127" t="str">
            <v>2016</v>
          </cell>
          <cell r="AX127" t="str">
            <v>2016</v>
          </cell>
          <cell r="AY127" t="str">
            <v>2016</v>
          </cell>
          <cell r="AZ127" t="str">
            <v>2016</v>
          </cell>
          <cell r="BA127" t="str">
            <v>2016</v>
          </cell>
          <cell r="BB127" t="str">
            <v>2016</v>
          </cell>
          <cell r="BC127" t="str">
            <v>2016</v>
          </cell>
          <cell r="BD127" t="str">
            <v>2016</v>
          </cell>
          <cell r="BE127" t="str">
            <v>2016</v>
          </cell>
          <cell r="BF127" t="str">
            <v>2016</v>
          </cell>
          <cell r="BG127" t="str">
            <v>2015</v>
          </cell>
          <cell r="BH127" t="str">
            <v>2015</v>
          </cell>
          <cell r="BI127" t="str">
            <v>2015</v>
          </cell>
          <cell r="BJ127" t="str">
            <v>2015</v>
          </cell>
          <cell r="BK127" t="str">
            <v>2015</v>
          </cell>
          <cell r="BL127" t="str">
            <v>2015</v>
          </cell>
          <cell r="BM127" t="str">
            <v>2015</v>
          </cell>
          <cell r="BN127" t="str">
            <v>2015</v>
          </cell>
          <cell r="BO127" t="str">
            <v>2015</v>
          </cell>
          <cell r="BP127" t="str">
            <v>2015</v>
          </cell>
          <cell r="BQ127" t="str">
            <v>2015</v>
          </cell>
          <cell r="BR127" t="str">
            <v>2014</v>
          </cell>
          <cell r="BS127" t="str">
            <v>2014</v>
          </cell>
          <cell r="BT127" t="str">
            <v>2014</v>
          </cell>
          <cell r="BU127" t="str">
            <v>2014</v>
          </cell>
          <cell r="BV127" t="str">
            <v>2014</v>
          </cell>
          <cell r="BW127" t="str">
            <v>2014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</row>
        <row r="128">
          <cell r="O128">
            <v>-22043.810000000005</v>
          </cell>
          <cell r="P128">
            <v>-2752.3800000000047</v>
          </cell>
          <cell r="Q128">
            <v>12160.07</v>
          </cell>
          <cell r="R128">
            <v>27083.509999999995</v>
          </cell>
          <cell r="S128">
            <v>-19928.800000000003</v>
          </cell>
          <cell r="T128">
            <v>-313.17000000000553</v>
          </cell>
          <cell r="U128">
            <v>-52130.64</v>
          </cell>
          <cell r="V128">
            <v>260769.84999999998</v>
          </cell>
          <cell r="W128">
            <v>317563.70999999996</v>
          </cell>
          <cell r="X128">
            <v>300500.29000000004</v>
          </cell>
          <cell r="Y128">
            <v>328611.18</v>
          </cell>
          <cell r="Z128">
            <v>404771.33999999997</v>
          </cell>
          <cell r="AA128">
            <v>127990.41</v>
          </cell>
          <cell r="AB128">
            <v>110447.23</v>
          </cell>
          <cell r="AC128">
            <v>101927.48999999999</v>
          </cell>
          <cell r="AD128">
            <v>123732.19</v>
          </cell>
          <cell r="AE128">
            <v>98090.85</v>
          </cell>
          <cell r="AF128">
            <v>85659.45</v>
          </cell>
          <cell r="AG128">
            <v>152630.22</v>
          </cell>
          <cell r="AH128">
            <v>253328.77000000002</v>
          </cell>
          <cell r="AI128">
            <v>199125.81</v>
          </cell>
          <cell r="AJ128">
            <v>176157.58</v>
          </cell>
          <cell r="AK128">
            <v>165614.49</v>
          </cell>
          <cell r="AL128">
            <v>175390.11</v>
          </cell>
          <cell r="AM128">
            <v>181268.29</v>
          </cell>
          <cell r="AN128">
            <v>47110.600000000006</v>
          </cell>
          <cell r="AO128">
            <v>113689.84</v>
          </cell>
          <cell r="AP128">
            <v>52631.509999999995</v>
          </cell>
          <cell r="AQ128">
            <v>85054.09</v>
          </cell>
          <cell r="AR128">
            <v>52888.959999999992</v>
          </cell>
          <cell r="AS128">
            <v>36102.049999999988</v>
          </cell>
          <cell r="AT128">
            <v>23355</v>
          </cell>
          <cell r="AU128">
            <v>-186286.34</v>
          </cell>
          <cell r="AV128">
            <v>-96487.360000000001</v>
          </cell>
          <cell r="AW128">
            <v>-117828.9</v>
          </cell>
          <cell r="AX128">
            <v>26447.25</v>
          </cell>
          <cell r="AY128">
            <v>-112849.09</v>
          </cell>
          <cell r="AZ128">
            <v>-126997.34</v>
          </cell>
          <cell r="BA128">
            <v>-102221.66</v>
          </cell>
          <cell r="BB128">
            <v>-146938.08000000002</v>
          </cell>
          <cell r="BC128">
            <v>-115945.84</v>
          </cell>
          <cell r="BD128">
            <v>-1228101.6599999999</v>
          </cell>
          <cell r="BE128">
            <v>-285705.52999999997</v>
          </cell>
          <cell r="BF128">
            <v>-280886.88</v>
          </cell>
          <cell r="BG128">
            <v>-485570.58999999997</v>
          </cell>
          <cell r="BH128">
            <v>-388259.55</v>
          </cell>
          <cell r="BI128">
            <v>136839.76</v>
          </cell>
          <cell r="BJ128">
            <v>13228.040000000008</v>
          </cell>
          <cell r="BK128">
            <v>44892.750000000015</v>
          </cell>
          <cell r="BL128">
            <v>-4548.8699999999953</v>
          </cell>
          <cell r="BM128">
            <v>-47412.75</v>
          </cell>
          <cell r="BN128">
            <v>-68517.01999999999</v>
          </cell>
          <cell r="BO128">
            <v>-98085.37</v>
          </cell>
          <cell r="BP128">
            <v>-161957.01</v>
          </cell>
          <cell r="BQ128">
            <v>-164963.03999999998</v>
          </cell>
          <cell r="BR128">
            <v>-79854.89</v>
          </cell>
          <cell r="BS128">
            <v>-263169.47000000003</v>
          </cell>
          <cell r="BT128">
            <v>-196437.22999999998</v>
          </cell>
          <cell r="BU128">
            <v>-1493.260000000002</v>
          </cell>
          <cell r="BV128">
            <v>643079.99</v>
          </cell>
          <cell r="BW128">
            <v>-781306.5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</row>
        <row r="129">
          <cell r="O129">
            <v>1661251.7100000004</v>
          </cell>
          <cell r="P129">
            <v>1683295.5200000005</v>
          </cell>
          <cell r="Q129">
            <v>1686047.9000000004</v>
          </cell>
          <cell r="R129">
            <v>1673887.8300000003</v>
          </cell>
          <cell r="S129">
            <v>1646804.3200000003</v>
          </cell>
          <cell r="T129">
            <v>1666733.1200000003</v>
          </cell>
          <cell r="U129">
            <v>1667046.2900000003</v>
          </cell>
          <cell r="V129">
            <v>1719176.9300000002</v>
          </cell>
          <cell r="W129">
            <v>1458407.08</v>
          </cell>
          <cell r="X129">
            <v>1140843.3700000001</v>
          </cell>
          <cell r="Y129">
            <v>840343.08</v>
          </cell>
          <cell r="Z129">
            <v>511731.89999999997</v>
          </cell>
          <cell r="AA129">
            <v>106960.55999999998</v>
          </cell>
          <cell r="AB129">
            <v>-21029.85000000002</v>
          </cell>
          <cell r="AC129">
            <v>-131477.08000000002</v>
          </cell>
          <cell r="AD129">
            <v>-233404.57</v>
          </cell>
          <cell r="AE129">
            <v>-357136.76</v>
          </cell>
          <cell r="AF129">
            <v>-455227.61000000004</v>
          </cell>
          <cell r="AG129">
            <v>-540887.06000000006</v>
          </cell>
          <cell r="AH129">
            <v>-693517.28</v>
          </cell>
          <cell r="AI129">
            <v>-946846.05</v>
          </cell>
          <cell r="AJ129">
            <v>-1145971.8600000001</v>
          </cell>
          <cell r="AK129">
            <v>-1322129.4400000002</v>
          </cell>
          <cell r="AL129">
            <v>-1487743.9300000002</v>
          </cell>
          <cell r="AM129">
            <v>-1663134.0400000003</v>
          </cell>
          <cell r="AN129">
            <v>-4266504.3900000006</v>
          </cell>
          <cell r="AO129">
            <v>-4313614.99</v>
          </cell>
          <cell r="AP129">
            <v>-4427304.83</v>
          </cell>
          <cell r="AQ129">
            <v>-4479936.34</v>
          </cell>
          <cell r="AR129">
            <v>-4564990.43</v>
          </cell>
          <cell r="AS129">
            <v>-4617879.3899999997</v>
          </cell>
          <cell r="AT129">
            <v>-4653981.4399999995</v>
          </cell>
          <cell r="AU129">
            <v>-4677336.4399999995</v>
          </cell>
          <cell r="AV129">
            <v>-4491050.0999999996</v>
          </cell>
          <cell r="AW129">
            <v>-4394562.7399999993</v>
          </cell>
          <cell r="AX129">
            <v>-4276733.8399999989</v>
          </cell>
          <cell r="AY129">
            <v>-4303181.0899999989</v>
          </cell>
          <cell r="AZ129">
            <v>-4190331.9999999991</v>
          </cell>
          <cell r="BA129">
            <v>-4063334.6599999992</v>
          </cell>
          <cell r="BB129">
            <v>-3961112.9999999991</v>
          </cell>
          <cell r="BC129">
            <v>-3814174.919999999</v>
          </cell>
          <cell r="BD129">
            <v>-3698229.0799999991</v>
          </cell>
          <cell r="BE129">
            <v>-2470127.4199999995</v>
          </cell>
          <cell r="BF129">
            <v>-2184421.8899999997</v>
          </cell>
          <cell r="BG129">
            <v>-1903535.0099999998</v>
          </cell>
          <cell r="BH129">
            <v>-1417964.42</v>
          </cell>
          <cell r="BI129">
            <v>-1029704.8699999999</v>
          </cell>
          <cell r="BJ129">
            <v>-1166544.6299999999</v>
          </cell>
          <cell r="BK129">
            <v>-1179772.67</v>
          </cell>
          <cell r="BL129">
            <v>-1224665.42</v>
          </cell>
          <cell r="BM129">
            <v>-1220116.5499999998</v>
          </cell>
          <cell r="BN129">
            <v>-1172703.7999999998</v>
          </cell>
          <cell r="BO129">
            <v>-1104186.7799999998</v>
          </cell>
          <cell r="BP129">
            <v>-1006101.4099999999</v>
          </cell>
          <cell r="BQ129">
            <v>-844144.39999999991</v>
          </cell>
          <cell r="BR129">
            <v>-679181.36</v>
          </cell>
          <cell r="BS129">
            <v>-599326.47</v>
          </cell>
          <cell r="BT129">
            <v>-336157</v>
          </cell>
          <cell r="BU129">
            <v>-139719.77000000002</v>
          </cell>
          <cell r="BV129">
            <v>-138226.51</v>
          </cell>
          <cell r="BW129">
            <v>-781306.5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</row>
        <row r="137">
          <cell r="O137">
            <v>202012</v>
          </cell>
          <cell r="P137">
            <v>202011</v>
          </cell>
          <cell r="Q137">
            <v>202010</v>
          </cell>
          <cell r="R137">
            <v>202009</v>
          </cell>
          <cell r="S137">
            <v>202008</v>
          </cell>
          <cell r="T137">
            <v>202007</v>
          </cell>
          <cell r="U137">
            <v>202006</v>
          </cell>
          <cell r="V137">
            <v>202005</v>
          </cell>
          <cell r="W137">
            <v>202004</v>
          </cell>
          <cell r="X137">
            <v>202003</v>
          </cell>
          <cell r="Y137">
            <v>202002</v>
          </cell>
          <cell r="Z137">
            <v>202001</v>
          </cell>
          <cell r="AA137">
            <v>201912</v>
          </cell>
          <cell r="AB137">
            <v>201911</v>
          </cell>
          <cell r="AC137">
            <v>201910</v>
          </cell>
          <cell r="AD137">
            <v>201909</v>
          </cell>
          <cell r="AE137">
            <v>201908</v>
          </cell>
          <cell r="AF137">
            <v>201907</v>
          </cell>
          <cell r="AG137">
            <v>201906</v>
          </cell>
          <cell r="AH137">
            <v>201905</v>
          </cell>
          <cell r="AI137">
            <v>201904</v>
          </cell>
          <cell r="AJ137">
            <v>201903</v>
          </cell>
          <cell r="AK137">
            <v>201902</v>
          </cell>
          <cell r="AL137">
            <v>201901</v>
          </cell>
          <cell r="AM137">
            <v>201812</v>
          </cell>
          <cell r="AN137">
            <v>201811</v>
          </cell>
          <cell r="AO137">
            <v>201810</v>
          </cell>
          <cell r="AP137">
            <v>201809</v>
          </cell>
          <cell r="AQ137">
            <v>201808</v>
          </cell>
          <cell r="AR137">
            <v>201807</v>
          </cell>
          <cell r="AS137">
            <v>201806</v>
          </cell>
          <cell r="AT137">
            <v>201805</v>
          </cell>
          <cell r="AU137">
            <v>201804</v>
          </cell>
          <cell r="AV137">
            <v>201803</v>
          </cell>
          <cell r="AW137">
            <v>201802</v>
          </cell>
          <cell r="AX137">
            <v>201801</v>
          </cell>
          <cell r="AY137">
            <v>201712</v>
          </cell>
          <cell r="AZ137">
            <v>201711</v>
          </cell>
          <cell r="BA137">
            <v>201710</v>
          </cell>
          <cell r="BB137">
            <v>201709</v>
          </cell>
          <cell r="BC137">
            <v>201708</v>
          </cell>
          <cell r="BD137">
            <v>201707</v>
          </cell>
          <cell r="BE137">
            <v>201706</v>
          </cell>
          <cell r="BF137">
            <v>201705</v>
          </cell>
          <cell r="BG137">
            <v>201704</v>
          </cell>
          <cell r="BH137">
            <v>201703</v>
          </cell>
          <cell r="BI137">
            <v>201702</v>
          </cell>
          <cell r="BJ137">
            <v>201701</v>
          </cell>
          <cell r="BK137">
            <v>201612</v>
          </cell>
          <cell r="BL137">
            <v>201611</v>
          </cell>
          <cell r="BM137">
            <v>201610</v>
          </cell>
          <cell r="BN137">
            <v>201609</v>
          </cell>
          <cell r="BO137">
            <v>201608</v>
          </cell>
          <cell r="BP137">
            <v>201607</v>
          </cell>
          <cell r="BQ137">
            <v>201606</v>
          </cell>
          <cell r="BR137">
            <v>201605</v>
          </cell>
          <cell r="BS137">
            <v>201604</v>
          </cell>
          <cell r="BT137">
            <v>201603</v>
          </cell>
          <cell r="BU137">
            <v>201602</v>
          </cell>
          <cell r="BV137">
            <v>201601</v>
          </cell>
          <cell r="BW137">
            <v>201512</v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</row>
        <row r="138">
          <cell r="O138">
            <v>2020</v>
          </cell>
          <cell r="P138">
            <v>2020</v>
          </cell>
          <cell r="Q138">
            <v>2020</v>
          </cell>
          <cell r="R138">
            <v>2020</v>
          </cell>
          <cell r="S138">
            <v>2020</v>
          </cell>
          <cell r="T138">
            <v>2020</v>
          </cell>
          <cell r="U138">
            <v>2020</v>
          </cell>
          <cell r="V138">
            <v>2020</v>
          </cell>
          <cell r="W138">
            <v>2020</v>
          </cell>
          <cell r="X138">
            <v>2020</v>
          </cell>
          <cell r="Y138">
            <v>2020</v>
          </cell>
          <cell r="Z138">
            <v>2020</v>
          </cell>
          <cell r="AA138">
            <v>2019</v>
          </cell>
          <cell r="AB138">
            <v>2019</v>
          </cell>
          <cell r="AC138">
            <v>2019</v>
          </cell>
          <cell r="AD138">
            <v>2019</v>
          </cell>
          <cell r="AE138">
            <v>2019</v>
          </cell>
          <cell r="AF138">
            <v>2019</v>
          </cell>
          <cell r="AG138">
            <v>2019</v>
          </cell>
          <cell r="AH138">
            <v>2019</v>
          </cell>
          <cell r="AI138">
            <v>2019</v>
          </cell>
          <cell r="AJ138">
            <v>2019</v>
          </cell>
          <cell r="AK138">
            <v>2019</v>
          </cell>
          <cell r="AL138">
            <v>2019</v>
          </cell>
          <cell r="AM138">
            <v>2018</v>
          </cell>
          <cell r="AN138">
            <v>2018</v>
          </cell>
          <cell r="AO138">
            <v>2018</v>
          </cell>
          <cell r="AP138">
            <v>2018</v>
          </cell>
          <cell r="AQ138">
            <v>2018</v>
          </cell>
          <cell r="AR138">
            <v>2018</v>
          </cell>
          <cell r="AS138">
            <v>2018</v>
          </cell>
          <cell r="AT138">
            <v>2018</v>
          </cell>
          <cell r="AU138">
            <v>2018</v>
          </cell>
          <cell r="AV138">
            <v>2018</v>
          </cell>
          <cell r="AW138">
            <v>2018</v>
          </cell>
          <cell r="AX138">
            <v>2018</v>
          </cell>
          <cell r="AY138">
            <v>2017</v>
          </cell>
          <cell r="AZ138">
            <v>2017</v>
          </cell>
          <cell r="BA138">
            <v>2017</v>
          </cell>
          <cell r="BB138">
            <v>2017</v>
          </cell>
          <cell r="BC138">
            <v>2017</v>
          </cell>
          <cell r="BD138">
            <v>2017</v>
          </cell>
          <cell r="BE138">
            <v>2017</v>
          </cell>
          <cell r="BF138">
            <v>2017</v>
          </cell>
          <cell r="BG138">
            <v>2017</v>
          </cell>
          <cell r="BH138">
            <v>2017</v>
          </cell>
          <cell r="BI138">
            <v>2017</v>
          </cell>
          <cell r="BJ138">
            <v>2017</v>
          </cell>
          <cell r="BK138">
            <v>2016</v>
          </cell>
          <cell r="BL138">
            <v>2016</v>
          </cell>
          <cell r="BM138">
            <v>2016</v>
          </cell>
          <cell r="BN138">
            <v>2016</v>
          </cell>
          <cell r="BO138">
            <v>2016</v>
          </cell>
          <cell r="BP138">
            <v>2016</v>
          </cell>
          <cell r="BQ138">
            <v>2016</v>
          </cell>
          <cell r="BR138">
            <v>2016</v>
          </cell>
          <cell r="BS138">
            <v>2016</v>
          </cell>
          <cell r="BT138">
            <v>2016</v>
          </cell>
          <cell r="BU138">
            <v>2016</v>
          </cell>
          <cell r="BV138">
            <v>2016</v>
          </cell>
          <cell r="BW138">
            <v>2015</v>
          </cell>
          <cell r="BX138" t="str">
            <v/>
          </cell>
          <cell r="BY138" t="str">
            <v/>
          </cell>
          <cell r="BZ138" t="str">
            <v/>
          </cell>
          <cell r="CA138" t="str">
            <v/>
          </cell>
          <cell r="CB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</row>
        <row r="139">
          <cell r="O139">
            <v>12</v>
          </cell>
          <cell r="P139">
            <v>11</v>
          </cell>
          <cell r="Q139">
            <v>10</v>
          </cell>
          <cell r="R139">
            <v>9</v>
          </cell>
          <cell r="S139">
            <v>8</v>
          </cell>
          <cell r="T139">
            <v>7</v>
          </cell>
          <cell r="U139">
            <v>6</v>
          </cell>
          <cell r="V139">
            <v>5</v>
          </cell>
          <cell r="W139">
            <v>4</v>
          </cell>
          <cell r="X139">
            <v>3</v>
          </cell>
          <cell r="Y139">
            <v>2</v>
          </cell>
          <cell r="Z139">
            <v>1</v>
          </cell>
          <cell r="AA139">
            <v>12</v>
          </cell>
          <cell r="AB139">
            <v>11</v>
          </cell>
          <cell r="AC139">
            <v>10</v>
          </cell>
          <cell r="AD139">
            <v>9</v>
          </cell>
          <cell r="AE139">
            <v>8</v>
          </cell>
          <cell r="AF139">
            <v>7</v>
          </cell>
          <cell r="AG139">
            <v>6</v>
          </cell>
          <cell r="AH139">
            <v>5</v>
          </cell>
          <cell r="AI139">
            <v>4</v>
          </cell>
          <cell r="AJ139">
            <v>3</v>
          </cell>
          <cell r="AK139">
            <v>2</v>
          </cell>
          <cell r="AL139">
            <v>1</v>
          </cell>
          <cell r="AM139">
            <v>12</v>
          </cell>
          <cell r="AN139">
            <v>11</v>
          </cell>
          <cell r="AO139">
            <v>10</v>
          </cell>
          <cell r="AP139">
            <v>9</v>
          </cell>
          <cell r="AQ139">
            <v>8</v>
          </cell>
          <cell r="AR139">
            <v>7</v>
          </cell>
          <cell r="AS139">
            <v>6</v>
          </cell>
          <cell r="AT139">
            <v>5</v>
          </cell>
          <cell r="AU139">
            <v>4</v>
          </cell>
          <cell r="AV139">
            <v>3</v>
          </cell>
          <cell r="AW139">
            <v>2</v>
          </cell>
          <cell r="AX139">
            <v>1</v>
          </cell>
          <cell r="AY139">
            <v>12</v>
          </cell>
          <cell r="AZ139">
            <v>11</v>
          </cell>
          <cell r="BA139">
            <v>10</v>
          </cell>
          <cell r="BB139">
            <v>9</v>
          </cell>
          <cell r="BC139">
            <v>8</v>
          </cell>
          <cell r="BD139">
            <v>7</v>
          </cell>
          <cell r="BE139">
            <v>6</v>
          </cell>
          <cell r="BF139">
            <v>5</v>
          </cell>
          <cell r="BG139">
            <v>4</v>
          </cell>
          <cell r="BH139">
            <v>3</v>
          </cell>
          <cell r="BI139">
            <v>2</v>
          </cell>
          <cell r="BJ139">
            <v>1</v>
          </cell>
          <cell r="BK139">
            <v>12</v>
          </cell>
          <cell r="BL139">
            <v>11</v>
          </cell>
          <cell r="BM139">
            <v>10</v>
          </cell>
          <cell r="BN139">
            <v>9</v>
          </cell>
          <cell r="BO139">
            <v>8</v>
          </cell>
          <cell r="BP139">
            <v>7</v>
          </cell>
          <cell r="BQ139">
            <v>6</v>
          </cell>
          <cell r="BR139">
            <v>5</v>
          </cell>
          <cell r="BS139">
            <v>4</v>
          </cell>
          <cell r="BT139">
            <v>3</v>
          </cell>
          <cell r="BU139">
            <v>2</v>
          </cell>
          <cell r="BV139">
            <v>1</v>
          </cell>
          <cell r="BW139">
            <v>12</v>
          </cell>
          <cell r="BX139" t="str">
            <v/>
          </cell>
          <cell r="BY139" t="str">
            <v/>
          </cell>
          <cell r="BZ139" t="str">
            <v/>
          </cell>
          <cell r="CA139" t="str">
            <v/>
          </cell>
          <cell r="CB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</row>
        <row r="144">
          <cell r="O144">
            <v>94254632.129999995</v>
          </cell>
          <cell r="P144">
            <v>90772307.310000002</v>
          </cell>
          <cell r="Q144">
            <v>86855698</v>
          </cell>
          <cell r="R144">
            <v>80338856.760000005</v>
          </cell>
          <cell r="S144">
            <v>76537033.349999994</v>
          </cell>
          <cell r="T144">
            <v>70817410.409999996</v>
          </cell>
          <cell r="U144">
            <v>67021007.729999997</v>
          </cell>
          <cell r="V144">
            <v>63305594.029999994</v>
          </cell>
          <cell r="W144">
            <v>59951368.499999993</v>
          </cell>
          <cell r="X144">
            <v>54041312.049999997</v>
          </cell>
          <cell r="Y144">
            <v>49650737.149999999</v>
          </cell>
          <cell r="Z144">
            <v>46655058.210000001</v>
          </cell>
          <cell r="AA144">
            <v>44002739.890000001</v>
          </cell>
          <cell r="AB144">
            <v>42365586.899999999</v>
          </cell>
          <cell r="AC144">
            <v>37085782.100000001</v>
          </cell>
          <cell r="AD144">
            <v>31360379.030000001</v>
          </cell>
          <cell r="AE144">
            <v>26447799.649999999</v>
          </cell>
          <cell r="AF144">
            <v>23420482.129999999</v>
          </cell>
          <cell r="AG144">
            <v>20801914.799999997</v>
          </cell>
          <cell r="AH144">
            <v>19551518.379999999</v>
          </cell>
          <cell r="AI144">
            <v>16484315.449999999</v>
          </cell>
          <cell r="AJ144">
            <v>15217857.67</v>
          </cell>
          <cell r="AK144">
            <v>12426920.369999999</v>
          </cell>
          <cell r="AL144">
            <v>11864591.74</v>
          </cell>
          <cell r="AM144">
            <v>11207438.539999999</v>
          </cell>
          <cell r="AN144">
            <v>10436606.98</v>
          </cell>
          <cell r="AO144">
            <v>9803648.7100000009</v>
          </cell>
          <cell r="AP144">
            <v>9347877.8699999992</v>
          </cell>
          <cell r="AQ144">
            <v>7338384.1799999997</v>
          </cell>
          <cell r="AR144">
            <v>6758536.7399999993</v>
          </cell>
          <cell r="AS144">
            <v>6722508.1899999995</v>
          </cell>
          <cell r="AT144">
            <v>6515328.0999999996</v>
          </cell>
          <cell r="AU144">
            <v>6250879.4800000004</v>
          </cell>
          <cell r="AV144">
            <v>5166106.24</v>
          </cell>
          <cell r="AW144">
            <v>4342215.1900000004</v>
          </cell>
          <cell r="AX144">
            <v>3370480.97</v>
          </cell>
          <cell r="AY144">
            <v>3062641.2100000004</v>
          </cell>
          <cell r="AZ144">
            <v>1439946.39</v>
          </cell>
          <cell r="BA144">
            <v>1046533.85</v>
          </cell>
          <cell r="BB144">
            <v>616593.06999999995</v>
          </cell>
          <cell r="BC144">
            <v>310103.82</v>
          </cell>
          <cell r="BD144">
            <v>239723.06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</row>
        <row r="145">
          <cell r="O145">
            <v>-317268.3</v>
          </cell>
          <cell r="P145">
            <v>-188247.1</v>
          </cell>
          <cell r="Q145">
            <v>-62107.67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</row>
        <row r="146">
          <cell r="O146">
            <v>45058.31</v>
          </cell>
          <cell r="P146">
            <v>45058.31</v>
          </cell>
          <cell r="Q146">
            <v>40412.29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</row>
        <row r="147">
          <cell r="O147">
            <v>-881246.51</v>
          </cell>
          <cell r="P147">
            <v>-821519.15</v>
          </cell>
          <cell r="Q147">
            <v>-750482.69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</row>
        <row r="150"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</row>
        <row r="151">
          <cell r="O151">
            <v>93101175.629999995</v>
          </cell>
          <cell r="P151">
            <v>89807599.370000005</v>
          </cell>
          <cell r="Q151">
            <v>86083519.930000007</v>
          </cell>
          <cell r="R151">
            <v>80338856.760000005</v>
          </cell>
          <cell r="S151">
            <v>76537033.349999994</v>
          </cell>
          <cell r="T151">
            <v>70817410.409999996</v>
          </cell>
          <cell r="U151">
            <v>67021007.729999997</v>
          </cell>
          <cell r="V151">
            <v>63305594.029999994</v>
          </cell>
          <cell r="W151">
            <v>59951368.499999993</v>
          </cell>
          <cell r="X151">
            <v>54041312.049999997</v>
          </cell>
          <cell r="Y151">
            <v>49650737.149999999</v>
          </cell>
          <cell r="Z151">
            <v>46655058.210000001</v>
          </cell>
          <cell r="AA151">
            <v>44002739.890000001</v>
          </cell>
          <cell r="AB151">
            <v>42365586.899999999</v>
          </cell>
          <cell r="AC151">
            <v>37085782.100000001</v>
          </cell>
          <cell r="AD151">
            <v>31360379.030000001</v>
          </cell>
          <cell r="AE151">
            <v>26447799.649999999</v>
          </cell>
          <cell r="AF151">
            <v>23420482.129999999</v>
          </cell>
          <cell r="AG151">
            <v>20801914.799999997</v>
          </cell>
          <cell r="AH151">
            <v>19551518.379999999</v>
          </cell>
          <cell r="AI151">
            <v>16484315.449999999</v>
          </cell>
          <cell r="AJ151">
            <v>15217857.67</v>
          </cell>
          <cell r="AK151">
            <v>12426920.369999999</v>
          </cell>
          <cell r="AL151">
            <v>11864591.74</v>
          </cell>
          <cell r="AM151">
            <v>11207438.539999999</v>
          </cell>
          <cell r="AN151">
            <v>10436606.98</v>
          </cell>
          <cell r="AO151">
            <v>9803648.7100000009</v>
          </cell>
          <cell r="AP151">
            <v>9347877.8699999992</v>
          </cell>
          <cell r="AQ151">
            <v>7338384.1799999997</v>
          </cell>
          <cell r="AR151">
            <v>6758536.7399999993</v>
          </cell>
          <cell r="AS151">
            <v>6722508.1899999995</v>
          </cell>
          <cell r="AT151">
            <v>6515328.0999999996</v>
          </cell>
          <cell r="AU151">
            <v>6250879.4800000004</v>
          </cell>
          <cell r="AV151">
            <v>5166106.24</v>
          </cell>
          <cell r="AW151">
            <v>4342215.1900000004</v>
          </cell>
          <cell r="AX151">
            <v>3370480.97</v>
          </cell>
          <cell r="AY151">
            <v>3062641.2100000004</v>
          </cell>
          <cell r="AZ151">
            <v>1439946.39</v>
          </cell>
          <cell r="BA151">
            <v>1046533.85</v>
          </cell>
          <cell r="BB151">
            <v>616593.06999999995</v>
          </cell>
          <cell r="BC151">
            <v>310103.82</v>
          </cell>
          <cell r="BD151">
            <v>239723.06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</row>
        <row r="156"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</row>
        <row r="157">
          <cell r="O157">
            <v>129021.2</v>
          </cell>
          <cell r="P157">
            <v>126139.43000000001</v>
          </cell>
          <cell r="Q157">
            <v>62107.67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</row>
        <row r="158"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</row>
        <row r="159">
          <cell r="O159">
            <v>64595</v>
          </cell>
          <cell r="P159">
            <v>64595</v>
          </cell>
          <cell r="Q159">
            <v>20186.2</v>
          </cell>
          <cell r="R159">
            <v>20186.2</v>
          </cell>
          <cell r="S159">
            <v>20186.2</v>
          </cell>
          <cell r="T159">
            <v>20186.2</v>
          </cell>
          <cell r="U159">
            <v>20186.2</v>
          </cell>
          <cell r="V159">
            <v>20186.2</v>
          </cell>
          <cell r="W159">
            <v>20186.2</v>
          </cell>
          <cell r="X159">
            <v>20186.2</v>
          </cell>
          <cell r="Y159">
            <v>20186.2</v>
          </cell>
          <cell r="Z159">
            <v>20186.2</v>
          </cell>
          <cell r="AA159">
            <v>7144.99</v>
          </cell>
          <cell r="AB159">
            <v>7144.99</v>
          </cell>
          <cell r="AC159">
            <v>7144.99</v>
          </cell>
          <cell r="AD159">
            <v>7144.99</v>
          </cell>
          <cell r="AE159">
            <v>7144.99</v>
          </cell>
          <cell r="AF159">
            <v>7144.99</v>
          </cell>
          <cell r="AG159">
            <v>7144.99</v>
          </cell>
          <cell r="AH159">
            <v>7144.99</v>
          </cell>
          <cell r="AI159">
            <v>7144.99</v>
          </cell>
          <cell r="AJ159">
            <v>7144.99</v>
          </cell>
          <cell r="AK159">
            <v>7144.99</v>
          </cell>
          <cell r="AL159">
            <v>7144.99</v>
          </cell>
          <cell r="AM159">
            <v>440.78</v>
          </cell>
          <cell r="AN159">
            <v>440.78</v>
          </cell>
          <cell r="AO159">
            <v>440.78</v>
          </cell>
          <cell r="AP159">
            <v>440.78</v>
          </cell>
          <cell r="AQ159">
            <v>440.78</v>
          </cell>
          <cell r="AR159">
            <v>440.78</v>
          </cell>
          <cell r="AS159">
            <v>440.78</v>
          </cell>
          <cell r="AT159">
            <v>440.78</v>
          </cell>
          <cell r="AU159">
            <v>440.78</v>
          </cell>
          <cell r="AV159">
            <v>440.78</v>
          </cell>
          <cell r="AW159">
            <v>440.78</v>
          </cell>
          <cell r="AX159">
            <v>440.78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</row>
        <row r="160">
          <cell r="O160">
            <v>193616.2</v>
          </cell>
          <cell r="P160">
            <v>190734.43</v>
          </cell>
          <cell r="Q160">
            <v>82293.87</v>
          </cell>
          <cell r="R160">
            <v>20186.2</v>
          </cell>
          <cell r="S160">
            <v>20186.2</v>
          </cell>
          <cell r="T160">
            <v>20186.2</v>
          </cell>
          <cell r="U160">
            <v>20186.2</v>
          </cell>
          <cell r="V160">
            <v>20186.2</v>
          </cell>
          <cell r="W160">
            <v>20186.2</v>
          </cell>
          <cell r="X160">
            <v>20186.2</v>
          </cell>
          <cell r="Y160">
            <v>20186.2</v>
          </cell>
          <cell r="Z160">
            <v>20186.2</v>
          </cell>
          <cell r="AA160">
            <v>7144.99</v>
          </cell>
          <cell r="AB160">
            <v>7144.99</v>
          </cell>
          <cell r="AC160">
            <v>7144.99</v>
          </cell>
          <cell r="AD160">
            <v>7144.99</v>
          </cell>
          <cell r="AE160">
            <v>7144.99</v>
          </cell>
          <cell r="AF160">
            <v>7144.99</v>
          </cell>
          <cell r="AG160">
            <v>7144.99</v>
          </cell>
          <cell r="AH160">
            <v>7144.99</v>
          </cell>
          <cell r="AI160">
            <v>7144.99</v>
          </cell>
          <cell r="AJ160">
            <v>7144.99</v>
          </cell>
          <cell r="AK160">
            <v>7144.99</v>
          </cell>
          <cell r="AL160">
            <v>7144.99</v>
          </cell>
          <cell r="AM160">
            <v>440.78</v>
          </cell>
          <cell r="AN160">
            <v>440.78</v>
          </cell>
          <cell r="AO160">
            <v>440.78</v>
          </cell>
          <cell r="AP160">
            <v>440.78</v>
          </cell>
          <cell r="AQ160">
            <v>440.78</v>
          </cell>
          <cell r="AR160">
            <v>440.78</v>
          </cell>
          <cell r="AS160">
            <v>440.78</v>
          </cell>
          <cell r="AT160">
            <v>440.78</v>
          </cell>
          <cell r="AU160">
            <v>440.78</v>
          </cell>
          <cell r="AV160">
            <v>440.78</v>
          </cell>
          <cell r="AW160">
            <v>440.78</v>
          </cell>
          <cell r="AX160">
            <v>440.78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</row>
        <row r="165">
          <cell r="O165">
            <v>93101175.629999995</v>
          </cell>
          <cell r="P165">
            <v>89807599.370000005</v>
          </cell>
          <cell r="Q165">
            <v>86083519.930000007</v>
          </cell>
          <cell r="R165">
            <v>80338856.760000005</v>
          </cell>
          <cell r="S165">
            <v>76537033.349999994</v>
          </cell>
          <cell r="T165">
            <v>70817410.409999996</v>
          </cell>
          <cell r="U165">
            <v>67021007.729999997</v>
          </cell>
          <cell r="V165">
            <v>63305594.029999994</v>
          </cell>
          <cell r="W165">
            <v>59951368.499999993</v>
          </cell>
          <cell r="X165">
            <v>54041312.049999997</v>
          </cell>
          <cell r="Y165">
            <v>49650737.149999999</v>
          </cell>
          <cell r="Z165">
            <v>46655058.210000001</v>
          </cell>
          <cell r="AA165">
            <v>44002739.890000001</v>
          </cell>
          <cell r="AB165">
            <v>42365586.899999999</v>
          </cell>
          <cell r="AC165">
            <v>37085782.100000001</v>
          </cell>
          <cell r="AD165">
            <v>31360379.030000001</v>
          </cell>
          <cell r="AE165">
            <v>26447799.649999999</v>
          </cell>
          <cell r="AF165">
            <v>23420482.129999999</v>
          </cell>
          <cell r="AG165">
            <v>20801914.799999997</v>
          </cell>
          <cell r="AH165">
            <v>19551518.379999999</v>
          </cell>
          <cell r="AI165">
            <v>16484315.449999999</v>
          </cell>
          <cell r="AJ165">
            <v>15217857.67</v>
          </cell>
          <cell r="AK165">
            <v>12426920.369999999</v>
          </cell>
          <cell r="AL165">
            <v>11864591.74</v>
          </cell>
          <cell r="AM165">
            <v>11207438.539999999</v>
          </cell>
          <cell r="AN165">
            <v>10436606.98</v>
          </cell>
          <cell r="AO165">
            <v>9803648.7100000009</v>
          </cell>
          <cell r="AP165">
            <v>9347877.8699999992</v>
          </cell>
          <cell r="AQ165">
            <v>7338384.1799999997</v>
          </cell>
          <cell r="AR165">
            <v>6758536.7399999993</v>
          </cell>
          <cell r="AS165">
            <v>6722508.1899999995</v>
          </cell>
          <cell r="AT165">
            <v>6515328.0999999996</v>
          </cell>
          <cell r="AU165">
            <v>6250879.4800000004</v>
          </cell>
          <cell r="AV165">
            <v>5166106.24</v>
          </cell>
          <cell r="AW165">
            <v>4342215.1900000004</v>
          </cell>
          <cell r="AX165">
            <v>3370480.97</v>
          </cell>
          <cell r="AY165">
            <v>3062641.2100000004</v>
          </cell>
          <cell r="AZ165">
            <v>1439946.39</v>
          </cell>
          <cell r="BA165">
            <v>1046533.85</v>
          </cell>
          <cell r="BB165">
            <v>616593.06999999995</v>
          </cell>
          <cell r="BC165">
            <v>310103.82</v>
          </cell>
          <cell r="BD165">
            <v>239723.06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</row>
        <row r="166">
          <cell r="O166">
            <v>67793339.459999993</v>
          </cell>
          <cell r="P166">
            <v>65684353.119999997</v>
          </cell>
          <cell r="Q166">
            <v>63491330.729999997</v>
          </cell>
          <cell r="R166">
            <v>61232111.810000002</v>
          </cell>
          <cell r="S166">
            <v>59109140.149999999</v>
          </cell>
          <cell r="T166">
            <v>56930653.5</v>
          </cell>
          <cell r="U166">
            <v>54946831.079999998</v>
          </cell>
          <cell r="V166">
            <v>52934468.310000002</v>
          </cell>
          <cell r="W166">
            <v>50860243.159999996</v>
          </cell>
          <cell r="X166">
            <v>48587461.829999998</v>
          </cell>
          <cell r="Y166">
            <v>46769511.75</v>
          </cell>
          <cell r="Z166">
            <v>45328899.049999997</v>
          </cell>
          <cell r="AA166">
            <v>24018255.899999999</v>
          </cell>
          <cell r="AB166">
            <v>22352882.23</v>
          </cell>
          <cell r="AC166">
            <v>20533545.440000001</v>
          </cell>
          <cell r="AD166">
            <v>18878321.780000001</v>
          </cell>
          <cell r="AE166">
            <v>17491426.530000001</v>
          </cell>
          <cell r="AF166">
            <v>16371879.890000001</v>
          </cell>
          <cell r="AG166">
            <v>15364936.710000001</v>
          </cell>
          <cell r="AH166">
            <v>14458773.689999999</v>
          </cell>
          <cell r="AI166">
            <v>13440224.75</v>
          </cell>
          <cell r="AJ166">
            <v>12679202.08</v>
          </cell>
          <cell r="AK166">
            <v>11832983.550000001</v>
          </cell>
          <cell r="AL166">
            <v>11536015.140000001</v>
          </cell>
          <cell r="AM166">
            <v>6947896.3399999999</v>
          </cell>
          <cell r="AN166">
            <v>6592934.4900000002</v>
          </cell>
          <cell r="AO166">
            <v>6243509.7199999997</v>
          </cell>
          <cell r="AP166">
            <v>5887495.8200000003</v>
          </cell>
          <cell r="AQ166">
            <v>5503008.9199999999</v>
          </cell>
          <cell r="AR166">
            <v>5273587.0199999996</v>
          </cell>
          <cell r="AS166">
            <v>5061451.34</v>
          </cell>
          <cell r="AT166">
            <v>4784608.53</v>
          </cell>
          <cell r="AU166">
            <v>4438464.62</v>
          </cell>
          <cell r="AV166">
            <v>3985360.9</v>
          </cell>
          <cell r="AW166">
            <v>3591779.12</v>
          </cell>
          <cell r="AX166">
            <v>3216561.09</v>
          </cell>
          <cell r="AY166">
            <v>959363.06</v>
          </cell>
          <cell r="AZ166">
            <v>608816.69999999995</v>
          </cell>
          <cell r="BA166">
            <v>442590.76</v>
          </cell>
          <cell r="BB166">
            <v>291604.99</v>
          </cell>
          <cell r="BC166">
            <v>183275.63</v>
          </cell>
          <cell r="BD166">
            <v>119861.53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</row>
        <row r="167">
          <cell r="O167">
            <v>67793339.459999993</v>
          </cell>
          <cell r="P167">
            <v>67793339.459999993</v>
          </cell>
          <cell r="Q167">
            <v>67793339.459999993</v>
          </cell>
          <cell r="R167">
            <v>67793339.459999993</v>
          </cell>
          <cell r="S167">
            <v>67793339.459999993</v>
          </cell>
          <cell r="T167">
            <v>67793339.459999993</v>
          </cell>
          <cell r="U167">
            <v>67793339.459999993</v>
          </cell>
          <cell r="V167">
            <v>67793339.459999993</v>
          </cell>
          <cell r="W167">
            <v>67793339.459999993</v>
          </cell>
          <cell r="X167">
            <v>67793339.459999993</v>
          </cell>
          <cell r="Y167">
            <v>67793339.459999993</v>
          </cell>
          <cell r="Z167">
            <v>67793339.459999993</v>
          </cell>
          <cell r="AA167">
            <v>24018255.899999999</v>
          </cell>
          <cell r="AB167">
            <v>24018255.899999999</v>
          </cell>
          <cell r="AC167">
            <v>24018255.899999999</v>
          </cell>
          <cell r="AD167">
            <v>24018255.899999999</v>
          </cell>
          <cell r="AE167">
            <v>24018255.899999999</v>
          </cell>
          <cell r="AF167">
            <v>24018255.899999999</v>
          </cell>
          <cell r="AG167">
            <v>24018255.899999999</v>
          </cell>
          <cell r="AH167">
            <v>24018255.899999999</v>
          </cell>
          <cell r="AI167">
            <v>24018255.899999999</v>
          </cell>
          <cell r="AJ167">
            <v>24018255.899999999</v>
          </cell>
          <cell r="AK167">
            <v>24018255.899999999</v>
          </cell>
          <cell r="AL167">
            <v>24018255.899999999</v>
          </cell>
          <cell r="AM167">
            <v>6947896.3399999999</v>
          </cell>
          <cell r="AN167">
            <v>6947896.3399999999</v>
          </cell>
          <cell r="AO167">
            <v>6947896.3399999999</v>
          </cell>
          <cell r="AP167">
            <v>6947896.3399999999</v>
          </cell>
          <cell r="AQ167">
            <v>6947896.3399999999</v>
          </cell>
          <cell r="AR167">
            <v>6947896.3399999999</v>
          </cell>
          <cell r="AS167">
            <v>6947896.3399999999</v>
          </cell>
          <cell r="AT167">
            <v>6947896.3399999999</v>
          </cell>
          <cell r="AU167">
            <v>6947896.3399999999</v>
          </cell>
          <cell r="AV167">
            <v>6947896.3399999999</v>
          </cell>
          <cell r="AW167">
            <v>6947896.3399999999</v>
          </cell>
          <cell r="AX167">
            <v>6947896.3399999999</v>
          </cell>
          <cell r="AY167">
            <v>959363.06</v>
          </cell>
          <cell r="AZ167">
            <v>959363.06</v>
          </cell>
          <cell r="BA167">
            <v>959363.06</v>
          </cell>
          <cell r="BB167">
            <v>959363.06</v>
          </cell>
          <cell r="BC167">
            <v>959363.06</v>
          </cell>
          <cell r="BD167">
            <v>959363.06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</row>
        <row r="168">
          <cell r="O168">
            <v>5649444.96</v>
          </cell>
          <cell r="P168">
            <v>5649444.96</v>
          </cell>
          <cell r="Q168">
            <v>5649444.96</v>
          </cell>
          <cell r="R168">
            <v>5649444.96</v>
          </cell>
          <cell r="S168">
            <v>5649444.96</v>
          </cell>
          <cell r="T168">
            <v>5649444.96</v>
          </cell>
          <cell r="U168">
            <v>5649444.96</v>
          </cell>
          <cell r="V168">
            <v>5649444.96</v>
          </cell>
          <cell r="W168">
            <v>5649444.96</v>
          </cell>
          <cell r="X168">
            <v>5649444.96</v>
          </cell>
          <cell r="Y168">
            <v>5649444.96</v>
          </cell>
          <cell r="Z168">
            <v>5649444.96</v>
          </cell>
          <cell r="AA168">
            <v>2001521.33</v>
          </cell>
          <cell r="AB168">
            <v>2001521.33</v>
          </cell>
          <cell r="AC168">
            <v>2001521.33</v>
          </cell>
          <cell r="AD168">
            <v>2001521.33</v>
          </cell>
          <cell r="AE168">
            <v>2001521.33</v>
          </cell>
          <cell r="AF168">
            <v>2001521.33</v>
          </cell>
          <cell r="AG168">
            <v>2001521.33</v>
          </cell>
          <cell r="AH168">
            <v>2001521.33</v>
          </cell>
          <cell r="AI168">
            <v>2001521.33</v>
          </cell>
          <cell r="AJ168">
            <v>2001521.33</v>
          </cell>
          <cell r="AK168">
            <v>2001521.33</v>
          </cell>
          <cell r="AL168">
            <v>2001521.33</v>
          </cell>
          <cell r="AM168">
            <v>578991.35999999999</v>
          </cell>
          <cell r="AN168">
            <v>578991.35999999999</v>
          </cell>
          <cell r="AO168">
            <v>578991.35999999999</v>
          </cell>
          <cell r="AP168">
            <v>578991.35999999999</v>
          </cell>
          <cell r="AQ168">
            <v>578991.35999999999</v>
          </cell>
          <cell r="AR168">
            <v>578991.35999999999</v>
          </cell>
          <cell r="AS168">
            <v>578991.35999999999</v>
          </cell>
          <cell r="AT168">
            <v>578991.35999999999</v>
          </cell>
          <cell r="AU168">
            <v>578991.35999999999</v>
          </cell>
          <cell r="AV168">
            <v>578991.35999999999</v>
          </cell>
          <cell r="AW168">
            <v>578991.35999999999</v>
          </cell>
          <cell r="AX168">
            <v>578991.35999999999</v>
          </cell>
          <cell r="AY168">
            <v>79946.92</v>
          </cell>
          <cell r="AZ168">
            <v>79946.92</v>
          </cell>
          <cell r="BA168">
            <v>79946.92</v>
          </cell>
          <cell r="BB168">
            <v>79946.92</v>
          </cell>
          <cell r="BC168">
            <v>79946.92</v>
          </cell>
          <cell r="BD168">
            <v>79946.92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</row>
        <row r="169">
          <cell r="O169">
            <v>8.9200000000000002E-2</v>
          </cell>
          <cell r="P169">
            <v>8.9200000000000002E-2</v>
          </cell>
          <cell r="Q169">
            <v>8.9200000000000002E-2</v>
          </cell>
          <cell r="R169">
            <v>8.9200000000000002E-2</v>
          </cell>
          <cell r="S169">
            <v>8.9200000000000002E-2</v>
          </cell>
          <cell r="T169">
            <v>8.9200000000000002E-2</v>
          </cell>
          <cell r="U169">
            <v>8.9200000000000002E-2</v>
          </cell>
          <cell r="V169">
            <v>8.9200000000000002E-2</v>
          </cell>
          <cell r="W169">
            <v>8.9200000000000002E-2</v>
          </cell>
          <cell r="X169">
            <v>8.9200000000000002E-2</v>
          </cell>
          <cell r="Y169">
            <v>8.9200000000000002E-2</v>
          </cell>
          <cell r="Z169">
            <v>8.9200000000000002E-2</v>
          </cell>
          <cell r="AA169">
            <v>8.9200000000000002E-2</v>
          </cell>
          <cell r="AB169">
            <v>8.9200000000000002E-2</v>
          </cell>
          <cell r="AC169">
            <v>8.9200000000000002E-2</v>
          </cell>
          <cell r="AD169">
            <v>8.9200000000000002E-2</v>
          </cell>
          <cell r="AE169">
            <v>8.9200000000000002E-2</v>
          </cell>
          <cell r="AF169">
            <v>8.9200000000000002E-2</v>
          </cell>
          <cell r="AG169">
            <v>8.9200000000000002E-2</v>
          </cell>
          <cell r="AH169">
            <v>8.9200000000000002E-2</v>
          </cell>
          <cell r="AI169">
            <v>8.6800000000000002E-2</v>
          </cell>
          <cell r="AJ169">
            <v>8.6800000000000002E-2</v>
          </cell>
          <cell r="AK169">
            <v>8.6800000000000002E-2</v>
          </cell>
          <cell r="AL169">
            <v>8.6800000000000002E-2</v>
          </cell>
          <cell r="AM169">
            <v>8.6800000000000002E-2</v>
          </cell>
          <cell r="AN169">
            <v>8.6800000000000002E-2</v>
          </cell>
          <cell r="AO169">
            <v>8.6800000000000002E-2</v>
          </cell>
          <cell r="AP169">
            <v>8.6800000000000002E-2</v>
          </cell>
          <cell r="AQ169">
            <v>8.6800000000000002E-2</v>
          </cell>
          <cell r="AR169">
            <v>8.6800000000000002E-2</v>
          </cell>
          <cell r="AS169">
            <v>8.6800000000000002E-2</v>
          </cell>
          <cell r="AT169">
            <v>8.6800000000000002E-2</v>
          </cell>
          <cell r="AU169">
            <v>8.6800000000000002E-2</v>
          </cell>
          <cell r="AV169">
            <v>8.6800000000000002E-2</v>
          </cell>
          <cell r="AW169">
            <v>8.6800000000000002E-2</v>
          </cell>
          <cell r="AX169">
            <v>8.6800000000000002E-2</v>
          </cell>
          <cell r="AY169">
            <v>0.10249999999999999</v>
          </cell>
          <cell r="AZ169">
            <v>0.10249999999999999</v>
          </cell>
          <cell r="BA169">
            <v>0.10249999999999999</v>
          </cell>
          <cell r="BB169">
            <v>0.10249999999999999</v>
          </cell>
          <cell r="BC169">
            <v>0.10249999999999999</v>
          </cell>
          <cell r="BD169">
            <v>0.10249999999999999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</row>
        <row r="170">
          <cell r="O170">
            <v>503930.49</v>
          </cell>
          <cell r="P170">
            <v>503930.49</v>
          </cell>
          <cell r="Q170">
            <v>503930.49</v>
          </cell>
          <cell r="R170">
            <v>503930.49</v>
          </cell>
          <cell r="S170">
            <v>503930.49</v>
          </cell>
          <cell r="T170">
            <v>503930.49</v>
          </cell>
          <cell r="U170">
            <v>503930.49</v>
          </cell>
          <cell r="V170">
            <v>503930.49</v>
          </cell>
          <cell r="W170">
            <v>503930.49</v>
          </cell>
          <cell r="X170">
            <v>503930.49</v>
          </cell>
          <cell r="Y170">
            <v>503930.49</v>
          </cell>
          <cell r="Z170">
            <v>503930.49</v>
          </cell>
          <cell r="AA170">
            <v>178535.7</v>
          </cell>
          <cell r="AB170">
            <v>178535.7</v>
          </cell>
          <cell r="AC170">
            <v>178535.7</v>
          </cell>
          <cell r="AD170">
            <v>178535.7</v>
          </cell>
          <cell r="AE170">
            <v>178535.7</v>
          </cell>
          <cell r="AF170">
            <v>178535.7</v>
          </cell>
          <cell r="AG170">
            <v>178535.7</v>
          </cell>
          <cell r="AH170">
            <v>178535.7</v>
          </cell>
          <cell r="AI170">
            <v>173732.05</v>
          </cell>
          <cell r="AJ170">
            <v>173732.05</v>
          </cell>
          <cell r="AK170">
            <v>173732.05</v>
          </cell>
          <cell r="AL170">
            <v>173732.05</v>
          </cell>
          <cell r="AM170">
            <v>50256.45</v>
          </cell>
          <cell r="AN170">
            <v>50256.45</v>
          </cell>
          <cell r="AO170">
            <v>50256.45</v>
          </cell>
          <cell r="AP170">
            <v>50256.45</v>
          </cell>
          <cell r="AQ170">
            <v>50256.45</v>
          </cell>
          <cell r="AR170">
            <v>50256.45</v>
          </cell>
          <cell r="AS170">
            <v>50256.45</v>
          </cell>
          <cell r="AT170">
            <v>50256.45</v>
          </cell>
          <cell r="AU170">
            <v>50256.45</v>
          </cell>
          <cell r="AV170">
            <v>50256.45</v>
          </cell>
          <cell r="AW170">
            <v>50256.45</v>
          </cell>
          <cell r="AX170">
            <v>50256.45</v>
          </cell>
          <cell r="AY170">
            <v>8194.56</v>
          </cell>
          <cell r="AZ170">
            <v>8194.56</v>
          </cell>
          <cell r="BA170">
            <v>8194.56</v>
          </cell>
          <cell r="BB170">
            <v>8194.56</v>
          </cell>
          <cell r="BC170">
            <v>8194.56</v>
          </cell>
          <cell r="BD170">
            <v>8194.56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</row>
        <row r="171">
          <cell r="O171">
            <v>193616.2</v>
          </cell>
          <cell r="P171">
            <v>190734.43</v>
          </cell>
          <cell r="Q171">
            <v>82293.87</v>
          </cell>
          <cell r="R171">
            <v>20186.2</v>
          </cell>
          <cell r="S171">
            <v>20186.2</v>
          </cell>
          <cell r="T171">
            <v>20186.2</v>
          </cell>
          <cell r="U171">
            <v>20186.2</v>
          </cell>
          <cell r="V171">
            <v>20186.2</v>
          </cell>
          <cell r="W171">
            <v>20186.2</v>
          </cell>
          <cell r="X171">
            <v>20186.2</v>
          </cell>
          <cell r="Y171">
            <v>20186.2</v>
          </cell>
          <cell r="Z171">
            <v>20186.2</v>
          </cell>
          <cell r="AA171">
            <v>7144.99</v>
          </cell>
          <cell r="AB171">
            <v>7144.99</v>
          </cell>
          <cell r="AC171">
            <v>7144.99</v>
          </cell>
          <cell r="AD171">
            <v>7144.99</v>
          </cell>
          <cell r="AE171">
            <v>7144.99</v>
          </cell>
          <cell r="AF171">
            <v>7144.99</v>
          </cell>
          <cell r="AG171">
            <v>7144.99</v>
          </cell>
          <cell r="AH171">
            <v>7144.99</v>
          </cell>
          <cell r="AI171">
            <v>7144.99</v>
          </cell>
          <cell r="AJ171">
            <v>7144.99</v>
          </cell>
          <cell r="AK171">
            <v>7144.99</v>
          </cell>
          <cell r="AL171">
            <v>7144.99</v>
          </cell>
          <cell r="AM171">
            <v>440.78</v>
          </cell>
          <cell r="AN171">
            <v>440.78</v>
          </cell>
          <cell r="AO171">
            <v>440.78</v>
          </cell>
          <cell r="AP171">
            <v>440.78</v>
          </cell>
          <cell r="AQ171">
            <v>440.78</v>
          </cell>
          <cell r="AR171">
            <v>440.78</v>
          </cell>
          <cell r="AS171">
            <v>440.78</v>
          </cell>
          <cell r="AT171">
            <v>440.78</v>
          </cell>
          <cell r="AU171">
            <v>440.78</v>
          </cell>
          <cell r="AV171">
            <v>440.78</v>
          </cell>
          <cell r="AW171">
            <v>440.78</v>
          </cell>
          <cell r="AX171">
            <v>440.78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</row>
        <row r="172">
          <cell r="O172">
            <v>697546.69</v>
          </cell>
          <cell r="P172">
            <v>694664.91999999993</v>
          </cell>
          <cell r="Q172">
            <v>586224.36</v>
          </cell>
          <cell r="R172">
            <v>524116.69</v>
          </cell>
          <cell r="S172">
            <v>524116.69</v>
          </cell>
          <cell r="T172">
            <v>524116.69</v>
          </cell>
          <cell r="U172">
            <v>524116.69</v>
          </cell>
          <cell r="V172">
            <v>524116.69</v>
          </cell>
          <cell r="W172">
            <v>524116.69</v>
          </cell>
          <cell r="X172">
            <v>524116.69</v>
          </cell>
          <cell r="Y172">
            <v>524116.69</v>
          </cell>
          <cell r="Z172">
            <v>524116.69</v>
          </cell>
          <cell r="AA172">
            <v>185680.69</v>
          </cell>
          <cell r="AB172">
            <v>185680.69</v>
          </cell>
          <cell r="AC172">
            <v>185680.69</v>
          </cell>
          <cell r="AD172">
            <v>185680.69</v>
          </cell>
          <cell r="AE172">
            <v>185680.69</v>
          </cell>
          <cell r="AF172">
            <v>185680.69</v>
          </cell>
          <cell r="AG172">
            <v>185680.69</v>
          </cell>
          <cell r="AH172">
            <v>185680.69</v>
          </cell>
          <cell r="AI172">
            <v>180877.03999999998</v>
          </cell>
          <cell r="AJ172">
            <v>180877.03999999998</v>
          </cell>
          <cell r="AK172">
            <v>180877.03999999998</v>
          </cell>
          <cell r="AL172">
            <v>180877.03999999998</v>
          </cell>
          <cell r="AM172">
            <v>50697.229999999996</v>
          </cell>
          <cell r="AN172">
            <v>50697.229999999996</v>
          </cell>
          <cell r="AO172">
            <v>50697.229999999996</v>
          </cell>
          <cell r="AP172">
            <v>50697.229999999996</v>
          </cell>
          <cell r="AQ172">
            <v>50697.229999999996</v>
          </cell>
          <cell r="AR172">
            <v>50697.229999999996</v>
          </cell>
          <cell r="AS172">
            <v>50697.229999999996</v>
          </cell>
          <cell r="AT172">
            <v>50697.229999999996</v>
          </cell>
          <cell r="AU172">
            <v>50697.229999999996</v>
          </cell>
          <cell r="AV172">
            <v>50697.229999999996</v>
          </cell>
          <cell r="AW172">
            <v>50697.229999999996</v>
          </cell>
          <cell r="AX172">
            <v>50697.229999999996</v>
          </cell>
          <cell r="AY172">
            <v>8194.56</v>
          </cell>
          <cell r="AZ172">
            <v>8194.56</v>
          </cell>
          <cell r="BA172">
            <v>8194.56</v>
          </cell>
          <cell r="BB172">
            <v>8194.56</v>
          </cell>
          <cell r="BC172">
            <v>8194.56</v>
          </cell>
          <cell r="BD172">
            <v>8194.56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</row>
        <row r="173">
          <cell r="O173">
            <v>4131.8500000000004</v>
          </cell>
          <cell r="P173">
            <v>4131.8500000000004</v>
          </cell>
          <cell r="Q173">
            <v>4131.8500000000004</v>
          </cell>
          <cell r="R173">
            <v>4131.8500000000004</v>
          </cell>
          <cell r="S173">
            <v>4131.8500000000004</v>
          </cell>
          <cell r="T173">
            <v>4131.8500000000004</v>
          </cell>
          <cell r="U173">
            <v>4131.8500000000004</v>
          </cell>
          <cell r="V173">
            <v>-9275.58</v>
          </cell>
          <cell r="W173">
            <v>-22683.14</v>
          </cell>
          <cell r="X173">
            <v>-22683.14</v>
          </cell>
          <cell r="Y173">
            <v>-22683.14</v>
          </cell>
          <cell r="Z173">
            <v>-22683.14</v>
          </cell>
          <cell r="AA173">
            <v>-22683.14</v>
          </cell>
          <cell r="AB173">
            <v>-22683.14</v>
          </cell>
          <cell r="AC173">
            <v>-22683.14</v>
          </cell>
          <cell r="AD173">
            <v>-22683.14</v>
          </cell>
          <cell r="AE173">
            <v>-22683.14</v>
          </cell>
          <cell r="AF173">
            <v>-22683.14</v>
          </cell>
          <cell r="AG173">
            <v>-22683.14</v>
          </cell>
          <cell r="AH173">
            <v>-12425.76</v>
          </cell>
          <cell r="AI173">
            <v>-2168.41</v>
          </cell>
          <cell r="AJ173">
            <v>-2168.41</v>
          </cell>
          <cell r="AK173">
            <v>-2168.41</v>
          </cell>
          <cell r="AL173">
            <v>-2168.41</v>
          </cell>
          <cell r="AM173">
            <v>-2168.41</v>
          </cell>
          <cell r="AN173">
            <v>-2168.41</v>
          </cell>
          <cell r="AO173">
            <v>-2168.41</v>
          </cell>
          <cell r="AP173">
            <v>-2168.41</v>
          </cell>
          <cell r="AQ173">
            <v>-2168.41</v>
          </cell>
          <cell r="AR173">
            <v>-2168.41</v>
          </cell>
          <cell r="AS173">
            <v>-2168.41</v>
          </cell>
          <cell r="AT173">
            <v>-1084.2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</row>
        <row r="174">
          <cell r="O174">
            <v>701678.53999999992</v>
          </cell>
          <cell r="P174">
            <v>698796.7699999999</v>
          </cell>
          <cell r="Q174">
            <v>590356.21</v>
          </cell>
          <cell r="R174">
            <v>528248.54</v>
          </cell>
          <cell r="S174">
            <v>528248.54</v>
          </cell>
          <cell r="T174">
            <v>528248.54</v>
          </cell>
          <cell r="U174">
            <v>528248.54</v>
          </cell>
          <cell r="V174">
            <v>514841.11</v>
          </cell>
          <cell r="W174">
            <v>501433.55</v>
          </cell>
          <cell r="X174">
            <v>501433.55</v>
          </cell>
          <cell r="Y174">
            <v>501433.55</v>
          </cell>
          <cell r="Z174">
            <v>501433.55</v>
          </cell>
          <cell r="AA174">
            <v>162997.54999999999</v>
          </cell>
          <cell r="AB174">
            <v>162997.54999999999</v>
          </cell>
          <cell r="AC174">
            <v>162997.54999999999</v>
          </cell>
          <cell r="AD174">
            <v>162997.54999999999</v>
          </cell>
          <cell r="AE174">
            <v>162997.54999999999</v>
          </cell>
          <cell r="AF174">
            <v>162997.54999999999</v>
          </cell>
          <cell r="AG174">
            <v>162997.54999999999</v>
          </cell>
          <cell r="AH174">
            <v>173254.93</v>
          </cell>
          <cell r="AI174">
            <v>178708.62999999998</v>
          </cell>
          <cell r="AJ174">
            <v>178708.62999999998</v>
          </cell>
          <cell r="AK174">
            <v>178708.62999999998</v>
          </cell>
          <cell r="AL174">
            <v>178708.62999999998</v>
          </cell>
          <cell r="AM174">
            <v>48528.819999999992</v>
          </cell>
          <cell r="AN174">
            <v>48528.819999999992</v>
          </cell>
          <cell r="AO174">
            <v>48528.819999999992</v>
          </cell>
          <cell r="AP174">
            <v>48528.819999999992</v>
          </cell>
          <cell r="AQ174">
            <v>48528.819999999992</v>
          </cell>
          <cell r="AR174">
            <v>48528.819999999992</v>
          </cell>
          <cell r="AS174">
            <v>48528.819999999992</v>
          </cell>
          <cell r="AT174">
            <v>49613.03</v>
          </cell>
          <cell r="AU174">
            <v>50697.229999999996</v>
          </cell>
          <cell r="AV174">
            <v>50697.229999999996</v>
          </cell>
          <cell r="AW174">
            <v>50697.229999999996</v>
          </cell>
          <cell r="AX174">
            <v>50697.229999999996</v>
          </cell>
          <cell r="AY174">
            <v>8194.56</v>
          </cell>
          <cell r="AZ174">
            <v>8194.56</v>
          </cell>
          <cell r="BA174">
            <v>8194.56</v>
          </cell>
          <cell r="BB174">
            <v>8194.56</v>
          </cell>
          <cell r="BC174">
            <v>8194.56</v>
          </cell>
          <cell r="BD174">
            <v>8194.56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</row>
        <row r="179">
          <cell r="O179">
            <v>697546.69</v>
          </cell>
          <cell r="P179">
            <v>694664.91999999993</v>
          </cell>
          <cell r="Q179">
            <v>586224.36</v>
          </cell>
          <cell r="R179">
            <v>524116.69</v>
          </cell>
          <cell r="S179">
            <v>524116.69</v>
          </cell>
          <cell r="T179">
            <v>524116.69</v>
          </cell>
          <cell r="U179">
            <v>524116.69</v>
          </cell>
          <cell r="V179">
            <v>524116.69</v>
          </cell>
          <cell r="W179">
            <v>524116.69</v>
          </cell>
          <cell r="X179">
            <v>524116.69</v>
          </cell>
          <cell r="Y179">
            <v>524116.69</v>
          </cell>
          <cell r="Z179">
            <v>524116.69</v>
          </cell>
          <cell r="AA179">
            <v>185680.69</v>
          </cell>
          <cell r="AB179">
            <v>185680.69</v>
          </cell>
          <cell r="AC179">
            <v>185680.69</v>
          </cell>
          <cell r="AD179">
            <v>185680.69</v>
          </cell>
          <cell r="AE179">
            <v>185680.69</v>
          </cell>
          <cell r="AF179">
            <v>185680.69</v>
          </cell>
          <cell r="AG179">
            <v>185680.69</v>
          </cell>
          <cell r="AH179">
            <v>185680.69</v>
          </cell>
          <cell r="AI179">
            <v>180877.03999999998</v>
          </cell>
          <cell r="AJ179">
            <v>180877.03999999998</v>
          </cell>
          <cell r="AK179">
            <v>180877.03999999998</v>
          </cell>
          <cell r="AL179">
            <v>180877.03999999998</v>
          </cell>
          <cell r="AM179">
            <v>50697.229999999996</v>
          </cell>
          <cell r="AN179">
            <v>50697.229999999996</v>
          </cell>
          <cell r="AO179">
            <v>50697.229999999996</v>
          </cell>
          <cell r="AP179">
            <v>50697.229999999996</v>
          </cell>
          <cell r="AQ179">
            <v>50697.229999999996</v>
          </cell>
          <cell r="AR179">
            <v>50697.229999999996</v>
          </cell>
          <cell r="AS179">
            <v>50697.229999999996</v>
          </cell>
          <cell r="AT179">
            <v>50697.229999999996</v>
          </cell>
          <cell r="AU179">
            <v>50697.229999999996</v>
          </cell>
          <cell r="AV179">
            <v>50697.229999999996</v>
          </cell>
          <cell r="AW179">
            <v>50697.229999999996</v>
          </cell>
          <cell r="AX179">
            <v>50697.229999999996</v>
          </cell>
          <cell r="AY179">
            <v>8194.56</v>
          </cell>
          <cell r="AZ179">
            <v>8194.56</v>
          </cell>
          <cell r="BA179">
            <v>8194.56</v>
          </cell>
          <cell r="BB179">
            <v>8194.56</v>
          </cell>
          <cell r="BC179">
            <v>8194.56</v>
          </cell>
          <cell r="BD179">
            <v>8194.56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</row>
        <row r="180">
          <cell r="O180">
            <v>4131.8500000000004</v>
          </cell>
          <cell r="P180">
            <v>4131.8500000000004</v>
          </cell>
          <cell r="Q180">
            <v>4131.8500000000004</v>
          </cell>
          <cell r="R180">
            <v>4131.8500000000004</v>
          </cell>
          <cell r="S180">
            <v>4131.8500000000004</v>
          </cell>
          <cell r="T180">
            <v>4131.8500000000004</v>
          </cell>
          <cell r="U180">
            <v>4131.8500000000004</v>
          </cell>
          <cell r="V180">
            <v>-9275.58</v>
          </cell>
          <cell r="W180">
            <v>-22683.14</v>
          </cell>
          <cell r="X180">
            <v>-22683.14</v>
          </cell>
          <cell r="Y180">
            <v>-22683.14</v>
          </cell>
          <cell r="Z180">
            <v>-22683.14</v>
          </cell>
          <cell r="AA180">
            <v>-22683.14</v>
          </cell>
          <cell r="AB180">
            <v>-22683.14</v>
          </cell>
          <cell r="AC180">
            <v>-22683.14</v>
          </cell>
          <cell r="AD180">
            <v>-22683.14</v>
          </cell>
          <cell r="AE180">
            <v>-22683.14</v>
          </cell>
          <cell r="AF180">
            <v>-22683.14</v>
          </cell>
          <cell r="AG180">
            <v>-22683.14</v>
          </cell>
          <cell r="AH180">
            <v>-12425.76</v>
          </cell>
          <cell r="AI180">
            <v>-2168.41</v>
          </cell>
          <cell r="AJ180">
            <v>-2168.41</v>
          </cell>
          <cell r="AK180">
            <v>-2168.41</v>
          </cell>
          <cell r="AL180">
            <v>-2168.41</v>
          </cell>
          <cell r="AM180">
            <v>-2168.41</v>
          </cell>
          <cell r="AN180">
            <v>-2168.41</v>
          </cell>
          <cell r="AO180">
            <v>-2168.41</v>
          </cell>
          <cell r="AP180">
            <v>-2168.41</v>
          </cell>
          <cell r="AQ180">
            <v>-2168.41</v>
          </cell>
          <cell r="AR180">
            <v>-2168.41</v>
          </cell>
          <cell r="AS180">
            <v>-2168.41</v>
          </cell>
          <cell r="AT180">
            <v>-1084.2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</row>
        <row r="181"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</row>
        <row r="182">
          <cell r="O182">
            <v>701678.53999999992</v>
          </cell>
          <cell r="P182">
            <v>698796.7699999999</v>
          </cell>
          <cell r="Q182">
            <v>590356.21</v>
          </cell>
          <cell r="R182">
            <v>528248.54</v>
          </cell>
          <cell r="S182">
            <v>528248.54</v>
          </cell>
          <cell r="T182">
            <v>528248.54</v>
          </cell>
          <cell r="U182">
            <v>528248.54</v>
          </cell>
          <cell r="V182">
            <v>514841.11</v>
          </cell>
          <cell r="W182">
            <v>501433.55</v>
          </cell>
          <cell r="X182">
            <v>501433.55</v>
          </cell>
          <cell r="Y182">
            <v>501433.55</v>
          </cell>
          <cell r="Z182">
            <v>501433.55</v>
          </cell>
          <cell r="AA182">
            <v>162997.54999999999</v>
          </cell>
          <cell r="AB182">
            <v>162997.54999999999</v>
          </cell>
          <cell r="AC182">
            <v>162997.54999999999</v>
          </cell>
          <cell r="AD182">
            <v>162997.54999999999</v>
          </cell>
          <cell r="AE182">
            <v>162997.54999999999</v>
          </cell>
          <cell r="AF182">
            <v>162997.54999999999</v>
          </cell>
          <cell r="AG182">
            <v>162997.54999999999</v>
          </cell>
          <cell r="AH182">
            <v>173254.93</v>
          </cell>
          <cell r="AI182">
            <v>178708.62999999998</v>
          </cell>
          <cell r="AJ182">
            <v>178708.62999999998</v>
          </cell>
          <cell r="AK182">
            <v>178708.62999999998</v>
          </cell>
          <cell r="AL182">
            <v>178708.62999999998</v>
          </cell>
          <cell r="AM182">
            <v>48528.819999999992</v>
          </cell>
          <cell r="AN182">
            <v>48528.819999999992</v>
          </cell>
          <cell r="AO182">
            <v>48528.819999999992</v>
          </cell>
          <cell r="AP182">
            <v>48528.819999999992</v>
          </cell>
          <cell r="AQ182">
            <v>48528.819999999992</v>
          </cell>
          <cell r="AR182">
            <v>48528.819999999992</v>
          </cell>
          <cell r="AS182">
            <v>48528.819999999992</v>
          </cell>
          <cell r="AT182">
            <v>49613.03</v>
          </cell>
          <cell r="AU182">
            <v>50697.229999999996</v>
          </cell>
          <cell r="AV182">
            <v>50697.229999999996</v>
          </cell>
          <cell r="AW182">
            <v>50697.229999999996</v>
          </cell>
          <cell r="AX182">
            <v>50697.229999999996</v>
          </cell>
          <cell r="AY182">
            <v>8194.56</v>
          </cell>
          <cell r="AZ182">
            <v>8194.56</v>
          </cell>
          <cell r="BA182">
            <v>8194.56</v>
          </cell>
          <cell r="BB182">
            <v>8194.56</v>
          </cell>
          <cell r="BC182">
            <v>8194.56</v>
          </cell>
          <cell r="BD182">
            <v>8194.56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O183">
            <v>886245.7</v>
          </cell>
          <cell r="P183">
            <v>433856.73</v>
          </cell>
          <cell r="Q183">
            <v>213508.01</v>
          </cell>
          <cell r="R183">
            <v>152487.04999999999</v>
          </cell>
          <cell r="S183">
            <v>141232.91</v>
          </cell>
          <cell r="T183">
            <v>156046.72</v>
          </cell>
          <cell r="U183">
            <v>211717.39</v>
          </cell>
          <cell r="V183">
            <v>239424.18</v>
          </cell>
          <cell r="W183">
            <v>189260.68</v>
          </cell>
          <cell r="X183">
            <v>329405.12</v>
          </cell>
          <cell r="Y183">
            <v>387140.63</v>
          </cell>
          <cell r="Z183">
            <v>367512.91</v>
          </cell>
          <cell r="AA183">
            <v>387771.52</v>
          </cell>
          <cell r="AB183">
            <v>198430.59</v>
          </cell>
          <cell r="AC183">
            <v>66507.240000000005</v>
          </cell>
          <cell r="AD183">
            <v>53163.53</v>
          </cell>
          <cell r="AE183">
            <v>51313.49</v>
          </cell>
          <cell r="AF183">
            <v>56690.05</v>
          </cell>
          <cell r="AG183">
            <v>66586.100000000006</v>
          </cell>
          <cell r="AH183">
            <v>82521.47</v>
          </cell>
          <cell r="AI183">
            <v>141425.26999999999</v>
          </cell>
          <cell r="AJ183">
            <v>249416.33</v>
          </cell>
          <cell r="AK183">
            <v>300883.21000000002</v>
          </cell>
          <cell r="AL183">
            <v>267589.3</v>
          </cell>
          <cell r="AM183">
            <v>244463.1</v>
          </cell>
          <cell r="AN183">
            <v>141099.22</v>
          </cell>
          <cell r="AO183">
            <v>55248.75</v>
          </cell>
          <cell r="AP183">
            <v>36565.050000000003</v>
          </cell>
          <cell r="AQ183">
            <v>35257.42</v>
          </cell>
          <cell r="AR183">
            <v>36983.040000000001</v>
          </cell>
          <cell r="AS183">
            <v>41772.15</v>
          </cell>
          <cell r="AT183">
            <v>39586.54</v>
          </cell>
          <cell r="AU183">
            <v>21387.53</v>
          </cell>
          <cell r="AV183">
            <v>22240.87</v>
          </cell>
          <cell r="AW183">
            <v>32649.41</v>
          </cell>
          <cell r="AX183">
            <v>43434.23</v>
          </cell>
          <cell r="AY183">
            <v>25309.47</v>
          </cell>
          <cell r="AZ183">
            <v>13275.96</v>
          </cell>
          <cell r="BA183">
            <v>4774.3500000000004</v>
          </cell>
          <cell r="BB183">
            <v>4490.41</v>
          </cell>
          <cell r="BC183">
            <v>3692.55</v>
          </cell>
          <cell r="BD183">
            <v>2089.52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</row>
        <row r="184">
          <cell r="O184">
            <v>324932</v>
          </cell>
          <cell r="P184">
            <v>163837</v>
          </cell>
          <cell r="Q184">
            <v>122966</v>
          </cell>
          <cell r="R184">
            <v>12450</v>
          </cell>
          <cell r="S184">
            <v>11255</v>
          </cell>
          <cell r="T184">
            <v>-7541</v>
          </cell>
          <cell r="U184">
            <v>-45926.62</v>
          </cell>
          <cell r="V184">
            <v>45310.62</v>
          </cell>
          <cell r="W184">
            <v>-36603</v>
          </cell>
          <cell r="X184">
            <v>-110282</v>
          </cell>
          <cell r="Y184">
            <v>6982</v>
          </cell>
          <cell r="Z184">
            <v>33799</v>
          </cell>
          <cell r="AA184">
            <v>-14287</v>
          </cell>
          <cell r="AB184">
            <v>128637</v>
          </cell>
          <cell r="AC184">
            <v>44389</v>
          </cell>
          <cell r="AD184">
            <v>2955</v>
          </cell>
          <cell r="AE184">
            <v>3532</v>
          </cell>
          <cell r="AF184">
            <v>-3521</v>
          </cell>
          <cell r="AG184">
            <v>-5541</v>
          </cell>
          <cell r="AH184">
            <v>-7132</v>
          </cell>
          <cell r="AI184">
            <v>-60509</v>
          </cell>
          <cell r="AJ184">
            <v>-19698</v>
          </cell>
          <cell r="AK184">
            <v>-71983</v>
          </cell>
          <cell r="AL184">
            <v>60350</v>
          </cell>
          <cell r="AM184">
            <v>2715</v>
          </cell>
          <cell r="AN184">
            <v>76184</v>
          </cell>
          <cell r="AO184">
            <v>32129</v>
          </cell>
          <cell r="AP184">
            <v>7131</v>
          </cell>
          <cell r="AQ184">
            <v>1305</v>
          </cell>
          <cell r="AR184">
            <v>-2307</v>
          </cell>
          <cell r="AS184">
            <v>-4350</v>
          </cell>
          <cell r="AT184">
            <v>14908</v>
          </cell>
          <cell r="AU184">
            <v>-5069</v>
          </cell>
          <cell r="AV184">
            <v>3091</v>
          </cell>
          <cell r="AW184">
            <v>-10155</v>
          </cell>
          <cell r="AX184">
            <v>-1968</v>
          </cell>
          <cell r="AY184">
            <v>10038</v>
          </cell>
          <cell r="AZ184">
            <v>6138</v>
          </cell>
          <cell r="BA184">
            <v>3077</v>
          </cell>
          <cell r="BB184">
            <v>211</v>
          </cell>
          <cell r="BC184">
            <v>92</v>
          </cell>
          <cell r="BD184">
            <v>2000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5">
          <cell r="O185">
            <v>-509499.16000000003</v>
          </cell>
          <cell r="P185">
            <v>101103.03999999992</v>
          </cell>
          <cell r="Q185">
            <v>253882.19999999995</v>
          </cell>
          <cell r="R185">
            <v>363311.49000000005</v>
          </cell>
          <cell r="S185">
            <v>375760.63</v>
          </cell>
          <cell r="T185">
            <v>379742.82000000007</v>
          </cell>
          <cell r="U185">
            <v>362457.77</v>
          </cell>
          <cell r="V185">
            <v>230106.31</v>
          </cell>
          <cell r="W185">
            <v>348775.87</v>
          </cell>
          <cell r="X185">
            <v>282310.43</v>
          </cell>
          <cell r="Y185">
            <v>107310.91999999998</v>
          </cell>
          <cell r="Z185">
            <v>100121.64000000001</v>
          </cell>
          <cell r="AA185">
            <v>-210486.97000000003</v>
          </cell>
          <cell r="AB185">
            <v>-164070.03999999998</v>
          </cell>
          <cell r="AC185">
            <v>52101.309999999983</v>
          </cell>
          <cell r="AD185">
            <v>106879.01999999999</v>
          </cell>
          <cell r="AE185">
            <v>108152.06</v>
          </cell>
          <cell r="AF185">
            <v>109828.49999999999</v>
          </cell>
          <cell r="AG185">
            <v>101952.44999999998</v>
          </cell>
          <cell r="AH185">
            <v>97865.459999999992</v>
          </cell>
          <cell r="AI185">
            <v>97792.359999999986</v>
          </cell>
          <cell r="AJ185">
            <v>-51009.700000000012</v>
          </cell>
          <cell r="AK185">
            <v>-50191.580000000045</v>
          </cell>
          <cell r="AL185">
            <v>-149230.67000000001</v>
          </cell>
          <cell r="AM185">
            <v>-198649.28000000003</v>
          </cell>
          <cell r="AN185">
            <v>-168754.40000000002</v>
          </cell>
          <cell r="AO185">
            <v>-38848.930000000008</v>
          </cell>
          <cell r="AP185">
            <v>4832.7699999999895</v>
          </cell>
          <cell r="AQ185">
            <v>11966.399999999994</v>
          </cell>
          <cell r="AR185">
            <v>13852.779999999992</v>
          </cell>
          <cell r="AS185">
            <v>11106.669999999991</v>
          </cell>
          <cell r="AT185">
            <v>-4881.510000000002</v>
          </cell>
          <cell r="AU185">
            <v>34378.699999999997</v>
          </cell>
          <cell r="AV185">
            <v>25365.359999999997</v>
          </cell>
          <cell r="AW185">
            <v>28202.819999999996</v>
          </cell>
          <cell r="AX185">
            <v>9230.9999999999927</v>
          </cell>
          <cell r="AY185">
            <v>-27152.910000000003</v>
          </cell>
          <cell r="AZ185">
            <v>-11219.4</v>
          </cell>
          <cell r="BA185">
            <v>343.20999999999913</v>
          </cell>
          <cell r="BB185">
            <v>3493.1499999999996</v>
          </cell>
          <cell r="BC185">
            <v>4410.0099999999993</v>
          </cell>
          <cell r="BD185">
            <v>4105.0399999999991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</row>
        <row r="186">
          <cell r="O186">
            <v>-4131.8500000000004</v>
          </cell>
          <cell r="P186">
            <v>-4131.8500000000004</v>
          </cell>
          <cell r="Q186">
            <v>-4131.8500000000004</v>
          </cell>
          <cell r="R186">
            <v>-4131.8500000000004</v>
          </cell>
          <cell r="S186">
            <v>-4131.8500000000004</v>
          </cell>
          <cell r="T186">
            <v>-4131.8500000000004</v>
          </cell>
          <cell r="U186">
            <v>-4131.8500000000004</v>
          </cell>
          <cell r="V186">
            <v>9275.58</v>
          </cell>
          <cell r="W186">
            <v>22683.14</v>
          </cell>
          <cell r="X186">
            <v>22683.14</v>
          </cell>
          <cell r="Y186">
            <v>22683.14</v>
          </cell>
          <cell r="Z186">
            <v>22683.14</v>
          </cell>
          <cell r="AA186">
            <v>22683.14</v>
          </cell>
          <cell r="AB186">
            <v>22683.14</v>
          </cell>
          <cell r="AC186">
            <v>22683.14</v>
          </cell>
          <cell r="AD186">
            <v>22683.14</v>
          </cell>
          <cell r="AE186">
            <v>22683.14</v>
          </cell>
          <cell r="AF186">
            <v>22683.14</v>
          </cell>
          <cell r="AG186">
            <v>22683.14</v>
          </cell>
          <cell r="AH186">
            <v>12425.76</v>
          </cell>
          <cell r="AI186">
            <v>2168.41</v>
          </cell>
          <cell r="AJ186">
            <v>2168.41</v>
          </cell>
          <cell r="AK186">
            <v>2168.41</v>
          </cell>
          <cell r="AL186">
            <v>2168.41</v>
          </cell>
          <cell r="AM186">
            <v>2168.41</v>
          </cell>
          <cell r="AN186">
            <v>2168.41</v>
          </cell>
          <cell r="AO186">
            <v>2168.41</v>
          </cell>
          <cell r="AP186">
            <v>2168.41</v>
          </cell>
          <cell r="AQ186">
            <v>2168.41</v>
          </cell>
          <cell r="AR186">
            <v>2168.41</v>
          </cell>
          <cell r="AS186">
            <v>2168.41</v>
          </cell>
          <cell r="AT186">
            <v>1084.2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</row>
        <row r="187">
          <cell r="O187" t="str">
            <v>2019</v>
          </cell>
          <cell r="P187" t="str">
            <v>2019</v>
          </cell>
          <cell r="Q187" t="str">
            <v>2019</v>
          </cell>
          <cell r="R187" t="str">
            <v>2019</v>
          </cell>
          <cell r="S187" t="str">
            <v>2019</v>
          </cell>
          <cell r="T187" t="str">
            <v>2019</v>
          </cell>
          <cell r="U187" t="str">
            <v>2019</v>
          </cell>
          <cell r="V187" t="str">
            <v>2019</v>
          </cell>
          <cell r="W187" t="str">
            <v>2018</v>
          </cell>
          <cell r="X187" t="str">
            <v>2018</v>
          </cell>
          <cell r="Y187" t="str">
            <v>2018</v>
          </cell>
          <cell r="Z187" t="str">
            <v>2018</v>
          </cell>
          <cell r="AA187" t="str">
            <v>2018</v>
          </cell>
          <cell r="AB187" t="str">
            <v>2018</v>
          </cell>
          <cell r="AC187" t="str">
            <v>2018</v>
          </cell>
          <cell r="AD187" t="str">
            <v>2018</v>
          </cell>
          <cell r="AE187" t="str">
            <v>2018</v>
          </cell>
          <cell r="AF187" t="str">
            <v>2018</v>
          </cell>
          <cell r="AG187" t="str">
            <v>2018</v>
          </cell>
          <cell r="AH187" t="str">
            <v>2018</v>
          </cell>
          <cell r="AI187" t="str">
            <v>2017</v>
          </cell>
          <cell r="AJ187" t="str">
            <v>2017</v>
          </cell>
          <cell r="AK187" t="str">
            <v>2017</v>
          </cell>
          <cell r="AL187" t="str">
            <v>2017</v>
          </cell>
          <cell r="AM187" t="str">
            <v>2017</v>
          </cell>
          <cell r="AN187" t="str">
            <v>2017</v>
          </cell>
          <cell r="AO187" t="str">
            <v>2017</v>
          </cell>
          <cell r="AP187" t="str">
            <v>2017</v>
          </cell>
          <cell r="AQ187" t="str">
            <v>2017</v>
          </cell>
          <cell r="AR187" t="str">
            <v>2017</v>
          </cell>
          <cell r="AS187" t="str">
            <v>2017</v>
          </cell>
          <cell r="AT187" t="str">
            <v>2017</v>
          </cell>
          <cell r="AU187" t="str">
            <v>0</v>
          </cell>
          <cell r="AV187" t="str">
            <v>0</v>
          </cell>
          <cell r="AW187" t="str">
            <v>0</v>
          </cell>
          <cell r="AX187" t="str">
            <v>0</v>
          </cell>
          <cell r="AY187" t="str">
            <v>0</v>
          </cell>
          <cell r="AZ187" t="str">
            <v>0</v>
          </cell>
          <cell r="BA187" t="str">
            <v>0</v>
          </cell>
          <cell r="BB187" t="str">
            <v>0</v>
          </cell>
          <cell r="BC187" t="str">
            <v>0</v>
          </cell>
          <cell r="BD187" t="str">
            <v>0</v>
          </cell>
          <cell r="BE187" t="str">
            <v>0</v>
          </cell>
          <cell r="BF187" t="str">
            <v>0</v>
          </cell>
          <cell r="BG187" t="str">
            <v>0</v>
          </cell>
          <cell r="BH187" t="str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</row>
        <row r="188">
          <cell r="O188">
            <v>-513631.00999999995</v>
          </cell>
          <cell r="P188">
            <v>96971.189999999988</v>
          </cell>
          <cell r="Q188">
            <v>249750.35</v>
          </cell>
          <cell r="R188">
            <v>359179.64</v>
          </cell>
          <cell r="S188">
            <v>371628.78</v>
          </cell>
          <cell r="T188">
            <v>375610.97000000003</v>
          </cell>
          <cell r="U188">
            <v>358325.92000000004</v>
          </cell>
          <cell r="V188">
            <v>239381.88999999998</v>
          </cell>
          <cell r="W188">
            <v>371459.01</v>
          </cell>
          <cell r="X188">
            <v>304993.57</v>
          </cell>
          <cell r="Y188">
            <v>129994.06</v>
          </cell>
          <cell r="Z188">
            <v>122804.78</v>
          </cell>
          <cell r="AA188">
            <v>-187803.83000000002</v>
          </cell>
          <cell r="AB188">
            <v>-141386.90000000002</v>
          </cell>
          <cell r="AC188">
            <v>74784.45</v>
          </cell>
          <cell r="AD188">
            <v>129562.16</v>
          </cell>
          <cell r="AE188">
            <v>130835.2</v>
          </cell>
          <cell r="AF188">
            <v>132511.64000000001</v>
          </cell>
          <cell r="AG188">
            <v>124635.59</v>
          </cell>
          <cell r="AH188">
            <v>110291.22</v>
          </cell>
          <cell r="AI188">
            <v>99960.77</v>
          </cell>
          <cell r="AJ188">
            <v>-48841.289999999994</v>
          </cell>
          <cell r="AK188">
            <v>-48023.17</v>
          </cell>
          <cell r="AL188">
            <v>-147062.26</v>
          </cell>
          <cell r="AM188">
            <v>-196480.87</v>
          </cell>
          <cell r="AN188">
            <v>-166585.99</v>
          </cell>
          <cell r="AO188">
            <v>-36680.520000000004</v>
          </cell>
          <cell r="AP188">
            <v>7001.18</v>
          </cell>
          <cell r="AQ188">
            <v>14134.81</v>
          </cell>
          <cell r="AR188">
            <v>16021.19</v>
          </cell>
          <cell r="AS188">
            <v>13275.08</v>
          </cell>
          <cell r="AT188">
            <v>-3797.3100000000004</v>
          </cell>
          <cell r="AU188">
            <v>34378.699999999997</v>
          </cell>
          <cell r="AV188">
            <v>25365.360000000001</v>
          </cell>
          <cell r="AW188">
            <v>28202.82</v>
          </cell>
          <cell r="AX188">
            <v>9231</v>
          </cell>
          <cell r="AY188">
            <v>-27152.91</v>
          </cell>
          <cell r="AZ188">
            <v>-11219.4</v>
          </cell>
          <cell r="BA188">
            <v>343.21</v>
          </cell>
          <cell r="BB188">
            <v>3493.15</v>
          </cell>
          <cell r="BC188">
            <v>4410.01</v>
          </cell>
          <cell r="BD188">
            <v>4105.04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</row>
        <row r="189">
          <cell r="O189">
            <v>2413977.2800000003</v>
          </cell>
          <cell r="P189">
            <v>2927608.29</v>
          </cell>
          <cell r="Q189">
            <v>2830637.1</v>
          </cell>
          <cell r="R189">
            <v>2580886.75</v>
          </cell>
          <cell r="S189">
            <v>2221707.11</v>
          </cell>
          <cell r="T189">
            <v>1850078.3299999998</v>
          </cell>
          <cell r="U189">
            <v>1474467.3599999999</v>
          </cell>
          <cell r="V189">
            <v>1116141.44</v>
          </cell>
          <cell r="W189">
            <v>876759.54999999993</v>
          </cell>
          <cell r="X189">
            <v>505300.53999999992</v>
          </cell>
          <cell r="Y189">
            <v>200306.96999999994</v>
          </cell>
          <cell r="Z189">
            <v>70312.909999999945</v>
          </cell>
          <cell r="AA189">
            <v>-52491.870000000054</v>
          </cell>
          <cell r="AB189">
            <v>135311.95999999996</v>
          </cell>
          <cell r="AC189">
            <v>276698.86</v>
          </cell>
          <cell r="AD189">
            <v>201914.40999999997</v>
          </cell>
          <cell r="AE189">
            <v>72352.249999999956</v>
          </cell>
          <cell r="AF189">
            <v>-58482.950000000041</v>
          </cell>
          <cell r="AG189">
            <v>-190994.59000000005</v>
          </cell>
          <cell r="AH189">
            <v>-315630.18000000005</v>
          </cell>
          <cell r="AI189">
            <v>-425921.4</v>
          </cell>
          <cell r="AJ189">
            <v>-525882.17000000004</v>
          </cell>
          <cell r="AK189">
            <v>-477040.88</v>
          </cell>
          <cell r="AL189">
            <v>-429017.71</v>
          </cell>
          <cell r="AM189">
            <v>-281955.45</v>
          </cell>
          <cell r="AN189">
            <v>-85474.58</v>
          </cell>
          <cell r="AO189">
            <v>81111.409999999989</v>
          </cell>
          <cell r="AP189">
            <v>117791.93</v>
          </cell>
          <cell r="AQ189">
            <v>110790.75</v>
          </cell>
          <cell r="AR189">
            <v>96655.94</v>
          </cell>
          <cell r="AS189">
            <v>80634.75</v>
          </cell>
          <cell r="AT189">
            <v>67359.67</v>
          </cell>
          <cell r="AU189">
            <v>71156.98</v>
          </cell>
          <cell r="AV189">
            <v>36778.28</v>
          </cell>
          <cell r="AW189">
            <v>11412.919999999998</v>
          </cell>
          <cell r="AX189">
            <v>-16789.900000000001</v>
          </cell>
          <cell r="AY189">
            <v>-26020.9</v>
          </cell>
          <cell r="AZ189">
            <v>1132.0099999999984</v>
          </cell>
          <cell r="BA189">
            <v>12351.409999999998</v>
          </cell>
          <cell r="BB189">
            <v>12008.199999999999</v>
          </cell>
          <cell r="BC189">
            <v>8515.0499999999993</v>
          </cell>
          <cell r="BD189">
            <v>4105.04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sEPS"/>
      <sheetName val="EssShares"/>
      <sheetName val="PPBud"/>
      <sheetName val="PPAct"/>
      <sheetName val="Sheet1"/>
      <sheetName val="EssDB Mar07"/>
    </sheetNames>
    <sheetDataSet>
      <sheetData sheetId="0">
        <row r="8">
          <cell r="B8" t="str">
            <v>March</v>
          </cell>
          <cell r="C8" t="str">
            <v>March</v>
          </cell>
          <cell r="D8" t="str">
            <v>Y-T-D(March)</v>
          </cell>
          <cell r="E8" t="str">
            <v>Y-T-D(March)</v>
          </cell>
          <cell r="F8" t="str">
            <v>Y-T-D(September)</v>
          </cell>
          <cell r="G8" t="str">
            <v>March</v>
          </cell>
          <cell r="H8" t="str">
            <v>March</v>
          </cell>
          <cell r="I8" t="str">
            <v>Y-T-D(March)</v>
          </cell>
          <cell r="J8" t="str">
            <v>Y-T-D(March)</v>
          </cell>
          <cell r="K8" t="str">
            <v>Y-T-D(September)</v>
          </cell>
          <cell r="L8" t="str">
            <v>March</v>
          </cell>
          <cell r="M8" t="str">
            <v>March</v>
          </cell>
          <cell r="N8" t="str">
            <v>Y-T-D(March)</v>
          </cell>
          <cell r="O8" t="str">
            <v>Y-T-D(March)</v>
          </cell>
          <cell r="P8" t="str">
            <v>Y-T-D(September)</v>
          </cell>
          <cell r="Q8" t="str">
            <v>March</v>
          </cell>
          <cell r="R8" t="str">
            <v>March</v>
          </cell>
          <cell r="S8" t="str">
            <v>Y-T-D(March)</v>
          </cell>
          <cell r="T8" t="str">
            <v>Y-T-D(March)</v>
          </cell>
          <cell r="U8" t="str">
            <v>Y-T-D(September)</v>
          </cell>
          <cell r="V8" t="str">
            <v>March</v>
          </cell>
          <cell r="W8" t="str">
            <v>March</v>
          </cell>
          <cell r="X8" t="str">
            <v>Y-T-D(March)</v>
          </cell>
          <cell r="Y8" t="str">
            <v>Y-T-D(March)</v>
          </cell>
          <cell r="Z8" t="str">
            <v>Y-T-D(September)</v>
          </cell>
          <cell r="AA8" t="str">
            <v>March</v>
          </cell>
          <cell r="AB8" t="str">
            <v>March</v>
          </cell>
          <cell r="AC8" t="str">
            <v>Y-T-D(March)</v>
          </cell>
          <cell r="AD8" t="str">
            <v>Y-T-D(March)</v>
          </cell>
          <cell r="AE8" t="str">
            <v>Y-T-D(September)</v>
          </cell>
          <cell r="AF8" t="str">
            <v>March</v>
          </cell>
          <cell r="AG8" t="str">
            <v>March</v>
          </cell>
          <cell r="AH8" t="str">
            <v>Y-T-D(March)</v>
          </cell>
          <cell r="AI8" t="str">
            <v>Y-T-D(March)</v>
          </cell>
          <cell r="AJ8" t="str">
            <v>Y-T-D(September)</v>
          </cell>
          <cell r="AK8" t="str">
            <v>March</v>
          </cell>
          <cell r="AL8" t="str">
            <v>March</v>
          </cell>
          <cell r="AM8" t="str">
            <v>Y-T-D(March)</v>
          </cell>
          <cell r="AN8" t="str">
            <v>Y-T-D(March)</v>
          </cell>
          <cell r="AO8" t="str">
            <v>Y-T-D(September)</v>
          </cell>
          <cell r="AP8" t="str">
            <v>March</v>
          </cell>
          <cell r="AQ8" t="str">
            <v>March</v>
          </cell>
          <cell r="AR8" t="str">
            <v>Y-T-D(March)</v>
          </cell>
          <cell r="AS8" t="str">
            <v>Y-T-D(March)</v>
          </cell>
          <cell r="AT8" t="str">
            <v>Y-T-D(September)</v>
          </cell>
          <cell r="AU8" t="str">
            <v>March</v>
          </cell>
          <cell r="AV8" t="str">
            <v>March</v>
          </cell>
          <cell r="AW8" t="str">
            <v>Y-T-D(March)</v>
          </cell>
          <cell r="AX8" t="str">
            <v>Y-T-D(March)</v>
          </cell>
          <cell r="AY8" t="str">
            <v>Y-T-D(September)</v>
          </cell>
          <cell r="AZ8" t="str">
            <v>March</v>
          </cell>
          <cell r="BA8" t="str">
            <v>March</v>
          </cell>
          <cell r="BB8" t="str">
            <v>Y-T-D(March)</v>
          </cell>
          <cell r="BC8" t="str">
            <v>Y-T-D(March)</v>
          </cell>
          <cell r="BD8" t="str">
            <v>Y-T-D(September)</v>
          </cell>
          <cell r="BE8" t="str">
            <v>March</v>
          </cell>
          <cell r="BF8" t="str">
            <v>March</v>
          </cell>
          <cell r="BG8" t="str">
            <v>Y-T-D(March)</v>
          </cell>
          <cell r="BH8" t="str">
            <v>Y-T-D(March)</v>
          </cell>
          <cell r="BI8" t="str">
            <v>Y-T-D(September)</v>
          </cell>
          <cell r="BJ8" t="str">
            <v>March</v>
          </cell>
          <cell r="BK8" t="str">
            <v>March</v>
          </cell>
          <cell r="BL8" t="str">
            <v>Y-T-D(March)</v>
          </cell>
          <cell r="BM8" t="str">
            <v>Y-T-D(March)</v>
          </cell>
          <cell r="BN8" t="str">
            <v>Y-T-D(September)</v>
          </cell>
          <cell r="BO8" t="str">
            <v>March</v>
          </cell>
          <cell r="BP8" t="str">
            <v>March</v>
          </cell>
          <cell r="BQ8" t="str">
            <v>Y-T-D(March)</v>
          </cell>
          <cell r="BR8" t="str">
            <v>Y-T-D(March)</v>
          </cell>
          <cell r="BS8" t="str">
            <v>Y-T-D(September)</v>
          </cell>
          <cell r="BT8" t="str">
            <v>March</v>
          </cell>
          <cell r="BU8" t="str">
            <v>March</v>
          </cell>
          <cell r="BV8" t="str">
            <v>Y-T-D(March)</v>
          </cell>
          <cell r="BW8" t="str">
            <v>Y-T-D(March)</v>
          </cell>
          <cell r="BX8" t="str">
            <v>Y-T-D(September)</v>
          </cell>
          <cell r="BY8" t="str">
            <v>March</v>
          </cell>
          <cell r="BZ8" t="str">
            <v>March</v>
          </cell>
          <cell r="CA8" t="str">
            <v>Y-T-D(March)</v>
          </cell>
          <cell r="CB8" t="str">
            <v>Y-T-D(March)</v>
          </cell>
          <cell r="CC8" t="str">
            <v>Y-T-D(September)</v>
          </cell>
          <cell r="CD8" t="str">
            <v>March</v>
          </cell>
          <cell r="CE8" t="str">
            <v>March</v>
          </cell>
          <cell r="CF8" t="str">
            <v>Y-T-D(March)</v>
          </cell>
          <cell r="CG8" t="str">
            <v>Y-T-D(March)</v>
          </cell>
          <cell r="CH8" t="str">
            <v>Y-T-D(September)</v>
          </cell>
          <cell r="CI8" t="str">
            <v>March</v>
          </cell>
          <cell r="CJ8" t="str">
            <v>March</v>
          </cell>
          <cell r="CK8" t="str">
            <v>Y-T-D(March)</v>
          </cell>
          <cell r="CL8" t="str">
            <v>Y-T-D(March)</v>
          </cell>
          <cell r="CM8" t="str">
            <v>Y-T-D(September)</v>
          </cell>
          <cell r="CO8" t="str">
            <v>Q-T-D(March)</v>
          </cell>
        </row>
        <row r="9">
          <cell r="B9" t="str">
            <v>CY Actual</v>
          </cell>
          <cell r="C9" t="str">
            <v>Budget 2007</v>
          </cell>
          <cell r="D9" t="str">
            <v>CY Actual</v>
          </cell>
          <cell r="E9" t="str">
            <v>Budget 2007</v>
          </cell>
          <cell r="F9" t="str">
            <v>Budget 2007</v>
          </cell>
          <cell r="L9" t="str">
            <v>CY Actual</v>
          </cell>
          <cell r="M9" t="str">
            <v>Budget 2007</v>
          </cell>
          <cell r="N9" t="str">
            <v>CY Actual</v>
          </cell>
          <cell r="O9" t="str">
            <v>Budget 2007</v>
          </cell>
          <cell r="P9" t="str">
            <v>Budget 2007</v>
          </cell>
          <cell r="Q9" t="str">
            <v>CY Actual</v>
          </cell>
          <cell r="R9" t="str">
            <v>Budget 2007</v>
          </cell>
          <cell r="S9" t="str">
            <v>CY Actual</v>
          </cell>
          <cell r="T9" t="str">
            <v>Budget 2007</v>
          </cell>
          <cell r="U9" t="str">
            <v>Budget 2007</v>
          </cell>
          <cell r="V9" t="str">
            <v>CY Actual</v>
          </cell>
          <cell r="W9" t="str">
            <v>Budget 2007</v>
          </cell>
          <cell r="X9" t="str">
            <v>CY Actual</v>
          </cell>
          <cell r="Y9" t="str">
            <v>Budget 2007</v>
          </cell>
          <cell r="Z9" t="str">
            <v>Budget 2007</v>
          </cell>
          <cell r="AA9" t="str">
            <v>CY Actual</v>
          </cell>
          <cell r="AB9" t="str">
            <v>Budget 2007</v>
          </cell>
          <cell r="AC9" t="str">
            <v>CY Actual</v>
          </cell>
          <cell r="AD9" t="str">
            <v>Budget 2007</v>
          </cell>
          <cell r="AE9" t="str">
            <v>Budget 2007</v>
          </cell>
          <cell r="AF9" t="str">
            <v>CY Actual</v>
          </cell>
          <cell r="AG9" t="str">
            <v>Budget 2007</v>
          </cell>
          <cell r="AH9" t="str">
            <v>CY Actual</v>
          </cell>
          <cell r="AI9" t="str">
            <v>Budget 2007</v>
          </cell>
          <cell r="AJ9" t="str">
            <v>Budget 2007</v>
          </cell>
          <cell r="AK9" t="str">
            <v>CY Actual</v>
          </cell>
          <cell r="AL9" t="str">
            <v>Budget 2007</v>
          </cell>
          <cell r="AM9" t="str">
            <v>CY Actual</v>
          </cell>
          <cell r="AN9" t="str">
            <v>Budget 2007</v>
          </cell>
          <cell r="AO9" t="str">
            <v>Budget 2007</v>
          </cell>
          <cell r="AP9" t="str">
            <v>CY Actual</v>
          </cell>
          <cell r="AQ9" t="str">
            <v>Budget 2007</v>
          </cell>
          <cell r="AR9" t="str">
            <v>CY Actual</v>
          </cell>
          <cell r="AS9" t="str">
            <v>Budget 2007</v>
          </cell>
          <cell r="AT9" t="str">
            <v>Budget 2007</v>
          </cell>
          <cell r="AU9" t="str">
            <v>CY Actual</v>
          </cell>
          <cell r="AV9" t="str">
            <v>Budget 2007</v>
          </cell>
          <cell r="AW9" t="str">
            <v>CY Actual</v>
          </cell>
          <cell r="AX9" t="str">
            <v>Budget 2007</v>
          </cell>
          <cell r="AY9" t="str">
            <v>Budget 2007</v>
          </cell>
          <cell r="AZ9" t="str">
            <v>CY Actual</v>
          </cell>
          <cell r="BA9" t="str">
            <v>Budget 2007</v>
          </cell>
          <cell r="BB9" t="str">
            <v>CY Actual</v>
          </cell>
          <cell r="BC9" t="str">
            <v>Budget 2007</v>
          </cell>
          <cell r="BD9" t="str">
            <v>Budget 2007</v>
          </cell>
          <cell r="BE9" t="str">
            <v>CY Actual</v>
          </cell>
          <cell r="BF9" t="str">
            <v>Budget 2007</v>
          </cell>
          <cell r="BG9" t="str">
            <v>CY Actual</v>
          </cell>
          <cell r="BH9" t="str">
            <v>Budget 2007</v>
          </cell>
          <cell r="BI9" t="str">
            <v>Budget 2007</v>
          </cell>
          <cell r="BJ9" t="str">
            <v>CY Actual</v>
          </cell>
          <cell r="BK9" t="str">
            <v>Budget 2007</v>
          </cell>
          <cell r="BL9" t="str">
            <v>CY Actual</v>
          </cell>
          <cell r="BM9" t="str">
            <v>Budget 2007</v>
          </cell>
          <cell r="BN9" t="str">
            <v>Budget 2007</v>
          </cell>
          <cell r="BO9" t="str">
            <v>CY Actual</v>
          </cell>
          <cell r="BP9" t="str">
            <v>Budget 2007</v>
          </cell>
          <cell r="BQ9" t="str">
            <v>CY Actual</v>
          </cell>
          <cell r="BR9" t="str">
            <v>Budget 2007</v>
          </cell>
          <cell r="BS9" t="str">
            <v>Budget 2007</v>
          </cell>
          <cell r="BY9" t="str">
            <v>CY Actual</v>
          </cell>
          <cell r="BZ9" t="str">
            <v>Budget 2007</v>
          </cell>
          <cell r="CA9" t="str">
            <v>CY Actual</v>
          </cell>
          <cell r="CB9" t="str">
            <v>Budget 2007</v>
          </cell>
          <cell r="CC9" t="str">
            <v>Budget 2007</v>
          </cell>
          <cell r="CD9" t="str">
            <v>CY Actual</v>
          </cell>
          <cell r="CE9" t="str">
            <v>Budget 2007</v>
          </cell>
          <cell r="CF9" t="str">
            <v>CY Actual</v>
          </cell>
          <cell r="CG9" t="str">
            <v>Budget 2007</v>
          </cell>
          <cell r="CH9" t="str">
            <v>Budget 2007</v>
          </cell>
          <cell r="CI9" t="str">
            <v>CY Actual</v>
          </cell>
          <cell r="CJ9" t="str">
            <v>Budget 2007</v>
          </cell>
          <cell r="CK9" t="str">
            <v>CY Actual</v>
          </cell>
          <cell r="CL9" t="str">
            <v>Budget 2007</v>
          </cell>
          <cell r="CM9" t="str">
            <v>Budget 2007</v>
          </cell>
          <cell r="CO9" t="str">
            <v>CY Actual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KY/Mid States</v>
          </cell>
          <cell r="R10" t="str">
            <v>KY/Mid States</v>
          </cell>
          <cell r="S10" t="str">
            <v>KY/Mid States</v>
          </cell>
          <cell r="T10" t="str">
            <v>KY/Mid States</v>
          </cell>
          <cell r="U10" t="str">
            <v>KY/Mid 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Corporation Cons (Elim)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Y10" t="str">
            <v>Company</v>
          </cell>
          <cell r="BZ10" t="str">
            <v>Company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Other Operating Companies (Elim)</v>
          </cell>
          <cell r="CE10" t="str">
            <v>Other Operating Companies (Elim)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Atmos Pipeline - Texas</v>
          </cell>
          <cell r="CJ10" t="str">
            <v>Atmos Pipeline - Texas</v>
          </cell>
          <cell r="CK10" t="str">
            <v>Atmos Pipeline - Texas</v>
          </cell>
          <cell r="CL10" t="str">
            <v>Atmos Pipeline - Texas</v>
          </cell>
          <cell r="CM10" t="str">
            <v>Atmos Pipeline - Texas</v>
          </cell>
          <cell r="CO10" t="str">
            <v>Company</v>
          </cell>
        </row>
        <row r="11">
          <cell r="A11" t="str">
            <v>Gross Profit</v>
          </cell>
          <cell r="B11">
            <v>8390742.0799999982</v>
          </cell>
          <cell r="C11">
            <v>8017189.3200000077</v>
          </cell>
          <cell r="D11">
            <v>50325544.710000001</v>
          </cell>
          <cell r="E11">
            <v>50370798.049999997</v>
          </cell>
          <cell r="F11">
            <v>74951412.809999987</v>
          </cell>
          <cell r="L11">
            <v>9671772.8099999949</v>
          </cell>
          <cell r="M11">
            <v>7136157</v>
          </cell>
          <cell r="N11">
            <v>65195760.900000013</v>
          </cell>
          <cell r="O11">
            <v>70454389</v>
          </cell>
          <cell r="P11">
            <v>109336853</v>
          </cell>
          <cell r="Q11">
            <v>17791805.300000019</v>
          </cell>
          <cell r="R11">
            <v>16378924.509999998</v>
          </cell>
          <cell r="S11">
            <v>98853095.410000056</v>
          </cell>
          <cell r="T11">
            <v>104127672.43000001</v>
          </cell>
          <cell r="U11">
            <v>154346201.97</v>
          </cell>
          <cell r="V11">
            <v>9452792.8199999928</v>
          </cell>
          <cell r="W11">
            <v>9888721.409999989</v>
          </cell>
          <cell r="X11">
            <v>61520007.009999976</v>
          </cell>
          <cell r="Y11">
            <v>60036940.82</v>
          </cell>
          <cell r="Z11">
            <v>93058270.25999999</v>
          </cell>
          <cell r="AA11">
            <v>8915161.2699999884</v>
          </cell>
          <cell r="AB11">
            <v>9089646.7099999972</v>
          </cell>
          <cell r="AC11">
            <v>56307446.959999956</v>
          </cell>
          <cell r="AD11">
            <v>58718241.38000001</v>
          </cell>
          <cell r="AE11">
            <v>94276526.710000008</v>
          </cell>
          <cell r="AF11">
            <v>42641166.990000024</v>
          </cell>
          <cell r="AG11">
            <v>45778640</v>
          </cell>
          <cell r="AH11">
            <v>276612404.83999985</v>
          </cell>
          <cell r="AI11">
            <v>300205754</v>
          </cell>
          <cell r="AJ11">
            <v>494590383</v>
          </cell>
          <cell r="AK11">
            <v>0</v>
          </cell>
          <cell r="AL11">
            <v>0</v>
          </cell>
          <cell r="AM11">
            <v>0.65999999991618097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96863441.270000011</v>
          </cell>
          <cell r="AV11">
            <v>96289278.949999988</v>
          </cell>
          <cell r="AW11">
            <v>608814260.48999989</v>
          </cell>
          <cell r="AX11">
            <v>643913795.68000007</v>
          </cell>
          <cell r="AY11">
            <v>1020559647.75</v>
          </cell>
          <cell r="AZ11">
            <v>-8267615.0400000513</v>
          </cell>
          <cell r="BA11">
            <v>8112976</v>
          </cell>
          <cell r="BB11">
            <v>86106649.630000025</v>
          </cell>
          <cell r="BC11">
            <v>53752625</v>
          </cell>
          <cell r="BD11">
            <v>79182582</v>
          </cell>
          <cell r="BE11">
            <v>12687251.700000003</v>
          </cell>
          <cell r="BF11">
            <v>16366797.74</v>
          </cell>
          <cell r="BG11">
            <v>110895339.56999998</v>
          </cell>
          <cell r="BH11">
            <v>98450343.879999995</v>
          </cell>
          <cell r="BI11">
            <v>184199825.96999997</v>
          </cell>
          <cell r="BJ11">
            <v>4419636.6599999517</v>
          </cell>
          <cell r="BK11">
            <v>24479773.740000002</v>
          </cell>
          <cell r="BL11">
            <v>197001989.19999999</v>
          </cell>
          <cell r="BM11">
            <v>152202968.88</v>
          </cell>
          <cell r="BN11">
            <v>263382407.96999997</v>
          </cell>
          <cell r="BO11">
            <v>-158584.81000000238</v>
          </cell>
          <cell r="BP11">
            <v>-383596</v>
          </cell>
          <cell r="BQ11">
            <v>-1538361.6800000109</v>
          </cell>
          <cell r="BR11">
            <v>-2301576</v>
          </cell>
          <cell r="BS11">
            <v>-4603152</v>
          </cell>
          <cell r="BY11">
            <v>101124493.11999996</v>
          </cell>
          <cell r="BZ11">
            <v>120385456.69</v>
          </cell>
          <cell r="CA11">
            <v>804277888.00999987</v>
          </cell>
          <cell r="CB11">
            <v>793815188.56000006</v>
          </cell>
          <cell r="CC11">
            <v>1279338903.72</v>
          </cell>
          <cell r="CD11">
            <v>0</v>
          </cell>
          <cell r="CE11">
            <v>0</v>
          </cell>
          <cell r="CF11">
            <v>8.7311491370201111E-11</v>
          </cell>
          <cell r="CG11">
            <v>0</v>
          </cell>
          <cell r="CH11">
            <v>0</v>
          </cell>
          <cell r="CI11">
            <v>12792856.469999997</v>
          </cell>
          <cell r="CJ11">
            <v>13602428.74</v>
          </cell>
          <cell r="CK11">
            <v>85940389.039999992</v>
          </cell>
          <cell r="CL11">
            <v>86807091.879999995</v>
          </cell>
          <cell r="CM11">
            <v>162477589.96999997</v>
          </cell>
          <cell r="CO11">
            <v>428685801.36999983</v>
          </cell>
        </row>
        <row r="13">
          <cell r="A13" t="str">
            <v>Labor</v>
          </cell>
          <cell r="B13">
            <v>690745.01</v>
          </cell>
          <cell r="C13">
            <v>662915.52</v>
          </cell>
          <cell r="D13">
            <v>4419110.1100000003</v>
          </cell>
          <cell r="E13">
            <v>3975858.58</v>
          </cell>
          <cell r="F13">
            <v>7881256.0800000001</v>
          </cell>
          <cell r="L13">
            <v>5284058.33</v>
          </cell>
          <cell r="M13">
            <v>929469.35</v>
          </cell>
          <cell r="N13">
            <v>6612040.4799999995</v>
          </cell>
          <cell r="O13">
            <v>6380963.8600000003</v>
          </cell>
          <cell r="P13">
            <v>11693139.950000001</v>
          </cell>
          <cell r="Q13">
            <v>1482390.24</v>
          </cell>
          <cell r="R13">
            <v>1427579.67</v>
          </cell>
          <cell r="S13">
            <v>8963595.1600000001</v>
          </cell>
          <cell r="T13">
            <v>8469655.4499999993</v>
          </cell>
          <cell r="U13">
            <v>16885365.310000002</v>
          </cell>
          <cell r="V13">
            <v>1277135.21</v>
          </cell>
          <cell r="W13">
            <v>1300903.48</v>
          </cell>
          <cell r="X13">
            <v>7671697.9099999992</v>
          </cell>
          <cell r="Y13">
            <v>7565946.6800000016</v>
          </cell>
          <cell r="Z13">
            <v>15216928.140000002</v>
          </cell>
          <cell r="AA13">
            <v>774098.52</v>
          </cell>
          <cell r="AB13">
            <v>749112.93</v>
          </cell>
          <cell r="AC13">
            <v>5217243.4800000004</v>
          </cell>
          <cell r="AD13">
            <v>4728824.71</v>
          </cell>
          <cell r="AE13">
            <v>8683561.9900000021</v>
          </cell>
          <cell r="AF13">
            <v>3312651.66</v>
          </cell>
          <cell r="AG13">
            <v>3685002.3</v>
          </cell>
          <cell r="AH13">
            <v>21587734.52</v>
          </cell>
          <cell r="AI13">
            <v>21855607.410000004</v>
          </cell>
          <cell r="AJ13">
            <v>43465147.670000002</v>
          </cell>
          <cell r="AK13">
            <v>3779265.07</v>
          </cell>
          <cell r="AL13">
            <v>4001274</v>
          </cell>
          <cell r="AM13">
            <v>22261647.609999999</v>
          </cell>
          <cell r="AN13">
            <v>23620648</v>
          </cell>
          <cell r="AO13">
            <v>47194817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16600344.039999999</v>
          </cell>
          <cell r="AV13">
            <v>12756257.25</v>
          </cell>
          <cell r="AW13">
            <v>76733069.269999996</v>
          </cell>
          <cell r="AX13">
            <v>76597504.689999998</v>
          </cell>
          <cell r="AY13">
            <v>151020216.13999999</v>
          </cell>
          <cell r="AZ13">
            <v>845076.27</v>
          </cell>
          <cell r="BA13">
            <v>943910</v>
          </cell>
          <cell r="BB13">
            <v>4956092.7699999996</v>
          </cell>
          <cell r="BC13">
            <v>5577651</v>
          </cell>
          <cell r="BD13">
            <v>11155303</v>
          </cell>
          <cell r="BE13">
            <v>1431421.73</v>
          </cell>
          <cell r="BF13">
            <v>1499818.55</v>
          </cell>
          <cell r="BG13">
            <v>8765970.6799999997</v>
          </cell>
          <cell r="BH13">
            <v>8879822.6800000016</v>
          </cell>
          <cell r="BI13">
            <v>17729872.400000002</v>
          </cell>
          <cell r="BJ13">
            <v>2276498</v>
          </cell>
          <cell r="BK13">
            <v>2443728.5499999998</v>
          </cell>
          <cell r="BL13">
            <v>13722063.449999999</v>
          </cell>
          <cell r="BM13">
            <v>14457473.680000002</v>
          </cell>
          <cell r="BN13">
            <v>28885175.400000002</v>
          </cell>
          <cell r="BO13" t="str">
            <v>0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Y13">
            <v>18876842.039999999</v>
          </cell>
          <cell r="BZ13">
            <v>15199985.800000001</v>
          </cell>
          <cell r="CA13">
            <v>90455132.719999999</v>
          </cell>
          <cell r="CB13">
            <v>91054978.370000005</v>
          </cell>
          <cell r="CC13">
            <v>179905391.53999999</v>
          </cell>
          <cell r="CD13" t="str">
            <v>0</v>
          </cell>
          <cell r="CE13" t="str">
            <v>0</v>
          </cell>
          <cell r="CF13" t="str">
            <v>0</v>
          </cell>
          <cell r="CG13" t="str">
            <v>0</v>
          </cell>
          <cell r="CH13" t="str">
            <v>0</v>
          </cell>
          <cell r="CI13">
            <v>1363286.89</v>
          </cell>
          <cell r="CJ13">
            <v>1422802.55</v>
          </cell>
          <cell r="CK13">
            <v>8425156.7799999993</v>
          </cell>
          <cell r="CL13">
            <v>8424724.6800000016</v>
          </cell>
          <cell r="CM13">
            <v>16819674.400000002</v>
          </cell>
          <cell r="CO13">
            <v>44772111.880000003</v>
          </cell>
        </row>
        <row r="14">
          <cell r="A14" t="str">
            <v>Benefits</v>
          </cell>
          <cell r="B14">
            <v>224296.72</v>
          </cell>
          <cell r="C14">
            <v>232340.35</v>
          </cell>
          <cell r="D14">
            <v>1430310.32</v>
          </cell>
          <cell r="E14">
            <v>1394290.53</v>
          </cell>
          <cell r="F14">
            <v>2763997.39</v>
          </cell>
          <cell r="L14">
            <v>337934.51</v>
          </cell>
          <cell r="M14">
            <v>394560.58</v>
          </cell>
          <cell r="N14">
            <v>2744317.35</v>
          </cell>
          <cell r="O14">
            <v>2710047.28</v>
          </cell>
          <cell r="P14">
            <v>4966515.84</v>
          </cell>
          <cell r="Q14">
            <v>467689.15</v>
          </cell>
          <cell r="R14">
            <v>628922.27</v>
          </cell>
          <cell r="S14">
            <v>3739774.71</v>
          </cell>
          <cell r="T14">
            <v>3735051.88</v>
          </cell>
          <cell r="U14">
            <v>7447774.8599999994</v>
          </cell>
          <cell r="V14">
            <v>497901.78</v>
          </cell>
          <cell r="W14">
            <v>517252.91</v>
          </cell>
          <cell r="X14">
            <v>3131377.22</v>
          </cell>
          <cell r="Y14">
            <v>3014356.06</v>
          </cell>
          <cell r="Z14">
            <v>6059450.1000000006</v>
          </cell>
          <cell r="AA14">
            <v>332327.53000000003</v>
          </cell>
          <cell r="AB14">
            <v>355944.22</v>
          </cell>
          <cell r="AC14">
            <v>2387837.69</v>
          </cell>
          <cell r="AD14">
            <v>2251034.13</v>
          </cell>
          <cell r="AE14">
            <v>4134225.55</v>
          </cell>
          <cell r="AF14">
            <v>1047906.86</v>
          </cell>
          <cell r="AG14">
            <v>1209024.6200000001</v>
          </cell>
          <cell r="AH14">
            <v>7035122.8099999996</v>
          </cell>
          <cell r="AI14">
            <v>7173798.7400000002</v>
          </cell>
          <cell r="AJ14">
            <v>14269347.529999999</v>
          </cell>
          <cell r="AK14">
            <v>1046450.46</v>
          </cell>
          <cell r="AL14">
            <v>1192321</v>
          </cell>
          <cell r="AM14">
            <v>6995489.3799999999</v>
          </cell>
          <cell r="AN14">
            <v>7039371</v>
          </cell>
          <cell r="AO14">
            <v>14064980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3954507.01</v>
          </cell>
          <cell r="AV14">
            <v>4530365.95</v>
          </cell>
          <cell r="AW14">
            <v>27464229.479999997</v>
          </cell>
          <cell r="AX14">
            <v>27317949.620000001</v>
          </cell>
          <cell r="AY14">
            <v>53706291.270000003</v>
          </cell>
          <cell r="AZ14">
            <v>22650.21</v>
          </cell>
          <cell r="BA14" t="str">
            <v>0</v>
          </cell>
          <cell r="BB14">
            <v>141329.87</v>
          </cell>
          <cell r="BC14" t="str">
            <v>0</v>
          </cell>
          <cell r="BD14" t="str">
            <v>0</v>
          </cell>
          <cell r="BE14">
            <v>428130.06</v>
          </cell>
          <cell r="BF14">
            <v>452585.5</v>
          </cell>
          <cell r="BG14">
            <v>2842699.63</v>
          </cell>
          <cell r="BH14">
            <v>2680738.65</v>
          </cell>
          <cell r="BI14">
            <v>5352001.4000000004</v>
          </cell>
          <cell r="BJ14">
            <v>450780.27</v>
          </cell>
          <cell r="BK14">
            <v>452585.5</v>
          </cell>
          <cell r="BL14">
            <v>2984029.5</v>
          </cell>
          <cell r="BM14">
            <v>2680738.65</v>
          </cell>
          <cell r="BN14">
            <v>5352001.4000000004</v>
          </cell>
          <cell r="BO14" t="str">
            <v>0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Y14">
            <v>4405287.28</v>
          </cell>
          <cell r="BZ14">
            <v>4982951.45</v>
          </cell>
          <cell r="CA14">
            <v>30448258.979999997</v>
          </cell>
          <cell r="CB14">
            <v>29998688.27</v>
          </cell>
          <cell r="CC14">
            <v>59058292.670000002</v>
          </cell>
          <cell r="CD14" t="str">
            <v>0</v>
          </cell>
          <cell r="CE14" t="str">
            <v>0</v>
          </cell>
          <cell r="CF14" t="str">
            <v>0</v>
          </cell>
          <cell r="CG14" t="str">
            <v>0</v>
          </cell>
          <cell r="CH14" t="str">
            <v>0</v>
          </cell>
          <cell r="CI14">
            <v>423613.08</v>
          </cell>
          <cell r="CJ14">
            <v>452585.5</v>
          </cell>
          <cell r="CK14">
            <v>2815465.14</v>
          </cell>
          <cell r="CL14">
            <v>2680738.65</v>
          </cell>
          <cell r="CM14">
            <v>5352001.4000000004</v>
          </cell>
          <cell r="CO14">
            <v>15266379.389999999</v>
          </cell>
        </row>
        <row r="15">
          <cell r="A15" t="str">
            <v>Materials &amp; Supplies</v>
          </cell>
          <cell r="B15">
            <v>47986.41</v>
          </cell>
          <cell r="C15">
            <v>88105.2</v>
          </cell>
          <cell r="D15">
            <v>313695.01</v>
          </cell>
          <cell r="E15">
            <v>421619.20000000001</v>
          </cell>
          <cell r="F15">
            <v>814500.4</v>
          </cell>
          <cell r="L15">
            <v>161584.42000000001</v>
          </cell>
          <cell r="M15">
            <v>82944.399999999994</v>
          </cell>
          <cell r="N15">
            <v>509400.14</v>
          </cell>
          <cell r="O15">
            <v>448982.4</v>
          </cell>
          <cell r="P15">
            <v>795668.8</v>
          </cell>
          <cell r="Q15">
            <v>101897.53</v>
          </cell>
          <cell r="R15">
            <v>94433.77</v>
          </cell>
          <cell r="S15">
            <v>674174.44</v>
          </cell>
          <cell r="T15">
            <v>570892.34</v>
          </cell>
          <cell r="U15">
            <v>1126249.3</v>
          </cell>
          <cell r="V15">
            <v>133690.29</v>
          </cell>
          <cell r="W15">
            <v>111101.9</v>
          </cell>
          <cell r="X15">
            <v>733835.79</v>
          </cell>
          <cell r="Y15">
            <v>637257.85</v>
          </cell>
          <cell r="Z15">
            <v>1358451.35</v>
          </cell>
          <cell r="AA15">
            <v>108432.67</v>
          </cell>
          <cell r="AB15">
            <v>79742.759999999995</v>
          </cell>
          <cell r="AC15">
            <v>548144.54</v>
          </cell>
          <cell r="AD15">
            <v>525256.48</v>
          </cell>
          <cell r="AE15">
            <v>1003234.68</v>
          </cell>
          <cell r="AF15">
            <v>402862.29</v>
          </cell>
          <cell r="AG15">
            <v>447217.68</v>
          </cell>
          <cell r="AH15">
            <v>2264787.7200000002</v>
          </cell>
          <cell r="AI15">
            <v>2750251.8</v>
          </cell>
          <cell r="AJ15">
            <v>5362450.3600000003</v>
          </cell>
          <cell r="AK15">
            <v>73526.259999999995</v>
          </cell>
          <cell r="AL15">
            <v>45181</v>
          </cell>
          <cell r="AM15">
            <v>315880.77</v>
          </cell>
          <cell r="AN15">
            <v>308909</v>
          </cell>
          <cell r="AO15">
            <v>604701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1029979.87</v>
          </cell>
          <cell r="AV15">
            <v>948726.71</v>
          </cell>
          <cell r="AW15">
            <v>5359918.41</v>
          </cell>
          <cell r="AX15">
            <v>5663169.0700000003</v>
          </cell>
          <cell r="AY15">
            <v>11065255.889999999</v>
          </cell>
          <cell r="AZ15">
            <v>16529.32</v>
          </cell>
          <cell r="BA15">
            <v>22500</v>
          </cell>
          <cell r="BB15">
            <v>160568.73000000001</v>
          </cell>
          <cell r="BC15">
            <v>135000</v>
          </cell>
          <cell r="BD15">
            <v>270000</v>
          </cell>
          <cell r="BE15">
            <v>307980.34000000003</v>
          </cell>
          <cell r="BF15">
            <v>286314.03999999998</v>
          </cell>
          <cell r="BG15">
            <v>1771016.5</v>
          </cell>
          <cell r="BH15">
            <v>1882743.4</v>
          </cell>
          <cell r="BI15">
            <v>3756295.72</v>
          </cell>
          <cell r="BJ15">
            <v>324509.65999999997</v>
          </cell>
          <cell r="BK15">
            <v>308814.03999999998</v>
          </cell>
          <cell r="BL15">
            <v>1931585.23</v>
          </cell>
          <cell r="BM15">
            <v>2017743.4</v>
          </cell>
          <cell r="BN15">
            <v>4026295.72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Y15">
            <v>1354489.53</v>
          </cell>
          <cell r="BZ15">
            <v>1257540.75</v>
          </cell>
          <cell r="CA15">
            <v>7291503.6399999997</v>
          </cell>
          <cell r="CB15">
            <v>7680912.4700000007</v>
          </cell>
          <cell r="CC15">
            <v>15091551.609999999</v>
          </cell>
          <cell r="CD15" t="str">
            <v>0</v>
          </cell>
          <cell r="CE15" t="str">
            <v>0</v>
          </cell>
          <cell r="CF15" t="str">
            <v>0</v>
          </cell>
          <cell r="CG15" t="str">
            <v>0</v>
          </cell>
          <cell r="CH15" t="str">
            <v>0</v>
          </cell>
          <cell r="CI15">
            <v>300397.08</v>
          </cell>
          <cell r="CJ15">
            <v>267814.03999999998</v>
          </cell>
          <cell r="CK15">
            <v>1702063.87</v>
          </cell>
          <cell r="CL15">
            <v>1780743.4</v>
          </cell>
          <cell r="CM15">
            <v>3585295.72</v>
          </cell>
          <cell r="CO15">
            <v>4210835.25</v>
          </cell>
        </row>
        <row r="16">
          <cell r="A16" t="str">
            <v>Vehicles &amp; Equip</v>
          </cell>
          <cell r="B16">
            <v>115369.15</v>
          </cell>
          <cell r="C16">
            <v>107837</v>
          </cell>
          <cell r="D16">
            <v>595901.75</v>
          </cell>
          <cell r="E16">
            <v>672037.23</v>
          </cell>
          <cell r="F16">
            <v>1315343.23</v>
          </cell>
          <cell r="L16">
            <v>134525.04999999999</v>
          </cell>
          <cell r="M16">
            <v>131328</v>
          </cell>
          <cell r="N16">
            <v>959615.15</v>
          </cell>
          <cell r="O16">
            <v>922880</v>
          </cell>
          <cell r="P16">
            <v>1739743</v>
          </cell>
          <cell r="Q16">
            <v>215038.38</v>
          </cell>
          <cell r="R16">
            <v>212764.48</v>
          </cell>
          <cell r="S16">
            <v>1206909.33</v>
          </cell>
          <cell r="T16">
            <v>1287805.8799999999</v>
          </cell>
          <cell r="U16">
            <v>2572065.83</v>
          </cell>
          <cell r="V16">
            <v>159539.68</v>
          </cell>
          <cell r="W16">
            <v>151487.9</v>
          </cell>
          <cell r="X16">
            <v>932936.14</v>
          </cell>
          <cell r="Y16">
            <v>895469.4</v>
          </cell>
          <cell r="Z16">
            <v>1824234.8</v>
          </cell>
          <cell r="AA16">
            <v>133728.72</v>
          </cell>
          <cell r="AB16">
            <v>125427.89</v>
          </cell>
          <cell r="AC16">
            <v>899892.93</v>
          </cell>
          <cell r="AD16">
            <v>805789.35</v>
          </cell>
          <cell r="AE16">
            <v>1489191.5</v>
          </cell>
          <cell r="AF16">
            <v>377634.98</v>
          </cell>
          <cell r="AG16">
            <v>544366.22</v>
          </cell>
          <cell r="AH16">
            <v>2712514.3</v>
          </cell>
          <cell r="AI16">
            <v>2910168.9</v>
          </cell>
          <cell r="AJ16">
            <v>5785359.8600000013</v>
          </cell>
          <cell r="AK16">
            <v>-10162.129999999999</v>
          </cell>
          <cell r="AL16">
            <v>-17825</v>
          </cell>
          <cell r="AM16">
            <v>-55505.78</v>
          </cell>
          <cell r="AN16">
            <v>-36150</v>
          </cell>
          <cell r="AO16">
            <v>-75300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1125673.83</v>
          </cell>
          <cell r="AV16">
            <v>1255386.49</v>
          </cell>
          <cell r="AW16">
            <v>7252263.8200000003</v>
          </cell>
          <cell r="AX16">
            <v>7458000.7600000007</v>
          </cell>
          <cell r="AY16">
            <v>14650638.220000001</v>
          </cell>
          <cell r="AZ16">
            <v>219.58</v>
          </cell>
          <cell r="BA16">
            <v>225</v>
          </cell>
          <cell r="BB16">
            <v>880.4</v>
          </cell>
          <cell r="BC16">
            <v>1350</v>
          </cell>
          <cell r="BD16">
            <v>2700</v>
          </cell>
          <cell r="BE16">
            <v>129334.39</v>
          </cell>
          <cell r="BF16">
            <v>133182.28</v>
          </cell>
          <cell r="BG16">
            <v>830191.22</v>
          </cell>
          <cell r="BH16">
            <v>704651.1</v>
          </cell>
          <cell r="BI16">
            <v>1409618.14</v>
          </cell>
          <cell r="BJ16">
            <v>129553.97</v>
          </cell>
          <cell r="BK16">
            <v>133407.28</v>
          </cell>
          <cell r="BL16">
            <v>831071.62</v>
          </cell>
          <cell r="BM16">
            <v>706001.1</v>
          </cell>
          <cell r="BN16">
            <v>1412318.14</v>
          </cell>
          <cell r="BO16">
            <v>-5908.93</v>
          </cell>
          <cell r="BP16" t="str">
            <v>0</v>
          </cell>
          <cell r="BQ16">
            <v>-35453.58</v>
          </cell>
          <cell r="BR16" t="str">
            <v>0</v>
          </cell>
          <cell r="BS16" t="str">
            <v>0</v>
          </cell>
          <cell r="BY16">
            <v>1249318.8700000001</v>
          </cell>
          <cell r="BZ16">
            <v>1388793.77</v>
          </cell>
          <cell r="CA16">
            <v>8047881.8600000003</v>
          </cell>
          <cell r="CB16">
            <v>8164001.8600000003</v>
          </cell>
          <cell r="CC16">
            <v>16062956.359999999</v>
          </cell>
          <cell r="CD16" t="str">
            <v>0</v>
          </cell>
          <cell r="CE16" t="str">
            <v>0</v>
          </cell>
          <cell r="CF16" t="str">
            <v>0</v>
          </cell>
          <cell r="CG16" t="str">
            <v>0</v>
          </cell>
          <cell r="CH16" t="str">
            <v>0</v>
          </cell>
          <cell r="CI16">
            <v>129224.59</v>
          </cell>
          <cell r="CJ16">
            <v>132667.28</v>
          </cell>
          <cell r="CK16">
            <v>828642.75</v>
          </cell>
          <cell r="CL16">
            <v>701561.1</v>
          </cell>
          <cell r="CM16">
            <v>1403438.14</v>
          </cell>
          <cell r="CO16">
            <v>3968858.22</v>
          </cell>
        </row>
        <row r="17">
          <cell r="A17" t="str">
            <v>Print &amp; Postages</v>
          </cell>
          <cell r="B17">
            <v>3770.61</v>
          </cell>
          <cell r="C17">
            <v>7343</v>
          </cell>
          <cell r="D17">
            <v>24686.18</v>
          </cell>
          <cell r="E17">
            <v>44482</v>
          </cell>
          <cell r="F17">
            <v>88855</v>
          </cell>
          <cell r="L17">
            <v>2486.75</v>
          </cell>
          <cell r="M17">
            <v>3761</v>
          </cell>
          <cell r="N17">
            <v>17675.740000000002</v>
          </cell>
          <cell r="O17">
            <v>23245</v>
          </cell>
          <cell r="P17">
            <v>46286</v>
          </cell>
          <cell r="Q17">
            <v>5580.69</v>
          </cell>
          <cell r="R17">
            <v>6496.07</v>
          </cell>
          <cell r="S17">
            <v>40333.89</v>
          </cell>
          <cell r="T17">
            <v>40887.440000000002</v>
          </cell>
          <cell r="U17">
            <v>83161.86</v>
          </cell>
          <cell r="V17">
            <v>5526.25</v>
          </cell>
          <cell r="W17">
            <v>14781</v>
          </cell>
          <cell r="X17">
            <v>48086.19</v>
          </cell>
          <cell r="Y17">
            <v>46551</v>
          </cell>
          <cell r="Z17">
            <v>82988</v>
          </cell>
          <cell r="AA17">
            <v>3036.11</v>
          </cell>
          <cell r="AB17">
            <v>3571.39</v>
          </cell>
          <cell r="AC17">
            <v>19145.71</v>
          </cell>
          <cell r="AD17">
            <v>23980.28</v>
          </cell>
          <cell r="AE17">
            <v>46406.93</v>
          </cell>
          <cell r="AF17">
            <v>9124.35</v>
          </cell>
          <cell r="AG17">
            <v>11885</v>
          </cell>
          <cell r="AH17">
            <v>64764.480000000003</v>
          </cell>
          <cell r="AI17">
            <v>66911</v>
          </cell>
          <cell r="AJ17">
            <v>147799</v>
          </cell>
          <cell r="AK17">
            <v>28207.040000000001</v>
          </cell>
          <cell r="AL17">
            <v>28181</v>
          </cell>
          <cell r="AM17">
            <v>148069.32</v>
          </cell>
          <cell r="AN17">
            <v>164614</v>
          </cell>
          <cell r="AO17">
            <v>328749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57731.8</v>
          </cell>
          <cell r="AV17">
            <v>76018.460000000006</v>
          </cell>
          <cell r="AW17">
            <v>362761.51</v>
          </cell>
          <cell r="AX17">
            <v>410670.72</v>
          </cell>
          <cell r="AY17">
            <v>824245.79</v>
          </cell>
          <cell r="AZ17">
            <v>3467.08</v>
          </cell>
          <cell r="BA17">
            <v>4100</v>
          </cell>
          <cell r="BB17">
            <v>29830.27</v>
          </cell>
          <cell r="BC17">
            <v>24600</v>
          </cell>
          <cell r="BD17">
            <v>49200</v>
          </cell>
          <cell r="BE17">
            <v>5326.09</v>
          </cell>
          <cell r="BF17">
            <v>15538</v>
          </cell>
          <cell r="BG17">
            <v>54614.77</v>
          </cell>
          <cell r="BH17">
            <v>93489</v>
          </cell>
          <cell r="BI17">
            <v>183755</v>
          </cell>
          <cell r="BJ17">
            <v>8793.17</v>
          </cell>
          <cell r="BK17">
            <v>19638</v>
          </cell>
          <cell r="BL17">
            <v>84445.04</v>
          </cell>
          <cell r="BM17">
            <v>118089</v>
          </cell>
          <cell r="BN17">
            <v>232955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Y17">
            <v>66524.97</v>
          </cell>
          <cell r="BZ17">
            <v>95656.46</v>
          </cell>
          <cell r="CA17">
            <v>447206.55</v>
          </cell>
          <cell r="CB17">
            <v>528759.72</v>
          </cell>
          <cell r="CC17">
            <v>1057200.79</v>
          </cell>
          <cell r="CD17" t="str">
            <v>0</v>
          </cell>
          <cell r="CE17" t="str">
            <v>0</v>
          </cell>
          <cell r="CF17" t="str">
            <v>0</v>
          </cell>
          <cell r="CG17" t="str">
            <v>0</v>
          </cell>
          <cell r="CH17" t="str">
            <v>0</v>
          </cell>
          <cell r="CI17">
            <v>5031.75</v>
          </cell>
          <cell r="CJ17">
            <v>13223</v>
          </cell>
          <cell r="CK17">
            <v>46576.86</v>
          </cell>
          <cell r="CL17">
            <v>79599</v>
          </cell>
          <cell r="CM17">
            <v>155975</v>
          </cell>
          <cell r="CO17">
            <v>254620.63</v>
          </cell>
        </row>
        <row r="18">
          <cell r="A18" t="str">
            <v>Insurance</v>
          </cell>
          <cell r="B18">
            <v>21343.23</v>
          </cell>
          <cell r="C18">
            <v>20408.04</v>
          </cell>
          <cell r="D18">
            <v>205374.54</v>
          </cell>
          <cell r="E18">
            <v>151317.45000000001</v>
          </cell>
          <cell r="F18">
            <v>283215</v>
          </cell>
          <cell r="L18">
            <v>21822.74</v>
          </cell>
          <cell r="M18">
            <v>28620.639999999999</v>
          </cell>
          <cell r="N18">
            <v>288259.53999999998</v>
          </cell>
          <cell r="O18">
            <v>241044.43</v>
          </cell>
          <cell r="P18">
            <v>409729.43</v>
          </cell>
          <cell r="Q18">
            <v>50748.11</v>
          </cell>
          <cell r="R18">
            <v>51280.29</v>
          </cell>
          <cell r="S18">
            <v>511224.8</v>
          </cell>
          <cell r="T18">
            <v>299828.59999999998</v>
          </cell>
          <cell r="U18">
            <v>608517.78</v>
          </cell>
          <cell r="V18">
            <v>23489.79</v>
          </cell>
          <cell r="W18">
            <v>27445.27</v>
          </cell>
          <cell r="X18">
            <v>1221495.9099999999</v>
          </cell>
          <cell r="Y18">
            <v>158448.35999999999</v>
          </cell>
          <cell r="Z18">
            <v>323784.12</v>
          </cell>
          <cell r="AA18">
            <v>17807.310000000001</v>
          </cell>
          <cell r="AB18">
            <v>26881.78</v>
          </cell>
          <cell r="AC18">
            <v>221703.94</v>
          </cell>
          <cell r="AD18">
            <v>164651.48000000001</v>
          </cell>
          <cell r="AE18">
            <v>313486.07</v>
          </cell>
          <cell r="AF18">
            <v>108171.92</v>
          </cell>
          <cell r="AG18">
            <v>101732.98</v>
          </cell>
          <cell r="AH18">
            <v>1041381.08</v>
          </cell>
          <cell r="AI18">
            <v>631089.93000000005</v>
          </cell>
          <cell r="AJ18">
            <v>1321761.55</v>
          </cell>
          <cell r="AK18">
            <v>1201245.3</v>
          </cell>
          <cell r="AL18">
            <v>232319</v>
          </cell>
          <cell r="AM18">
            <v>2229778.25</v>
          </cell>
          <cell r="AN18">
            <v>1392141</v>
          </cell>
          <cell r="AO18">
            <v>2832677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1444628.4</v>
          </cell>
          <cell r="AV18">
            <v>488688</v>
          </cell>
          <cell r="AW18">
            <v>5719218.0600000005</v>
          </cell>
          <cell r="AX18">
            <v>3038521.25</v>
          </cell>
          <cell r="AY18">
            <v>6093170.9500000002</v>
          </cell>
          <cell r="AZ18">
            <v>9592.6200000000008</v>
          </cell>
          <cell r="BA18">
            <v>1400</v>
          </cell>
          <cell r="BB18">
            <v>35618.019999999997</v>
          </cell>
          <cell r="BC18">
            <v>8400</v>
          </cell>
          <cell r="BD18">
            <v>16800</v>
          </cell>
          <cell r="BE18">
            <v>36814.550000000003</v>
          </cell>
          <cell r="BF18">
            <v>47175.68</v>
          </cell>
          <cell r="BG18">
            <v>304755.64</v>
          </cell>
          <cell r="BH18">
            <v>277221.94</v>
          </cell>
          <cell r="BI18">
            <v>562382.28</v>
          </cell>
          <cell r="BJ18">
            <v>46407.17</v>
          </cell>
          <cell r="BK18">
            <v>48575.68</v>
          </cell>
          <cell r="BL18">
            <v>340373.66</v>
          </cell>
          <cell r="BM18">
            <v>285621.94</v>
          </cell>
          <cell r="BN18">
            <v>579182.28</v>
          </cell>
          <cell r="BO18" t="str">
            <v>0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Y18">
            <v>1491035.57</v>
          </cell>
          <cell r="BZ18">
            <v>537263.68000000005</v>
          </cell>
          <cell r="CA18">
            <v>6059591.7200000007</v>
          </cell>
          <cell r="CB18">
            <v>3324143.19</v>
          </cell>
          <cell r="CC18">
            <v>6672353.2300000004</v>
          </cell>
          <cell r="CD18" t="str">
            <v>0</v>
          </cell>
          <cell r="CE18" t="str">
            <v>0</v>
          </cell>
          <cell r="CF18" t="str">
            <v>0</v>
          </cell>
          <cell r="CG18" t="str">
            <v>0</v>
          </cell>
          <cell r="CH18" t="str">
            <v>0</v>
          </cell>
          <cell r="CI18">
            <v>31577.96</v>
          </cell>
          <cell r="CJ18">
            <v>41575.68</v>
          </cell>
          <cell r="CK18">
            <v>263990.96999999997</v>
          </cell>
          <cell r="CL18">
            <v>243621.94</v>
          </cell>
          <cell r="CM18">
            <v>495182.28</v>
          </cell>
          <cell r="CO18">
            <v>3042950.29</v>
          </cell>
        </row>
        <row r="19">
          <cell r="A19" t="str">
            <v>Marketing</v>
          </cell>
          <cell r="B19">
            <v>65392.81</v>
          </cell>
          <cell r="C19">
            <v>32750</v>
          </cell>
          <cell r="D19">
            <v>158429.46</v>
          </cell>
          <cell r="E19">
            <v>215500</v>
          </cell>
          <cell r="F19">
            <v>404800</v>
          </cell>
          <cell r="L19">
            <v>61641.25</v>
          </cell>
          <cell r="M19">
            <v>17966</v>
          </cell>
          <cell r="N19">
            <v>242049.54</v>
          </cell>
          <cell r="O19">
            <v>198236</v>
          </cell>
          <cell r="P19">
            <v>298217</v>
          </cell>
          <cell r="Q19">
            <v>45451.78</v>
          </cell>
          <cell r="R19">
            <v>28377</v>
          </cell>
          <cell r="S19">
            <v>260302.51</v>
          </cell>
          <cell r="T19">
            <v>242247</v>
          </cell>
          <cell r="U19">
            <v>510232.03</v>
          </cell>
          <cell r="V19">
            <v>23664.639999999999</v>
          </cell>
          <cell r="W19">
            <v>35394</v>
          </cell>
          <cell r="X19">
            <v>133803.28</v>
          </cell>
          <cell r="Y19">
            <v>235259</v>
          </cell>
          <cell r="Z19">
            <v>428273</v>
          </cell>
          <cell r="AA19">
            <v>29270.45</v>
          </cell>
          <cell r="AB19">
            <v>28325.200000000001</v>
          </cell>
          <cell r="AC19">
            <v>284739.06</v>
          </cell>
          <cell r="AD19">
            <v>164501.43</v>
          </cell>
          <cell r="AE19">
            <v>315878.74</v>
          </cell>
          <cell r="AF19">
            <v>69813.61</v>
          </cell>
          <cell r="AG19">
            <v>173904</v>
          </cell>
          <cell r="AH19">
            <v>429934.38</v>
          </cell>
          <cell r="AI19">
            <v>1069642</v>
          </cell>
          <cell r="AJ19">
            <v>1930394</v>
          </cell>
          <cell r="AK19">
            <v>68534.52</v>
          </cell>
          <cell r="AL19">
            <v>60863</v>
          </cell>
          <cell r="AM19">
            <v>498191.17</v>
          </cell>
          <cell r="AN19">
            <v>965178</v>
          </cell>
          <cell r="AO19">
            <v>1330360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363769.06</v>
          </cell>
          <cell r="AV19">
            <v>377579.2</v>
          </cell>
          <cell r="AW19">
            <v>2007449.4</v>
          </cell>
          <cell r="AX19">
            <v>3090563.43</v>
          </cell>
          <cell r="AY19">
            <v>5218154.7699999996</v>
          </cell>
          <cell r="AZ19">
            <v>46.25</v>
          </cell>
          <cell r="BA19">
            <v>9000</v>
          </cell>
          <cell r="BB19">
            <v>15757.37</v>
          </cell>
          <cell r="BC19">
            <v>54000</v>
          </cell>
          <cell r="BD19">
            <v>108000</v>
          </cell>
          <cell r="BE19">
            <v>1006.76</v>
          </cell>
          <cell r="BF19">
            <v>6511</v>
          </cell>
          <cell r="BG19">
            <v>175027.31</v>
          </cell>
          <cell r="BH19">
            <v>83646</v>
          </cell>
          <cell r="BI19">
            <v>100688</v>
          </cell>
          <cell r="BJ19">
            <v>1053.01</v>
          </cell>
          <cell r="BK19">
            <v>15511</v>
          </cell>
          <cell r="BL19">
            <v>190784.68</v>
          </cell>
          <cell r="BM19">
            <v>137646</v>
          </cell>
          <cell r="BN19">
            <v>208688</v>
          </cell>
          <cell r="BO19" t="str">
            <v>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Y19">
            <v>364822.07</v>
          </cell>
          <cell r="BZ19">
            <v>393090.2</v>
          </cell>
          <cell r="CA19">
            <v>2198234.08</v>
          </cell>
          <cell r="CB19">
            <v>3228209.43</v>
          </cell>
          <cell r="CC19">
            <v>5426842.7699999996</v>
          </cell>
          <cell r="CD19" t="str">
            <v>0</v>
          </cell>
          <cell r="CE19" t="str">
            <v>0</v>
          </cell>
          <cell r="CF19" t="str">
            <v>0</v>
          </cell>
          <cell r="CG19" t="str">
            <v>0</v>
          </cell>
          <cell r="CH19" t="str">
            <v>0</v>
          </cell>
          <cell r="CI19">
            <v>1006.76</v>
          </cell>
          <cell r="CJ19">
            <v>5411</v>
          </cell>
          <cell r="CK19">
            <v>162597.14000000001</v>
          </cell>
          <cell r="CL19">
            <v>77046</v>
          </cell>
          <cell r="CM19">
            <v>87488</v>
          </cell>
          <cell r="CO19">
            <v>1386488.42</v>
          </cell>
        </row>
        <row r="20">
          <cell r="A20" t="str">
            <v>Employee Welfare</v>
          </cell>
          <cell r="B20">
            <v>84978.51</v>
          </cell>
          <cell r="C20">
            <v>74299.05</v>
          </cell>
          <cell r="D20">
            <v>534729.75</v>
          </cell>
          <cell r="E20">
            <v>654371.05000000005</v>
          </cell>
          <cell r="F20">
            <v>1003564.21</v>
          </cell>
          <cell r="L20">
            <v>120354.79</v>
          </cell>
          <cell r="M20">
            <v>70415.78</v>
          </cell>
          <cell r="N20">
            <v>856456.61</v>
          </cell>
          <cell r="O20">
            <v>866708.66</v>
          </cell>
          <cell r="P20">
            <v>1217797.92</v>
          </cell>
          <cell r="Q20">
            <v>147295.20000000001</v>
          </cell>
          <cell r="R20">
            <v>82902.009999999995</v>
          </cell>
          <cell r="S20">
            <v>1078428.2</v>
          </cell>
          <cell r="T20">
            <v>1086285.22</v>
          </cell>
          <cell r="U20">
            <v>1462752.21</v>
          </cell>
          <cell r="V20">
            <v>125356.59</v>
          </cell>
          <cell r="W20">
            <v>71875.37</v>
          </cell>
          <cell r="X20">
            <v>846741.68</v>
          </cell>
          <cell r="Y20">
            <v>833784.21</v>
          </cell>
          <cell r="Z20">
            <v>1133706.73</v>
          </cell>
          <cell r="AA20">
            <v>96315.66</v>
          </cell>
          <cell r="AB20">
            <v>59917.47</v>
          </cell>
          <cell r="AC20">
            <v>666937.34</v>
          </cell>
          <cell r="AD20">
            <v>640412.43999999994</v>
          </cell>
          <cell r="AE20">
            <v>900591.49</v>
          </cell>
          <cell r="AF20">
            <v>220779.55</v>
          </cell>
          <cell r="AG20">
            <v>130912.68</v>
          </cell>
          <cell r="AH20">
            <v>1538482.1</v>
          </cell>
          <cell r="AI20">
            <v>1310902.1399999999</v>
          </cell>
          <cell r="AJ20">
            <v>1798416.64</v>
          </cell>
          <cell r="AK20">
            <v>1435121.08</v>
          </cell>
          <cell r="AL20">
            <v>1264037</v>
          </cell>
          <cell r="AM20">
            <v>12567499.18</v>
          </cell>
          <cell r="AN20">
            <v>12668756</v>
          </cell>
          <cell r="AO20">
            <v>20662954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2230201.38</v>
          </cell>
          <cell r="AV20">
            <v>1754359.36</v>
          </cell>
          <cell r="AW20">
            <v>18089274.859999999</v>
          </cell>
          <cell r="AX20">
            <v>18061219.719999999</v>
          </cell>
          <cell r="AY20">
            <v>28179783.200000003</v>
          </cell>
          <cell r="AZ20">
            <v>1117337.3600000001</v>
          </cell>
          <cell r="BA20">
            <v>457700</v>
          </cell>
          <cell r="BB20">
            <v>4854426.95</v>
          </cell>
          <cell r="BC20">
            <v>2746200</v>
          </cell>
          <cell r="BD20">
            <v>5492400</v>
          </cell>
          <cell r="BE20">
            <v>123397.1</v>
          </cell>
          <cell r="BF20">
            <v>116293.21</v>
          </cell>
          <cell r="BG20">
            <v>985695.75</v>
          </cell>
          <cell r="BH20">
            <v>1097596.47</v>
          </cell>
          <cell r="BI20">
            <v>1554890.73</v>
          </cell>
          <cell r="BJ20">
            <v>1240734.46</v>
          </cell>
          <cell r="BK20">
            <v>573993.21</v>
          </cell>
          <cell r="BL20">
            <v>5840122.7000000002</v>
          </cell>
          <cell r="BM20">
            <v>3843796.47</v>
          </cell>
          <cell r="BN20">
            <v>7047290.7300000004</v>
          </cell>
          <cell r="BO20" t="str">
            <v>0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Y20">
            <v>3470935.84</v>
          </cell>
          <cell r="BZ20">
            <v>2328352.5699999998</v>
          </cell>
          <cell r="CA20">
            <v>23929397.559999999</v>
          </cell>
          <cell r="CB20">
            <v>21905016.189999998</v>
          </cell>
          <cell r="CC20">
            <v>35227073.930000007</v>
          </cell>
          <cell r="CD20" t="str">
            <v>0</v>
          </cell>
          <cell r="CE20" t="str">
            <v>0</v>
          </cell>
          <cell r="CF20" t="str">
            <v>0</v>
          </cell>
          <cell r="CG20" t="str">
            <v>0</v>
          </cell>
          <cell r="CH20" t="str">
            <v>0</v>
          </cell>
          <cell r="CI20">
            <v>92580.22</v>
          </cell>
          <cell r="CJ20">
            <v>85791.21</v>
          </cell>
          <cell r="CK20">
            <v>652709.66</v>
          </cell>
          <cell r="CL20">
            <v>759306.47</v>
          </cell>
          <cell r="CM20">
            <v>1032523.73</v>
          </cell>
          <cell r="CO20">
            <v>12148987.73</v>
          </cell>
        </row>
        <row r="21">
          <cell r="A21" t="str">
            <v>Information Technologies</v>
          </cell>
          <cell r="B21">
            <v>33578.92</v>
          </cell>
          <cell r="C21">
            <v>18000</v>
          </cell>
          <cell r="D21">
            <v>122049.67</v>
          </cell>
          <cell r="E21">
            <v>108000</v>
          </cell>
          <cell r="F21">
            <v>216000</v>
          </cell>
          <cell r="L21">
            <v>9399.76</v>
          </cell>
          <cell r="M21">
            <v>16863</v>
          </cell>
          <cell r="N21">
            <v>69786.83</v>
          </cell>
          <cell r="O21">
            <v>116798</v>
          </cell>
          <cell r="P21">
            <v>194847</v>
          </cell>
          <cell r="Q21">
            <v>38282.559999999998</v>
          </cell>
          <cell r="R21">
            <v>28152.02</v>
          </cell>
          <cell r="S21">
            <v>118535.61</v>
          </cell>
          <cell r="T21">
            <v>109552.03</v>
          </cell>
          <cell r="U21">
            <v>203206.03</v>
          </cell>
          <cell r="V21">
            <v>19184.490000000002</v>
          </cell>
          <cell r="W21">
            <v>16964</v>
          </cell>
          <cell r="X21">
            <v>100097.29</v>
          </cell>
          <cell r="Y21">
            <v>101829</v>
          </cell>
          <cell r="Z21">
            <v>203736</v>
          </cell>
          <cell r="AA21">
            <v>9805.5300000000007</v>
          </cell>
          <cell r="AB21">
            <v>22100</v>
          </cell>
          <cell r="AC21">
            <v>73068.27</v>
          </cell>
          <cell r="AD21">
            <v>132600</v>
          </cell>
          <cell r="AE21">
            <v>265200</v>
          </cell>
          <cell r="AF21">
            <v>62277.05</v>
          </cell>
          <cell r="AG21">
            <v>82349</v>
          </cell>
          <cell r="AH21">
            <v>302185.90999999997</v>
          </cell>
          <cell r="AI21">
            <v>440225</v>
          </cell>
          <cell r="AJ21">
            <v>892592</v>
          </cell>
          <cell r="AK21">
            <v>497640.03</v>
          </cell>
          <cell r="AL21">
            <v>535222</v>
          </cell>
          <cell r="AM21">
            <v>3371443.27</v>
          </cell>
          <cell r="AN21">
            <v>3568890</v>
          </cell>
          <cell r="AO21">
            <v>6957055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670168.34</v>
          </cell>
          <cell r="AV21">
            <v>719650.02</v>
          </cell>
          <cell r="AW21">
            <v>4157166.85</v>
          </cell>
          <cell r="AX21">
            <v>4577894.03</v>
          </cell>
          <cell r="AY21">
            <v>8932636.0299999993</v>
          </cell>
          <cell r="AZ21">
            <v>-6755.36</v>
          </cell>
          <cell r="BA21">
            <v>2500</v>
          </cell>
          <cell r="BB21">
            <v>36827.32</v>
          </cell>
          <cell r="BC21">
            <v>15000</v>
          </cell>
          <cell r="BD21">
            <v>30000</v>
          </cell>
          <cell r="BE21">
            <v>42246.38</v>
          </cell>
          <cell r="BF21">
            <v>13350</v>
          </cell>
          <cell r="BG21">
            <v>222493.86</v>
          </cell>
          <cell r="BH21">
            <v>358775</v>
          </cell>
          <cell r="BI21">
            <v>726291</v>
          </cell>
          <cell r="BJ21">
            <v>35491.019999999997</v>
          </cell>
          <cell r="BK21">
            <v>15850</v>
          </cell>
          <cell r="BL21">
            <v>259321.18</v>
          </cell>
          <cell r="BM21">
            <v>373775</v>
          </cell>
          <cell r="BN21">
            <v>756291</v>
          </cell>
          <cell r="BO21" t="str">
            <v>0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Y21">
            <v>705659.36</v>
          </cell>
          <cell r="BZ21">
            <v>735500.02</v>
          </cell>
          <cell r="CA21">
            <v>4416488.03</v>
          </cell>
          <cell r="CB21">
            <v>4951669.03</v>
          </cell>
          <cell r="CC21">
            <v>9688927.0299999993</v>
          </cell>
          <cell r="CD21" t="str">
            <v>0</v>
          </cell>
          <cell r="CE21" t="str">
            <v>0</v>
          </cell>
          <cell r="CF21" t="str">
            <v>0</v>
          </cell>
          <cell r="CG21" t="str">
            <v>0</v>
          </cell>
          <cell r="CH21" t="str">
            <v>0</v>
          </cell>
          <cell r="CI21">
            <v>42246.38</v>
          </cell>
          <cell r="CJ21">
            <v>9850</v>
          </cell>
          <cell r="CK21">
            <v>162081.29999999999</v>
          </cell>
          <cell r="CL21">
            <v>337775</v>
          </cell>
          <cell r="CM21">
            <v>684291</v>
          </cell>
          <cell r="CO21">
            <v>2136382.29</v>
          </cell>
        </row>
        <row r="22">
          <cell r="A22" t="str">
            <v>Rent, Maint., &amp; Utilities</v>
          </cell>
          <cell r="B22">
            <v>162520.13</v>
          </cell>
          <cell r="C22">
            <v>161649</v>
          </cell>
          <cell r="D22">
            <v>888762.84</v>
          </cell>
          <cell r="E22">
            <v>818845</v>
          </cell>
          <cell r="F22">
            <v>1467180</v>
          </cell>
          <cell r="L22">
            <v>89344.29</v>
          </cell>
          <cell r="M22">
            <v>68202.850000000006</v>
          </cell>
          <cell r="N22">
            <v>571709.1</v>
          </cell>
          <cell r="O22">
            <v>460098.1</v>
          </cell>
          <cell r="P22">
            <v>848032.2</v>
          </cell>
          <cell r="Q22">
            <v>245905.24</v>
          </cell>
          <cell r="R22">
            <v>214062.28</v>
          </cell>
          <cell r="S22">
            <v>1319839.24</v>
          </cell>
          <cell r="T22">
            <v>1165762.68</v>
          </cell>
          <cell r="U22">
            <v>2319241.36</v>
          </cell>
          <cell r="V22">
            <v>141387.82999999999</v>
          </cell>
          <cell r="W22">
            <v>144588.39000000001</v>
          </cell>
          <cell r="X22">
            <v>763955.49</v>
          </cell>
          <cell r="Y22">
            <v>888348.73</v>
          </cell>
          <cell r="Z22">
            <v>1821724.09</v>
          </cell>
          <cell r="AA22">
            <v>141948.35</v>
          </cell>
          <cell r="AB22">
            <v>126619.4</v>
          </cell>
          <cell r="AC22">
            <v>799278.77</v>
          </cell>
          <cell r="AD22">
            <v>780295.19</v>
          </cell>
          <cell r="AE22">
            <v>1473211.93</v>
          </cell>
          <cell r="AF22">
            <v>205349.32</v>
          </cell>
          <cell r="AG22">
            <v>191784.97</v>
          </cell>
          <cell r="AH22">
            <v>1195277.51</v>
          </cell>
          <cell r="AI22">
            <v>1134478.1299999999</v>
          </cell>
          <cell r="AJ22">
            <v>2314905.21</v>
          </cell>
          <cell r="AK22">
            <v>376921.42</v>
          </cell>
          <cell r="AL22">
            <v>410226</v>
          </cell>
          <cell r="AM22">
            <v>2603691</v>
          </cell>
          <cell r="AN22">
            <v>2469912</v>
          </cell>
          <cell r="AO22">
            <v>4928914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1363376.58</v>
          </cell>
          <cell r="AV22">
            <v>1317132.8899999999</v>
          </cell>
          <cell r="AW22">
            <v>8142513.9500000002</v>
          </cell>
          <cell r="AX22">
            <v>7717739.8300000001</v>
          </cell>
          <cell r="AY22">
            <v>15173208.789999999</v>
          </cell>
          <cell r="AZ22">
            <v>47701.96</v>
          </cell>
          <cell r="BA22">
            <v>54250</v>
          </cell>
          <cell r="BB22">
            <v>295385.38</v>
          </cell>
          <cell r="BC22">
            <v>325500</v>
          </cell>
          <cell r="BD22">
            <v>651000</v>
          </cell>
          <cell r="BE22">
            <v>271514.76</v>
          </cell>
          <cell r="BF22">
            <v>280418.03000000003</v>
          </cell>
          <cell r="BG22">
            <v>1797147.47</v>
          </cell>
          <cell r="BH22">
            <v>1602061.87</v>
          </cell>
          <cell r="BI22">
            <v>3317922.79</v>
          </cell>
          <cell r="BJ22">
            <v>319216.71999999997</v>
          </cell>
          <cell r="BK22">
            <v>334668.03000000003</v>
          </cell>
          <cell r="BL22">
            <v>2092532.85</v>
          </cell>
          <cell r="BM22">
            <v>1927561.87</v>
          </cell>
          <cell r="BN22">
            <v>3968922.79</v>
          </cell>
          <cell r="BO22">
            <v>-82514.58</v>
          </cell>
          <cell r="BP22">
            <v>-91596</v>
          </cell>
          <cell r="BQ22">
            <v>-495087.48</v>
          </cell>
          <cell r="BR22">
            <v>-549576</v>
          </cell>
          <cell r="BS22">
            <v>-1099152</v>
          </cell>
          <cell r="BY22">
            <v>1600078.72</v>
          </cell>
          <cell r="BZ22">
            <v>1560204.92</v>
          </cell>
          <cell r="CA22">
            <v>9739959.3200000003</v>
          </cell>
          <cell r="CB22">
            <v>9095725.6999999993</v>
          </cell>
          <cell r="CC22">
            <v>18042979.579999998</v>
          </cell>
          <cell r="CD22" t="str">
            <v>0</v>
          </cell>
          <cell r="CE22" t="str">
            <v>0</v>
          </cell>
          <cell r="CF22" t="str">
            <v>0</v>
          </cell>
          <cell r="CG22" t="str">
            <v>0</v>
          </cell>
          <cell r="CH22" t="str">
            <v>0</v>
          </cell>
          <cell r="CI22">
            <v>239111.57</v>
          </cell>
          <cell r="CJ22">
            <v>232918.03</v>
          </cell>
          <cell r="CK22">
            <v>1532679.59</v>
          </cell>
          <cell r="CL22">
            <v>1326261.8700000001</v>
          </cell>
          <cell r="CM22">
            <v>2793722.79</v>
          </cell>
          <cell r="CO22">
            <v>5098600.99</v>
          </cell>
        </row>
        <row r="23">
          <cell r="A23" t="str">
            <v>Directors &amp; Shareholders &amp;PR</v>
          </cell>
          <cell r="B23">
            <v>600</v>
          </cell>
          <cell r="C23">
            <v>1253</v>
          </cell>
          <cell r="D23">
            <v>677.8</v>
          </cell>
          <cell r="E23">
            <v>6318</v>
          </cell>
          <cell r="F23">
            <v>11336</v>
          </cell>
          <cell r="L23" t="str">
            <v>0</v>
          </cell>
          <cell r="M23">
            <v>550</v>
          </cell>
          <cell r="N23" t="str">
            <v>0</v>
          </cell>
          <cell r="O23">
            <v>3300</v>
          </cell>
          <cell r="P23">
            <v>6600</v>
          </cell>
          <cell r="Q23">
            <v>3835.43</v>
          </cell>
          <cell r="R23">
            <v>2200</v>
          </cell>
          <cell r="S23">
            <v>29716.45</v>
          </cell>
          <cell r="T23">
            <v>8800</v>
          </cell>
          <cell r="U23">
            <v>28100</v>
          </cell>
          <cell r="V23">
            <v>100</v>
          </cell>
          <cell r="W23">
            <v>1000</v>
          </cell>
          <cell r="X23">
            <v>895.94</v>
          </cell>
          <cell r="Y23">
            <v>6186</v>
          </cell>
          <cell r="Z23">
            <v>12242</v>
          </cell>
          <cell r="AA23">
            <v>0</v>
          </cell>
          <cell r="AB23" t="str">
            <v>0</v>
          </cell>
          <cell r="AC23">
            <v>537.98</v>
          </cell>
          <cell r="AD23" t="str">
            <v>0</v>
          </cell>
          <cell r="AE23" t="str">
            <v>0</v>
          </cell>
          <cell r="AF23">
            <v>0</v>
          </cell>
          <cell r="AG23">
            <v>0</v>
          </cell>
          <cell r="AH23">
            <v>1567.85</v>
          </cell>
          <cell r="AI23">
            <v>710</v>
          </cell>
          <cell r="AJ23">
            <v>1420</v>
          </cell>
          <cell r="AK23">
            <v>987976.2</v>
          </cell>
          <cell r="AL23">
            <v>450385</v>
          </cell>
          <cell r="AM23">
            <v>3632945.94</v>
          </cell>
          <cell r="AN23">
            <v>2992350</v>
          </cell>
          <cell r="AO23">
            <v>5274995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992511.63</v>
          </cell>
          <cell r="AV23">
            <v>455388</v>
          </cell>
          <cell r="AW23">
            <v>3666341.96</v>
          </cell>
          <cell r="AX23">
            <v>3017664</v>
          </cell>
          <cell r="AY23">
            <v>5334693</v>
          </cell>
          <cell r="AZ23">
            <v>4892.87</v>
          </cell>
          <cell r="BA23">
            <v>6115</v>
          </cell>
          <cell r="BB23">
            <v>35593.78</v>
          </cell>
          <cell r="BC23">
            <v>36690</v>
          </cell>
          <cell r="BD23">
            <v>73380</v>
          </cell>
          <cell r="BE23">
            <v>1643.11</v>
          </cell>
          <cell r="BF23">
            <v>945</v>
          </cell>
          <cell r="BG23">
            <v>10476.6</v>
          </cell>
          <cell r="BH23">
            <v>5960</v>
          </cell>
          <cell r="BI23">
            <v>11920</v>
          </cell>
          <cell r="BJ23">
            <v>6535.98</v>
          </cell>
          <cell r="BK23">
            <v>7060</v>
          </cell>
          <cell r="BL23">
            <v>46070.38</v>
          </cell>
          <cell r="BM23">
            <v>42650</v>
          </cell>
          <cell r="BN23">
            <v>85300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Y23">
            <v>999047.61</v>
          </cell>
          <cell r="BZ23">
            <v>462448</v>
          </cell>
          <cell r="CA23">
            <v>3712412.34</v>
          </cell>
          <cell r="CB23">
            <v>3060314</v>
          </cell>
          <cell r="CC23">
            <v>5419993</v>
          </cell>
          <cell r="CD23" t="str">
            <v>0</v>
          </cell>
          <cell r="CE23" t="str">
            <v>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>
            <v>0</v>
          </cell>
          <cell r="CK23" t="str">
            <v>0</v>
          </cell>
          <cell r="CL23">
            <v>290</v>
          </cell>
          <cell r="CM23">
            <v>580</v>
          </cell>
          <cell r="CO23">
            <v>2696948.08</v>
          </cell>
        </row>
        <row r="24">
          <cell r="A24" t="str">
            <v>Telecom</v>
          </cell>
          <cell r="B24">
            <v>33227.089999999997</v>
          </cell>
          <cell r="C24">
            <v>45333</v>
          </cell>
          <cell r="D24">
            <v>243121.08</v>
          </cell>
          <cell r="E24">
            <v>270410</v>
          </cell>
          <cell r="F24">
            <v>535448</v>
          </cell>
          <cell r="L24">
            <v>70620.86</v>
          </cell>
          <cell r="M24">
            <v>55528</v>
          </cell>
          <cell r="N24">
            <v>323548.45</v>
          </cell>
          <cell r="O24">
            <v>379812</v>
          </cell>
          <cell r="P24">
            <v>703036</v>
          </cell>
          <cell r="Q24">
            <v>71214</v>
          </cell>
          <cell r="R24">
            <v>62816.04</v>
          </cell>
          <cell r="S24">
            <v>377829.6</v>
          </cell>
          <cell r="T24">
            <v>376375.24</v>
          </cell>
          <cell r="U24">
            <v>752602.5</v>
          </cell>
          <cell r="V24">
            <v>70914.78</v>
          </cell>
          <cell r="W24">
            <v>78328</v>
          </cell>
          <cell r="X24">
            <v>407317.15</v>
          </cell>
          <cell r="Y24">
            <v>470694</v>
          </cell>
          <cell r="Z24">
            <v>939469</v>
          </cell>
          <cell r="AA24">
            <v>50516.12</v>
          </cell>
          <cell r="AB24">
            <v>34879.65</v>
          </cell>
          <cell r="AC24">
            <v>317065.92</v>
          </cell>
          <cell r="AD24">
            <v>223944.89</v>
          </cell>
          <cell r="AE24">
            <v>418021.79</v>
          </cell>
          <cell r="AF24">
            <v>94506.5</v>
          </cell>
          <cell r="AG24">
            <v>66369.789999999994</v>
          </cell>
          <cell r="AH24">
            <v>472251.9</v>
          </cell>
          <cell r="AI24">
            <v>418380.34</v>
          </cell>
          <cell r="AJ24">
            <v>841477.75</v>
          </cell>
          <cell r="AK24">
            <v>433310.27</v>
          </cell>
          <cell r="AL24">
            <v>493545</v>
          </cell>
          <cell r="AM24">
            <v>2176704.66</v>
          </cell>
          <cell r="AN24">
            <v>2839253</v>
          </cell>
          <cell r="AO24">
            <v>4749009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824309.62</v>
          </cell>
          <cell r="AV24">
            <v>836799.48</v>
          </cell>
          <cell r="AW24">
            <v>4317838.76</v>
          </cell>
          <cell r="AX24">
            <v>4978869.47</v>
          </cell>
          <cell r="AY24">
            <v>8939064.0399999991</v>
          </cell>
          <cell r="AZ24">
            <v>22867.96</v>
          </cell>
          <cell r="BA24">
            <v>21000</v>
          </cell>
          <cell r="BB24">
            <v>138274</v>
          </cell>
          <cell r="BC24">
            <v>126000</v>
          </cell>
          <cell r="BD24">
            <v>252000</v>
          </cell>
          <cell r="BE24">
            <v>150640.42000000001</v>
          </cell>
          <cell r="BF24">
            <v>125586.21</v>
          </cell>
          <cell r="BG24">
            <v>620619.75</v>
          </cell>
          <cell r="BH24">
            <v>768313.66</v>
          </cell>
          <cell r="BI24">
            <v>1539343.25</v>
          </cell>
          <cell r="BJ24">
            <v>173508.38</v>
          </cell>
          <cell r="BK24">
            <v>146586.21</v>
          </cell>
          <cell r="BL24">
            <v>758893.75</v>
          </cell>
          <cell r="BM24">
            <v>894313.66</v>
          </cell>
          <cell r="BN24">
            <v>1791343.25</v>
          </cell>
          <cell r="BO24" t="str">
            <v>0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Y24">
            <v>997818</v>
          </cell>
          <cell r="BZ24">
            <v>983385.69</v>
          </cell>
          <cell r="CA24">
            <v>5076732.51</v>
          </cell>
          <cell r="CB24">
            <v>5873183.1299999999</v>
          </cell>
          <cell r="CC24">
            <v>10730407.289999999</v>
          </cell>
          <cell r="CD24" t="str">
            <v>0</v>
          </cell>
          <cell r="CE24" t="str">
            <v>0</v>
          </cell>
          <cell r="CF24" t="str">
            <v>0</v>
          </cell>
          <cell r="CG24" t="str">
            <v>0</v>
          </cell>
          <cell r="CH24" t="str">
            <v>0</v>
          </cell>
          <cell r="CI24">
            <v>146266.60999999999</v>
          </cell>
          <cell r="CJ24">
            <v>116301.21</v>
          </cell>
          <cell r="CK24">
            <v>580393.96</v>
          </cell>
          <cell r="CL24">
            <v>712603.66</v>
          </cell>
          <cell r="CM24">
            <v>1427923.25</v>
          </cell>
          <cell r="CO24">
            <v>2966687.28</v>
          </cell>
        </row>
        <row r="25">
          <cell r="A25" t="str">
            <v>Travel &amp; Entertainment</v>
          </cell>
          <cell r="B25">
            <v>65789.710000000006</v>
          </cell>
          <cell r="C25">
            <v>56849</v>
          </cell>
          <cell r="D25">
            <v>414125.57</v>
          </cell>
          <cell r="E25">
            <v>336824</v>
          </cell>
          <cell r="F25">
            <v>671818</v>
          </cell>
          <cell r="L25">
            <v>31376.73</v>
          </cell>
          <cell r="M25">
            <v>38198</v>
          </cell>
          <cell r="N25">
            <v>278845.81</v>
          </cell>
          <cell r="O25">
            <v>219983</v>
          </cell>
          <cell r="P25">
            <v>441327</v>
          </cell>
          <cell r="Q25">
            <v>159768.39000000001</v>
          </cell>
          <cell r="R25">
            <v>75823.100000000006</v>
          </cell>
          <cell r="S25">
            <v>699121.95</v>
          </cell>
          <cell r="T25">
            <v>461526.55</v>
          </cell>
          <cell r="U25">
            <v>916857.32</v>
          </cell>
          <cell r="V25">
            <v>41858.720000000001</v>
          </cell>
          <cell r="W25">
            <v>90351</v>
          </cell>
          <cell r="X25">
            <v>270806.26</v>
          </cell>
          <cell r="Y25">
            <v>384976</v>
          </cell>
          <cell r="Z25">
            <v>646470</v>
          </cell>
          <cell r="AA25">
            <v>37105.980000000003</v>
          </cell>
          <cell r="AB25">
            <v>35447.629999999997</v>
          </cell>
          <cell r="AC25">
            <v>249465.96</v>
          </cell>
          <cell r="AD25">
            <v>218954.56</v>
          </cell>
          <cell r="AE25">
            <v>439284.98</v>
          </cell>
          <cell r="AF25">
            <v>119846.69</v>
          </cell>
          <cell r="AG25">
            <v>247536</v>
          </cell>
          <cell r="AH25">
            <v>439284.49</v>
          </cell>
          <cell r="AI25">
            <v>1004965</v>
          </cell>
          <cell r="AJ25">
            <v>1696592</v>
          </cell>
          <cell r="AK25">
            <v>138435.26999999999</v>
          </cell>
          <cell r="AL25">
            <v>147819</v>
          </cell>
          <cell r="AM25">
            <v>645278.43000000005</v>
          </cell>
          <cell r="AN25">
            <v>855390</v>
          </cell>
          <cell r="AO25">
            <v>1752113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594181.49</v>
          </cell>
          <cell r="AV25">
            <v>692023.73</v>
          </cell>
          <cell r="AW25">
            <v>2996928.47</v>
          </cell>
          <cell r="AX25">
            <v>3482619.11</v>
          </cell>
          <cell r="AY25">
            <v>6564462.2999999998</v>
          </cell>
          <cell r="AZ25">
            <v>127414.59</v>
          </cell>
          <cell r="BA25">
            <v>77750</v>
          </cell>
          <cell r="BB25">
            <v>645768.87</v>
          </cell>
          <cell r="BC25">
            <v>466500</v>
          </cell>
          <cell r="BD25">
            <v>933000</v>
          </cell>
          <cell r="BE25">
            <v>51812.83</v>
          </cell>
          <cell r="BF25">
            <v>83672</v>
          </cell>
          <cell r="BG25">
            <v>278526.28999999998</v>
          </cell>
          <cell r="BH25">
            <v>392750</v>
          </cell>
          <cell r="BI25">
            <v>773877</v>
          </cell>
          <cell r="BJ25">
            <v>179227.42</v>
          </cell>
          <cell r="BK25">
            <v>161422</v>
          </cell>
          <cell r="BL25">
            <v>924295.16</v>
          </cell>
          <cell r="BM25">
            <v>859250</v>
          </cell>
          <cell r="BN25">
            <v>1706877</v>
          </cell>
          <cell r="BO25" t="str">
            <v>0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Y25">
            <v>773408.91</v>
          </cell>
          <cell r="BZ25">
            <v>853445.73</v>
          </cell>
          <cell r="CA25">
            <v>3921223.63</v>
          </cell>
          <cell r="CB25">
            <v>4341869.1100000003</v>
          </cell>
          <cell r="CC25">
            <v>8271339.2999999998</v>
          </cell>
          <cell r="CD25" t="str">
            <v>0</v>
          </cell>
          <cell r="CE25" t="str">
            <v>0</v>
          </cell>
          <cell r="CF25" t="str">
            <v>0</v>
          </cell>
          <cell r="CG25" t="str">
            <v>0</v>
          </cell>
          <cell r="CH25" t="str">
            <v>0</v>
          </cell>
          <cell r="CI25">
            <v>39717.61</v>
          </cell>
          <cell r="CJ25">
            <v>68672</v>
          </cell>
          <cell r="CK25">
            <v>184609.31</v>
          </cell>
          <cell r="CL25">
            <v>302750</v>
          </cell>
          <cell r="CM25">
            <v>593877</v>
          </cell>
          <cell r="CO25">
            <v>1849057.71</v>
          </cell>
        </row>
        <row r="26">
          <cell r="A26" t="str">
            <v>Dues &amp; Donations</v>
          </cell>
          <cell r="B26">
            <v>8072.43</v>
          </cell>
          <cell r="C26">
            <v>10101</v>
          </cell>
          <cell r="D26">
            <v>66756.97</v>
          </cell>
          <cell r="E26">
            <v>68049</v>
          </cell>
          <cell r="F26">
            <v>127523</v>
          </cell>
          <cell r="L26">
            <v>9782.9599999999991</v>
          </cell>
          <cell r="M26">
            <v>6715</v>
          </cell>
          <cell r="N26">
            <v>54592.44</v>
          </cell>
          <cell r="O26">
            <v>51449</v>
          </cell>
          <cell r="P26">
            <v>89084</v>
          </cell>
          <cell r="Q26">
            <v>28456.09</v>
          </cell>
          <cell r="R26">
            <v>71170.009999999995</v>
          </cell>
          <cell r="S26">
            <v>199066.14</v>
          </cell>
          <cell r="T26">
            <v>385569.08</v>
          </cell>
          <cell r="U26">
            <v>496823.14</v>
          </cell>
          <cell r="V26">
            <v>6986.32</v>
          </cell>
          <cell r="W26">
            <v>7579</v>
          </cell>
          <cell r="X26">
            <v>90845.2</v>
          </cell>
          <cell r="Y26">
            <v>94235</v>
          </cell>
          <cell r="Z26">
            <v>164104</v>
          </cell>
          <cell r="AA26">
            <v>10151.450000000001</v>
          </cell>
          <cell r="AB26">
            <v>10644.34</v>
          </cell>
          <cell r="AC26">
            <v>79917.06</v>
          </cell>
          <cell r="AD26">
            <v>94455.89</v>
          </cell>
          <cell r="AE26">
            <v>162803.60999999999</v>
          </cell>
          <cell r="AF26">
            <v>41719.370000000003</v>
          </cell>
          <cell r="AG26">
            <v>45071</v>
          </cell>
          <cell r="AH26">
            <v>267270.13</v>
          </cell>
          <cell r="AI26">
            <v>244855</v>
          </cell>
          <cell r="AJ26">
            <v>465114</v>
          </cell>
          <cell r="AK26">
            <v>16411.77</v>
          </cell>
          <cell r="AL26">
            <v>26071</v>
          </cell>
          <cell r="AM26">
            <v>84845.51</v>
          </cell>
          <cell r="AN26">
            <v>128970</v>
          </cell>
          <cell r="AO26">
            <v>245861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121580.39</v>
          </cell>
          <cell r="AV26">
            <v>177351.35</v>
          </cell>
          <cell r="AW26">
            <v>843293.45</v>
          </cell>
          <cell r="AX26">
            <v>1067582.97</v>
          </cell>
          <cell r="AY26">
            <v>1751312.75</v>
          </cell>
          <cell r="AZ26">
            <v>66860.58</v>
          </cell>
          <cell r="BA26">
            <v>16750</v>
          </cell>
          <cell r="BB26">
            <v>190889.89</v>
          </cell>
          <cell r="BC26">
            <v>100500</v>
          </cell>
          <cell r="BD26">
            <v>201000</v>
          </cell>
          <cell r="BE26">
            <v>8806.56</v>
          </cell>
          <cell r="BF26">
            <v>11034</v>
          </cell>
          <cell r="BG26">
            <v>101907.85</v>
          </cell>
          <cell r="BH26">
            <v>108846</v>
          </cell>
          <cell r="BI26">
            <v>162962</v>
          </cell>
          <cell r="BJ26">
            <v>75667.14</v>
          </cell>
          <cell r="BK26">
            <v>27784</v>
          </cell>
          <cell r="BL26">
            <v>292797.74</v>
          </cell>
          <cell r="BM26">
            <v>209346</v>
          </cell>
          <cell r="BN26">
            <v>363962</v>
          </cell>
          <cell r="BO26" t="str">
            <v>0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Y26">
            <v>197247.53</v>
          </cell>
          <cell r="BZ26">
            <v>205135.35</v>
          </cell>
          <cell r="CA26">
            <v>1136091.19</v>
          </cell>
          <cell r="CB26">
            <v>1276928.97</v>
          </cell>
          <cell r="CC26">
            <v>2115274.75</v>
          </cell>
          <cell r="CD26" t="str">
            <v>0</v>
          </cell>
          <cell r="CE26" t="str">
            <v>0</v>
          </cell>
          <cell r="CF26" t="str">
            <v>0</v>
          </cell>
          <cell r="CG26" t="str">
            <v>0</v>
          </cell>
          <cell r="CH26" t="str">
            <v>0</v>
          </cell>
          <cell r="CI26">
            <v>8806.56</v>
          </cell>
          <cell r="CJ26">
            <v>10009</v>
          </cell>
          <cell r="CK26">
            <v>92354.61</v>
          </cell>
          <cell r="CL26">
            <v>103096</v>
          </cell>
          <cell r="CM26">
            <v>151462</v>
          </cell>
          <cell r="CO26">
            <v>643787.05000000005</v>
          </cell>
        </row>
        <row r="27">
          <cell r="A27" t="str">
            <v>Training</v>
          </cell>
          <cell r="B27">
            <v>3708.75</v>
          </cell>
          <cell r="C27">
            <v>17448</v>
          </cell>
          <cell r="D27">
            <v>35183.160000000003</v>
          </cell>
          <cell r="E27">
            <v>129864</v>
          </cell>
          <cell r="F27">
            <v>244510</v>
          </cell>
          <cell r="L27">
            <v>3043.39</v>
          </cell>
          <cell r="M27">
            <v>8350</v>
          </cell>
          <cell r="N27">
            <v>23432.400000000001</v>
          </cell>
          <cell r="O27">
            <v>47750</v>
          </cell>
          <cell r="P27">
            <v>121850</v>
          </cell>
          <cell r="Q27">
            <v>107693.36</v>
          </cell>
          <cell r="R27">
            <v>25426.03</v>
          </cell>
          <cell r="S27">
            <v>191580.51</v>
          </cell>
          <cell r="T27">
            <v>279486.14</v>
          </cell>
          <cell r="U27">
            <v>405809.31</v>
          </cell>
          <cell r="V27">
            <v>2768.8</v>
          </cell>
          <cell r="W27">
            <v>4850</v>
          </cell>
          <cell r="X27">
            <v>37981.480000000003</v>
          </cell>
          <cell r="Y27">
            <v>58765</v>
          </cell>
          <cell r="Z27">
            <v>85445</v>
          </cell>
          <cell r="AA27">
            <v>3007.5</v>
          </cell>
          <cell r="AB27">
            <v>20453.66</v>
          </cell>
          <cell r="AC27">
            <v>109620.88</v>
          </cell>
          <cell r="AD27">
            <v>120702.71</v>
          </cell>
          <cell r="AE27">
            <v>234475.67</v>
          </cell>
          <cell r="AF27">
            <v>17422.84</v>
          </cell>
          <cell r="AG27">
            <v>62733</v>
          </cell>
          <cell r="AH27">
            <v>91266.14</v>
          </cell>
          <cell r="AI27">
            <v>301699</v>
          </cell>
          <cell r="AJ27">
            <v>541088</v>
          </cell>
          <cell r="AK27">
            <v>127390.12</v>
          </cell>
          <cell r="AL27">
            <v>63339</v>
          </cell>
          <cell r="AM27">
            <v>435927.56</v>
          </cell>
          <cell r="AN27">
            <v>381935</v>
          </cell>
          <cell r="AO27">
            <v>790066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265034.76</v>
          </cell>
          <cell r="AV27">
            <v>202599.69</v>
          </cell>
          <cell r="AW27">
            <v>924992.13</v>
          </cell>
          <cell r="AX27">
            <v>1320201.8500000001</v>
          </cell>
          <cell r="AY27">
            <v>2423243.98</v>
          </cell>
          <cell r="AZ27">
            <v>4093.4</v>
          </cell>
          <cell r="BA27">
            <v>4750</v>
          </cell>
          <cell r="BB27">
            <v>47224.45</v>
          </cell>
          <cell r="BC27">
            <v>28500</v>
          </cell>
          <cell r="BD27">
            <v>57000</v>
          </cell>
          <cell r="BE27">
            <v>6928.52</v>
          </cell>
          <cell r="BF27">
            <v>17287</v>
          </cell>
          <cell r="BG27">
            <v>25883.5</v>
          </cell>
          <cell r="BH27">
            <v>95206</v>
          </cell>
          <cell r="BI27">
            <v>208794</v>
          </cell>
          <cell r="BJ27">
            <v>11021.92</v>
          </cell>
          <cell r="BK27">
            <v>22037</v>
          </cell>
          <cell r="BL27">
            <v>73107.95</v>
          </cell>
          <cell r="BM27">
            <v>123706</v>
          </cell>
          <cell r="BN27">
            <v>265794</v>
          </cell>
          <cell r="BO27" t="str">
            <v>0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Y27">
            <v>276056.68</v>
          </cell>
          <cell r="BZ27">
            <v>224636.69</v>
          </cell>
          <cell r="CA27">
            <v>998100.08</v>
          </cell>
          <cell r="CB27">
            <v>1443907.85</v>
          </cell>
          <cell r="CC27">
            <v>2689037.98</v>
          </cell>
          <cell r="CD27" t="str">
            <v>0</v>
          </cell>
          <cell r="CE27" t="str">
            <v>0</v>
          </cell>
          <cell r="CF27" t="str">
            <v>0</v>
          </cell>
          <cell r="CG27" t="str">
            <v>0</v>
          </cell>
          <cell r="CH27" t="str">
            <v>0</v>
          </cell>
          <cell r="CI27">
            <v>6928.52</v>
          </cell>
          <cell r="CJ27">
            <v>16537</v>
          </cell>
          <cell r="CK27">
            <v>23403.5</v>
          </cell>
          <cell r="CL27">
            <v>90706</v>
          </cell>
          <cell r="CM27">
            <v>199794</v>
          </cell>
          <cell r="CO27">
            <v>534225.51</v>
          </cell>
        </row>
        <row r="28">
          <cell r="A28" t="str">
            <v>Outside Services</v>
          </cell>
          <cell r="B28">
            <v>314343.34999999998</v>
          </cell>
          <cell r="C28">
            <v>323640</v>
          </cell>
          <cell r="D28">
            <v>1821393.89</v>
          </cell>
          <cell r="E28">
            <v>1850053</v>
          </cell>
          <cell r="F28">
            <v>3770428</v>
          </cell>
          <cell r="L28">
            <v>401434.94</v>
          </cell>
          <cell r="M28">
            <v>506084</v>
          </cell>
          <cell r="N28">
            <v>2403776.7999999998</v>
          </cell>
          <cell r="O28">
            <v>2887654</v>
          </cell>
          <cell r="P28">
            <v>5847158</v>
          </cell>
          <cell r="Q28">
            <v>478441.27</v>
          </cell>
          <cell r="R28">
            <v>593273</v>
          </cell>
          <cell r="S28">
            <v>3731603.56</v>
          </cell>
          <cell r="T28">
            <v>3826839</v>
          </cell>
          <cell r="U28">
            <v>7815623.9900000002</v>
          </cell>
          <cell r="V28">
            <v>345777.13</v>
          </cell>
          <cell r="W28">
            <v>355094</v>
          </cell>
          <cell r="X28">
            <v>2316500.5</v>
          </cell>
          <cell r="Y28">
            <v>2240107</v>
          </cell>
          <cell r="Z28">
            <v>4420279</v>
          </cell>
          <cell r="AA28">
            <v>367352.74</v>
          </cell>
          <cell r="AB28">
            <v>375897.12</v>
          </cell>
          <cell r="AC28">
            <v>1784619.51</v>
          </cell>
          <cell r="AD28">
            <v>2089608.3</v>
          </cell>
          <cell r="AE28">
            <v>4273119.95</v>
          </cell>
          <cell r="AF28">
            <v>3112647.85</v>
          </cell>
          <cell r="AG28">
            <v>3357782</v>
          </cell>
          <cell r="AH28">
            <v>17470953.670000002</v>
          </cell>
          <cell r="AI28">
            <v>18150925</v>
          </cell>
          <cell r="AJ28">
            <v>39384123</v>
          </cell>
          <cell r="AK28">
            <v>355181.31</v>
          </cell>
          <cell r="AL28">
            <v>672348</v>
          </cell>
          <cell r="AM28">
            <v>4935936.83</v>
          </cell>
          <cell r="AN28">
            <v>4014436</v>
          </cell>
          <cell r="AO28">
            <v>7852711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5375178.5899999989</v>
          </cell>
          <cell r="AV28">
            <v>6184118.1200000001</v>
          </cell>
          <cell r="AW28">
            <v>34464784.759999998</v>
          </cell>
          <cell r="AX28">
            <v>35059622.299999997</v>
          </cell>
          <cell r="AY28">
            <v>73363442.939999998</v>
          </cell>
          <cell r="AZ28">
            <v>269811.73</v>
          </cell>
          <cell r="BA28">
            <v>155000</v>
          </cell>
          <cell r="BB28">
            <v>1205948.45</v>
          </cell>
          <cell r="BC28">
            <v>930000</v>
          </cell>
          <cell r="BD28">
            <v>1860000</v>
          </cell>
          <cell r="BE28">
            <v>706411.48</v>
          </cell>
          <cell r="BF28">
            <v>1502859</v>
          </cell>
          <cell r="BG28">
            <v>4616466.47</v>
          </cell>
          <cell r="BH28">
            <v>7246672</v>
          </cell>
          <cell r="BI28">
            <v>18832161</v>
          </cell>
          <cell r="BJ28">
            <v>976223.21</v>
          </cell>
          <cell r="BK28">
            <v>1657859</v>
          </cell>
          <cell r="BL28">
            <v>5822414.9199999999</v>
          </cell>
          <cell r="BM28">
            <v>8176672</v>
          </cell>
          <cell r="BN28">
            <v>20692161</v>
          </cell>
          <cell r="BO28">
            <v>-98823.3</v>
          </cell>
          <cell r="BP28">
            <v>-308760</v>
          </cell>
          <cell r="BQ28">
            <v>-1260048.6200000001</v>
          </cell>
          <cell r="BR28">
            <v>-1852560</v>
          </cell>
          <cell r="BS28">
            <v>-3705120</v>
          </cell>
          <cell r="BY28">
            <v>6252578.4999999991</v>
          </cell>
          <cell r="BZ28">
            <v>7533217.1200000001</v>
          </cell>
          <cell r="CA28">
            <v>39027151.059999995</v>
          </cell>
          <cell r="CB28">
            <v>41383734.299999997</v>
          </cell>
          <cell r="CC28">
            <v>90350483.939999998</v>
          </cell>
          <cell r="CD28" t="str">
            <v>0</v>
          </cell>
          <cell r="CE28" t="str">
            <v>0</v>
          </cell>
          <cell r="CF28" t="str">
            <v>0</v>
          </cell>
          <cell r="CG28" t="str">
            <v>0</v>
          </cell>
          <cell r="CH28" t="str">
            <v>0</v>
          </cell>
          <cell r="CI28">
            <v>658017.81000000006</v>
          </cell>
          <cell r="CJ28">
            <v>1429359</v>
          </cell>
          <cell r="CK28">
            <v>3974896.35</v>
          </cell>
          <cell r="CL28">
            <v>6805672</v>
          </cell>
          <cell r="CM28">
            <v>17950161</v>
          </cell>
          <cell r="CO28">
            <v>18965671.260000002</v>
          </cell>
        </row>
        <row r="29">
          <cell r="A29" t="str">
            <v>Provision for Bad Debt</v>
          </cell>
          <cell r="B29">
            <v>58838</v>
          </cell>
          <cell r="C29">
            <v>227075.85</v>
          </cell>
          <cell r="D29">
            <v>916838</v>
          </cell>
          <cell r="E29">
            <v>1429605.2</v>
          </cell>
          <cell r="F29">
            <v>1728806.1</v>
          </cell>
          <cell r="L29">
            <v>-950493.97</v>
          </cell>
          <cell r="M29">
            <v>91831.45</v>
          </cell>
          <cell r="N29">
            <v>-56389.97</v>
          </cell>
          <cell r="O29">
            <v>1136536.21</v>
          </cell>
          <cell r="P29">
            <v>1577048.55</v>
          </cell>
          <cell r="Q29">
            <v>-447481</v>
          </cell>
          <cell r="R29">
            <v>254674.25</v>
          </cell>
          <cell r="S29">
            <v>675617</v>
          </cell>
          <cell r="T29">
            <v>1610380.79</v>
          </cell>
          <cell r="U29">
            <v>2105257.4300000002</v>
          </cell>
          <cell r="V29">
            <v>363145.26</v>
          </cell>
          <cell r="W29">
            <v>290209.06</v>
          </cell>
          <cell r="X29">
            <v>1577511.59</v>
          </cell>
          <cell r="Y29">
            <v>1702625.93</v>
          </cell>
          <cell r="Z29">
            <v>2307436.5699999998</v>
          </cell>
          <cell r="AA29">
            <v>-569432</v>
          </cell>
          <cell r="AB29">
            <v>151213.64000000001</v>
          </cell>
          <cell r="AC29">
            <v>230908</v>
          </cell>
          <cell r="AD29">
            <v>1074816</v>
          </cell>
          <cell r="AE29">
            <v>1571264.53</v>
          </cell>
          <cell r="AF29">
            <v>-685005</v>
          </cell>
          <cell r="AG29">
            <v>368134.81</v>
          </cell>
          <cell r="AH29">
            <v>7426343</v>
          </cell>
          <cell r="AI29">
            <v>9323750.6100000013</v>
          </cell>
          <cell r="AJ29">
            <v>10831143.77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-2230428.71</v>
          </cell>
          <cell r="AV29">
            <v>1383139.06</v>
          </cell>
          <cell r="AW29">
            <v>10770827.619999999</v>
          </cell>
          <cell r="AX29">
            <v>16277714.740000002</v>
          </cell>
          <cell r="AY29">
            <v>20120956.949999999</v>
          </cell>
          <cell r="AZ29">
            <v>-500000</v>
          </cell>
          <cell r="BA29">
            <v>107083</v>
          </cell>
          <cell r="BB29">
            <v>-64336.46</v>
          </cell>
          <cell r="BC29">
            <v>642498</v>
          </cell>
          <cell r="BD29">
            <v>1284996</v>
          </cell>
          <cell r="BE29">
            <v>55960.38</v>
          </cell>
          <cell r="BF29" t="str">
            <v>0</v>
          </cell>
          <cell r="BG29">
            <v>57526.06</v>
          </cell>
          <cell r="BH29" t="str">
            <v>0</v>
          </cell>
          <cell r="BI29" t="str">
            <v>0</v>
          </cell>
          <cell r="BJ29">
            <v>-444039.62</v>
          </cell>
          <cell r="BK29">
            <v>107083</v>
          </cell>
          <cell r="BL29">
            <v>-6810.4000000000233</v>
          </cell>
          <cell r="BM29">
            <v>642498</v>
          </cell>
          <cell r="BN29">
            <v>1284996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Y29">
            <v>-2674468.33</v>
          </cell>
          <cell r="BZ29">
            <v>1490222.06</v>
          </cell>
          <cell r="CA29">
            <v>10764017.219999999</v>
          </cell>
          <cell r="CB29">
            <v>16920212.740000002</v>
          </cell>
          <cell r="CC29">
            <v>21405952.949999999</v>
          </cell>
          <cell r="CD29" t="str">
            <v>0</v>
          </cell>
          <cell r="CE29" t="str">
            <v>0</v>
          </cell>
          <cell r="CF29" t="str">
            <v>0</v>
          </cell>
          <cell r="CG29" t="str">
            <v>0</v>
          </cell>
          <cell r="CH29" t="str">
            <v>0</v>
          </cell>
          <cell r="CI29">
            <v>55960.38</v>
          </cell>
          <cell r="CJ29" t="str">
            <v>0</v>
          </cell>
          <cell r="CK29">
            <v>57526.06</v>
          </cell>
          <cell r="CL29" t="str">
            <v>0</v>
          </cell>
          <cell r="CM29" t="str">
            <v>0</v>
          </cell>
          <cell r="CO29">
            <v>4067217.05</v>
          </cell>
        </row>
        <row r="30">
          <cell r="A30" t="str">
            <v>Miscellaneous</v>
          </cell>
          <cell r="B30">
            <v>-9716.2900000000009</v>
          </cell>
          <cell r="C30">
            <v>6314</v>
          </cell>
          <cell r="D30">
            <v>-13247.28</v>
          </cell>
          <cell r="E30">
            <v>59712</v>
          </cell>
          <cell r="F30">
            <v>104346</v>
          </cell>
          <cell r="L30">
            <v>-4324656.08</v>
          </cell>
          <cell r="M30">
            <v>45924</v>
          </cell>
          <cell r="N30">
            <v>-4186878.21</v>
          </cell>
          <cell r="O30">
            <v>-1990631</v>
          </cell>
          <cell r="P30">
            <v>-1718737</v>
          </cell>
          <cell r="Q30">
            <v>6596.61</v>
          </cell>
          <cell r="R30">
            <v>20427.990000000002</v>
          </cell>
          <cell r="S30">
            <v>116578.8</v>
          </cell>
          <cell r="T30">
            <v>164577.94</v>
          </cell>
          <cell r="U30">
            <v>368843.89</v>
          </cell>
          <cell r="V30">
            <v>44968.67</v>
          </cell>
          <cell r="W30">
            <v>51902</v>
          </cell>
          <cell r="X30">
            <v>245539.01</v>
          </cell>
          <cell r="Y30">
            <v>270108</v>
          </cell>
          <cell r="Z30">
            <v>357132</v>
          </cell>
          <cell r="AA30">
            <v>2677</v>
          </cell>
          <cell r="AB30">
            <v>-5649.32</v>
          </cell>
          <cell r="AC30">
            <v>-25669.55</v>
          </cell>
          <cell r="AD30">
            <v>-33895.919999999998</v>
          </cell>
          <cell r="AE30">
            <v>-67791.839999999997</v>
          </cell>
          <cell r="AF30">
            <v>98336.92</v>
          </cell>
          <cell r="AG30">
            <v>0</v>
          </cell>
          <cell r="AH30">
            <v>-49275.31</v>
          </cell>
          <cell r="AI30">
            <v>-266000</v>
          </cell>
          <cell r="AJ30">
            <v>-610000</v>
          </cell>
          <cell r="AK30">
            <v>-2677684.77</v>
          </cell>
          <cell r="AL30">
            <v>-2809365</v>
          </cell>
          <cell r="AM30">
            <v>-16318232.819999998</v>
          </cell>
          <cell r="AN30">
            <v>-16854484</v>
          </cell>
          <cell r="AO30">
            <v>-33705034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-6859477.9400000013</v>
          </cell>
          <cell r="AV30">
            <v>-2690446.33</v>
          </cell>
          <cell r="AW30">
            <v>-20231185.359999999</v>
          </cell>
          <cell r="AX30">
            <v>-18650612.98</v>
          </cell>
          <cell r="AY30">
            <v>-35271240.950000003</v>
          </cell>
          <cell r="AZ30">
            <v>-5327.26</v>
          </cell>
          <cell r="BA30">
            <v>4750</v>
          </cell>
          <cell r="BB30">
            <v>-28294.54</v>
          </cell>
          <cell r="BC30">
            <v>28500</v>
          </cell>
          <cell r="BD30">
            <v>57000</v>
          </cell>
          <cell r="BE30">
            <v>39003.300000000003</v>
          </cell>
          <cell r="BF30">
            <v>88761</v>
          </cell>
          <cell r="BG30">
            <v>-178133.3</v>
          </cell>
          <cell r="BH30">
            <v>515025</v>
          </cell>
          <cell r="BI30">
            <v>1044698</v>
          </cell>
          <cell r="BJ30">
            <v>33676.04</v>
          </cell>
          <cell r="BK30">
            <v>93511</v>
          </cell>
          <cell r="BL30">
            <v>-206427.84</v>
          </cell>
          <cell r="BM30">
            <v>543525</v>
          </cell>
          <cell r="BN30">
            <v>1101698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Y30">
            <v>-6825801.9000000013</v>
          </cell>
          <cell r="BZ30">
            <v>-2596935.33</v>
          </cell>
          <cell r="CA30">
            <v>-20437613.199999999</v>
          </cell>
          <cell r="CB30">
            <v>-18107087.98</v>
          </cell>
          <cell r="CC30">
            <v>-34169542.950000003</v>
          </cell>
          <cell r="CD30" t="str">
            <v>0</v>
          </cell>
          <cell r="CE30" t="str">
            <v>0</v>
          </cell>
          <cell r="CF30" t="str">
            <v>0</v>
          </cell>
          <cell r="CG30" t="str">
            <v>0</v>
          </cell>
          <cell r="CH30" t="str">
            <v>0</v>
          </cell>
          <cell r="CI30">
            <v>36378.11</v>
          </cell>
          <cell r="CJ30">
            <v>66694</v>
          </cell>
          <cell r="CK30">
            <v>-244740.59</v>
          </cell>
          <cell r="CL30">
            <v>420911</v>
          </cell>
          <cell r="CM30">
            <v>801617</v>
          </cell>
          <cell r="CO30">
            <v>-12147864.239999998</v>
          </cell>
        </row>
        <row r="31">
          <cell r="A31" t="str">
            <v>Expense Billings</v>
          </cell>
          <cell r="B31">
            <v>488909.04</v>
          </cell>
          <cell r="C31">
            <v>538103</v>
          </cell>
          <cell r="D31">
            <v>3413215.58</v>
          </cell>
          <cell r="E31">
            <v>3635118</v>
          </cell>
          <cell r="F31">
            <v>6751985</v>
          </cell>
          <cell r="L31">
            <v>676929.81</v>
          </cell>
          <cell r="M31">
            <v>724945</v>
          </cell>
          <cell r="N31">
            <v>4687060.88</v>
          </cell>
          <cell r="O31">
            <v>4932579</v>
          </cell>
          <cell r="P31">
            <v>9122739</v>
          </cell>
          <cell r="Q31">
            <v>1033772.02</v>
          </cell>
          <cell r="R31">
            <v>1126310</v>
          </cell>
          <cell r="S31">
            <v>7145862.2400000002</v>
          </cell>
          <cell r="T31">
            <v>7644935.0800000001</v>
          </cell>
          <cell r="U31">
            <v>14174582.210000001</v>
          </cell>
          <cell r="V31">
            <v>565340.9</v>
          </cell>
          <cell r="W31">
            <v>554693</v>
          </cell>
          <cell r="X31">
            <v>3961055.82</v>
          </cell>
          <cell r="Y31">
            <v>3797958</v>
          </cell>
          <cell r="Z31">
            <v>7011398</v>
          </cell>
          <cell r="AA31">
            <v>595962.53</v>
          </cell>
          <cell r="AB31">
            <v>643859.28</v>
          </cell>
          <cell r="AC31">
            <v>4148242.3</v>
          </cell>
          <cell r="AD31">
            <v>4340632.45</v>
          </cell>
          <cell r="AE31">
            <v>8064761.1400000006</v>
          </cell>
          <cell r="AF31">
            <v>3081249.69</v>
          </cell>
          <cell r="AG31">
            <v>3163351</v>
          </cell>
          <cell r="AH31">
            <v>20852656.900000002</v>
          </cell>
          <cell r="AI31">
            <v>21292475</v>
          </cell>
          <cell r="AJ31">
            <v>39560341</v>
          </cell>
          <cell r="AK31">
            <v>-6818887.9799999995</v>
          </cell>
          <cell r="AL31">
            <v>-7074788</v>
          </cell>
          <cell r="AM31">
            <v>-46809156.409999996</v>
          </cell>
          <cell r="AN31">
            <v>-48193118</v>
          </cell>
          <cell r="AO31">
            <v>-89135592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-376723.98999999929</v>
          </cell>
          <cell r="AV31">
            <v>-323526.71999999997</v>
          </cell>
          <cell r="AW31">
            <v>-2601062.6899999902</v>
          </cell>
          <cell r="AX31">
            <v>-2549420.4700000002</v>
          </cell>
          <cell r="AY31">
            <v>-4449785.650000006</v>
          </cell>
          <cell r="AZ31">
            <v>-20356.240000000002</v>
          </cell>
          <cell r="BA31">
            <v>-207579</v>
          </cell>
          <cell r="BB31">
            <v>-529930.11</v>
          </cell>
          <cell r="BC31">
            <v>-1212275</v>
          </cell>
          <cell r="BD31">
            <v>-2461674</v>
          </cell>
          <cell r="BE31">
            <v>397080.23</v>
          </cell>
          <cell r="BF31">
            <v>531749</v>
          </cell>
          <cell r="BG31">
            <v>3130992.8</v>
          </cell>
          <cell r="BH31">
            <v>3766034</v>
          </cell>
          <cell r="BI31">
            <v>6919519</v>
          </cell>
          <cell r="BJ31">
            <v>376723.99</v>
          </cell>
          <cell r="BK31">
            <v>324170</v>
          </cell>
          <cell r="BL31">
            <v>2601062.69</v>
          </cell>
          <cell r="BM31">
            <v>2553759</v>
          </cell>
          <cell r="BN31">
            <v>4457845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Y31">
            <v>7.5669959187507629E-10</v>
          </cell>
          <cell r="BZ31">
            <v>643.28000000026077</v>
          </cell>
          <cell r="CA31">
            <v>1.0710209608078003E-8</v>
          </cell>
          <cell r="CB31">
            <v>4338.5300000011921</v>
          </cell>
          <cell r="CC31">
            <v>8059.3499999940395</v>
          </cell>
          <cell r="CD31" t="str">
            <v>0</v>
          </cell>
          <cell r="CE31" t="str">
            <v>0</v>
          </cell>
          <cell r="CF31" t="str">
            <v>0</v>
          </cell>
          <cell r="CG31" t="str">
            <v>0</v>
          </cell>
          <cell r="CH31" t="str">
            <v>0</v>
          </cell>
          <cell r="CI31">
            <v>321300.75</v>
          </cell>
          <cell r="CJ31">
            <v>246007</v>
          </cell>
          <cell r="CK31">
            <v>2194673.87</v>
          </cell>
          <cell r="CL31">
            <v>2032482</v>
          </cell>
          <cell r="CM31">
            <v>3473768</v>
          </cell>
          <cell r="CO31">
            <v>-3.4924596548080444E-9</v>
          </cell>
        </row>
        <row r="33">
          <cell r="A33" t="str">
            <v>Depreciation and Amortization</v>
          </cell>
          <cell r="B33">
            <v>1173036.29</v>
          </cell>
          <cell r="C33">
            <v>1229323.78</v>
          </cell>
          <cell r="D33">
            <v>7068998.8600000003</v>
          </cell>
          <cell r="E33">
            <v>7376111.2200000007</v>
          </cell>
          <cell r="F33">
            <v>14987216.690000001</v>
          </cell>
          <cell r="L33">
            <v>1724271.96</v>
          </cell>
          <cell r="M33">
            <v>1896090.54</v>
          </cell>
          <cell r="N33">
            <v>10419377.789999999</v>
          </cell>
          <cell r="O33">
            <v>11241690.420000002</v>
          </cell>
          <cell r="P33">
            <v>23073759.290000007</v>
          </cell>
          <cell r="Q33">
            <v>2856630.71</v>
          </cell>
          <cell r="R33">
            <v>2872153.23</v>
          </cell>
          <cell r="S33">
            <v>17160551.669999998</v>
          </cell>
          <cell r="T33">
            <v>17227795.510000002</v>
          </cell>
          <cell r="U33">
            <v>34516783.890000008</v>
          </cell>
          <cell r="V33">
            <v>877038.04</v>
          </cell>
          <cell r="W33">
            <v>959254.09</v>
          </cell>
          <cell r="X33">
            <v>5320467.7</v>
          </cell>
          <cell r="Y33">
            <v>5660092.3700000001</v>
          </cell>
          <cell r="Z33">
            <v>11609461.59</v>
          </cell>
          <cell r="AA33">
            <v>1149855.28</v>
          </cell>
          <cell r="AB33">
            <v>1237880.22</v>
          </cell>
          <cell r="AC33">
            <v>6910741.4300000006</v>
          </cell>
          <cell r="AD33">
            <v>7451339.3100000005</v>
          </cell>
          <cell r="AE33">
            <v>14912723.169999998</v>
          </cell>
          <cell r="AF33">
            <v>6990275.1300000008</v>
          </cell>
          <cell r="AG33">
            <v>7360302</v>
          </cell>
          <cell r="AH33">
            <v>42745461.06000001</v>
          </cell>
          <cell r="AI33">
            <v>41113219</v>
          </cell>
          <cell r="AJ33">
            <v>85197584</v>
          </cell>
          <cell r="AK33">
            <v>1.000000000290413E-2</v>
          </cell>
          <cell r="AL33" t="str">
            <v>0</v>
          </cell>
          <cell r="AM33">
            <v>9.9999998564896941E-3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14771107.42</v>
          </cell>
          <cell r="AV33">
            <v>15555003.859999999</v>
          </cell>
          <cell r="AW33">
            <v>89625598.520000011</v>
          </cell>
          <cell r="AX33">
            <v>90070247.830000013</v>
          </cell>
          <cell r="AY33">
            <v>184297528.63000003</v>
          </cell>
          <cell r="AZ33">
            <v>221021.65</v>
          </cell>
          <cell r="BA33">
            <v>159425</v>
          </cell>
          <cell r="BB33">
            <v>776678.04</v>
          </cell>
          <cell r="BC33">
            <v>956550</v>
          </cell>
          <cell r="BD33">
            <v>1950600</v>
          </cell>
          <cell r="BE33">
            <v>1579203.9</v>
          </cell>
          <cell r="BF33">
            <v>1613479.73</v>
          </cell>
          <cell r="BG33">
            <v>9658447.0800000001</v>
          </cell>
          <cell r="BH33">
            <v>9744842.7400000002</v>
          </cell>
          <cell r="BI33">
            <v>20334531.990000002</v>
          </cell>
          <cell r="BJ33">
            <v>1800225.55</v>
          </cell>
          <cell r="BK33">
            <v>1772904.73</v>
          </cell>
          <cell r="BL33">
            <v>10435125.120000001</v>
          </cell>
          <cell r="BM33">
            <v>10701392.74</v>
          </cell>
          <cell r="BN33">
            <v>22285131.990000002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Y33">
            <v>16571332.970000001</v>
          </cell>
          <cell r="BZ33">
            <v>17327908.59</v>
          </cell>
          <cell r="CA33">
            <v>100060723.64000002</v>
          </cell>
          <cell r="CB33">
            <v>100771640.57000001</v>
          </cell>
          <cell r="CC33">
            <v>206582660.62000003</v>
          </cell>
          <cell r="CD33" t="str">
            <v>0</v>
          </cell>
          <cell r="CE33" t="str">
            <v>0</v>
          </cell>
          <cell r="CF33" t="str">
            <v>0</v>
          </cell>
          <cell r="CG33" t="str">
            <v>0</v>
          </cell>
          <cell r="CH33" t="str">
            <v>0</v>
          </cell>
          <cell r="CI33">
            <v>1430999.61</v>
          </cell>
          <cell r="CJ33">
            <v>1490149.73</v>
          </cell>
          <cell r="CK33">
            <v>8840562.5899999999</v>
          </cell>
          <cell r="CL33">
            <v>9004862.7400000002</v>
          </cell>
          <cell r="CM33">
            <v>18854571.990000002</v>
          </cell>
          <cell r="CO33">
            <v>51065983.649999999</v>
          </cell>
        </row>
        <row r="34">
          <cell r="A34" t="str">
            <v>Total Taxes - Other Than Income Taxes</v>
          </cell>
          <cell r="B34">
            <v>647760.38</v>
          </cell>
          <cell r="C34">
            <v>745657.39</v>
          </cell>
          <cell r="D34">
            <v>4025036.17</v>
          </cell>
          <cell r="E34">
            <v>4236591.97</v>
          </cell>
          <cell r="F34">
            <v>7668512.7299999986</v>
          </cell>
          <cell r="L34">
            <v>728465.13</v>
          </cell>
          <cell r="M34">
            <v>822382.83</v>
          </cell>
          <cell r="N34">
            <v>4757812.21</v>
          </cell>
          <cell r="O34">
            <v>5015679.9800000004</v>
          </cell>
          <cell r="P34">
            <v>9923198.9600000009</v>
          </cell>
          <cell r="Q34">
            <v>1123792.32</v>
          </cell>
          <cell r="R34">
            <v>1183879.1499999999</v>
          </cell>
          <cell r="S34">
            <v>7461374.4900000002</v>
          </cell>
          <cell r="T34">
            <v>7319439.3100000005</v>
          </cell>
          <cell r="U34">
            <v>13876334.390000001</v>
          </cell>
          <cell r="V34">
            <v>1197208.71</v>
          </cell>
          <cell r="W34">
            <v>1408296.5</v>
          </cell>
          <cell r="X34">
            <v>7904545.3999999994</v>
          </cell>
          <cell r="Y34">
            <v>8673844.4299999997</v>
          </cell>
          <cell r="Z34">
            <v>14653351.93</v>
          </cell>
          <cell r="AA34">
            <v>1861919.16</v>
          </cell>
          <cell r="AB34">
            <v>2594933.15</v>
          </cell>
          <cell r="AC34">
            <v>12762657.810000001</v>
          </cell>
          <cell r="AD34">
            <v>17098408.98</v>
          </cell>
          <cell r="AE34">
            <v>24586564.970000003</v>
          </cell>
          <cell r="AF34">
            <v>11590987.400000002</v>
          </cell>
          <cell r="AG34">
            <v>15187120</v>
          </cell>
          <cell r="AH34">
            <v>54375704.950000018</v>
          </cell>
          <cell r="AI34">
            <v>66674405</v>
          </cell>
          <cell r="AJ34">
            <v>130284972</v>
          </cell>
          <cell r="AK34">
            <v>1.0000000067520887E-2</v>
          </cell>
          <cell r="AL34" t="str">
            <v>0</v>
          </cell>
          <cell r="AM34">
            <v>2.9999999969732016E-2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17150133.110000003</v>
          </cell>
          <cell r="AV34">
            <v>21942269.020000003</v>
          </cell>
          <cell r="AW34">
            <v>91287131.060000032</v>
          </cell>
          <cell r="AX34">
            <v>109018369.67000002</v>
          </cell>
          <cell r="AY34">
            <v>200992934.98000002</v>
          </cell>
          <cell r="AZ34">
            <v>130187.62</v>
          </cell>
          <cell r="BA34">
            <v>87350</v>
          </cell>
          <cell r="BB34">
            <v>656606.04</v>
          </cell>
          <cell r="BC34">
            <v>524100</v>
          </cell>
          <cell r="BD34">
            <v>1048200</v>
          </cell>
          <cell r="BE34">
            <v>872481.82</v>
          </cell>
          <cell r="BF34">
            <v>817111.48</v>
          </cell>
          <cell r="BG34">
            <v>4869347.5199999996</v>
          </cell>
          <cell r="BH34">
            <v>4746328.3</v>
          </cell>
          <cell r="BI34">
            <v>9638019.2799999993</v>
          </cell>
          <cell r="BJ34">
            <v>1002669.44</v>
          </cell>
          <cell r="BK34">
            <v>904461.48</v>
          </cell>
          <cell r="BL34">
            <v>5525953.5600000005</v>
          </cell>
          <cell r="BM34">
            <v>5270428.3</v>
          </cell>
          <cell r="BN34">
            <v>10686219.279999999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Y34">
            <v>18152802.550000004</v>
          </cell>
          <cell r="BZ34">
            <v>22846730.500000004</v>
          </cell>
          <cell r="CA34">
            <v>96813084.620000035</v>
          </cell>
          <cell r="CB34">
            <v>114288797.97000001</v>
          </cell>
          <cell r="CC34">
            <v>211679154.26000002</v>
          </cell>
          <cell r="CD34" t="str">
            <v>0</v>
          </cell>
          <cell r="CE34" t="str">
            <v>0</v>
          </cell>
          <cell r="CF34" t="str">
            <v>0</v>
          </cell>
          <cell r="CG34" t="str">
            <v>0</v>
          </cell>
          <cell r="CH34" t="str">
            <v>0</v>
          </cell>
          <cell r="CI34">
            <v>757387.78</v>
          </cell>
          <cell r="CJ34">
            <v>736336.48</v>
          </cell>
          <cell r="CK34">
            <v>4296046.34</v>
          </cell>
          <cell r="CL34">
            <v>4261678.3</v>
          </cell>
          <cell r="CM34">
            <v>8668719.2799999993</v>
          </cell>
          <cell r="CO34">
            <v>56745286.31000001</v>
          </cell>
        </row>
        <row r="36">
          <cell r="A36" t="str">
            <v>Interest Income</v>
          </cell>
          <cell r="B36">
            <v>84040.9</v>
          </cell>
          <cell r="C36">
            <v>70500</v>
          </cell>
          <cell r="D36">
            <v>330760.37</v>
          </cell>
          <cell r="E36">
            <v>375600</v>
          </cell>
          <cell r="F36">
            <v>880300</v>
          </cell>
          <cell r="L36">
            <v>146799.88</v>
          </cell>
          <cell r="M36">
            <v>125300</v>
          </cell>
          <cell r="N36">
            <v>578401.17000000004</v>
          </cell>
          <cell r="O36">
            <v>667200</v>
          </cell>
          <cell r="P36">
            <v>1563700</v>
          </cell>
          <cell r="Q36">
            <v>193309.41</v>
          </cell>
          <cell r="R36">
            <v>172300</v>
          </cell>
          <cell r="S36">
            <v>761651.69</v>
          </cell>
          <cell r="T36">
            <v>921500</v>
          </cell>
          <cell r="U36">
            <v>2146800</v>
          </cell>
          <cell r="V36">
            <v>113157.52</v>
          </cell>
          <cell r="W36">
            <v>92200</v>
          </cell>
          <cell r="X36">
            <v>465868.06</v>
          </cell>
          <cell r="Y36">
            <v>499400</v>
          </cell>
          <cell r="Z36">
            <v>1158800</v>
          </cell>
          <cell r="AA36">
            <v>78873.490000000005</v>
          </cell>
          <cell r="AB36">
            <v>67200</v>
          </cell>
          <cell r="AC36">
            <v>310766.69</v>
          </cell>
          <cell r="AD36">
            <v>358400</v>
          </cell>
          <cell r="AE36">
            <v>840300</v>
          </cell>
          <cell r="AF36">
            <v>648053.39</v>
          </cell>
          <cell r="AG36">
            <v>453600</v>
          </cell>
          <cell r="AH36">
            <v>2573033.7000000002</v>
          </cell>
          <cell r="AI36">
            <v>2431200</v>
          </cell>
          <cell r="AJ36">
            <v>5652900</v>
          </cell>
          <cell r="AK36">
            <v>81075.47</v>
          </cell>
          <cell r="AL36" t="str">
            <v>0</v>
          </cell>
          <cell r="AM36">
            <v>145310.19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1345310.06</v>
          </cell>
          <cell r="AV36">
            <v>981100</v>
          </cell>
          <cell r="AW36">
            <v>5165791.87</v>
          </cell>
          <cell r="AX36">
            <v>5253300</v>
          </cell>
          <cell r="AY36">
            <v>12242800</v>
          </cell>
          <cell r="AZ36">
            <v>1147012.3600000001</v>
          </cell>
          <cell r="BA36">
            <v>352200</v>
          </cell>
          <cell r="BB36">
            <v>4076057.43</v>
          </cell>
          <cell r="BC36">
            <v>1191300</v>
          </cell>
          <cell r="BD36">
            <v>2308600</v>
          </cell>
          <cell r="BE36">
            <v>524813.02</v>
          </cell>
          <cell r="BF36">
            <v>656500</v>
          </cell>
          <cell r="BG36">
            <v>2806358.79</v>
          </cell>
          <cell r="BH36">
            <v>4736000</v>
          </cell>
          <cell r="BI36">
            <v>9069900</v>
          </cell>
          <cell r="BJ36">
            <v>1671825.38</v>
          </cell>
          <cell r="BK36">
            <v>1008700</v>
          </cell>
          <cell r="BL36">
            <v>6882416.2200000007</v>
          </cell>
          <cell r="BM36">
            <v>5927300</v>
          </cell>
          <cell r="BN36">
            <v>11378500</v>
          </cell>
          <cell r="BO36">
            <v>-1782724.68</v>
          </cell>
          <cell r="BP36">
            <v>-1763350</v>
          </cell>
          <cell r="BQ36">
            <v>-7556101.7199999997</v>
          </cell>
          <cell r="BR36">
            <v>-10103043</v>
          </cell>
          <cell r="BS36">
            <v>-21563728</v>
          </cell>
          <cell r="BY36">
            <v>1234410.76</v>
          </cell>
          <cell r="BZ36">
            <v>226450</v>
          </cell>
          <cell r="CA36">
            <v>4492106.37</v>
          </cell>
          <cell r="CB36">
            <v>1077557</v>
          </cell>
          <cell r="CC36">
            <v>2057572</v>
          </cell>
          <cell r="CD36" t="str">
            <v>0</v>
          </cell>
          <cell r="CE36">
            <v>-264800</v>
          </cell>
          <cell r="CF36" t="str">
            <v>0</v>
          </cell>
          <cell r="CG36">
            <v>-1472900</v>
          </cell>
          <cell r="CH36">
            <v>-3495600</v>
          </cell>
          <cell r="CI36">
            <v>292612.27</v>
          </cell>
          <cell r="CJ36">
            <v>238300</v>
          </cell>
          <cell r="CK36">
            <v>1127030.52</v>
          </cell>
          <cell r="CL36">
            <v>1269400</v>
          </cell>
          <cell r="CM36">
            <v>2975100</v>
          </cell>
          <cell r="CO36">
            <v>2578354.7999999998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16276.2</v>
          </cell>
          <cell r="R37">
            <v>45250</v>
          </cell>
          <cell r="S37">
            <v>810068.53</v>
          </cell>
          <cell r="T37">
            <v>273000</v>
          </cell>
          <cell r="U37">
            <v>545000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16276.2</v>
          </cell>
          <cell r="AV37">
            <v>45250</v>
          </cell>
          <cell r="AW37">
            <v>810068.53</v>
          </cell>
          <cell r="AX37">
            <v>273000</v>
          </cell>
          <cell r="AY37">
            <v>545000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Y37">
            <v>16276.2</v>
          </cell>
          <cell r="BZ37">
            <v>45250</v>
          </cell>
          <cell r="CA37">
            <v>810068.53</v>
          </cell>
          <cell r="CB37">
            <v>273000</v>
          </cell>
          <cell r="CC37">
            <v>545000</v>
          </cell>
          <cell r="CD37" t="str">
            <v>0</v>
          </cell>
          <cell r="CE37" t="str">
            <v>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O37">
            <v>180215.8</v>
          </cell>
        </row>
        <row r="38">
          <cell r="A38" t="str">
            <v>Others Income</v>
          </cell>
          <cell r="B38">
            <v>3824.74</v>
          </cell>
          <cell r="C38" t="str">
            <v>0</v>
          </cell>
          <cell r="D38">
            <v>26091.69</v>
          </cell>
          <cell r="E38" t="str">
            <v>0</v>
          </cell>
          <cell r="F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95752.31</v>
          </cell>
          <cell r="R38">
            <v>74114.070000000007</v>
          </cell>
          <cell r="S38">
            <v>675160.56</v>
          </cell>
          <cell r="T38">
            <v>442988.71</v>
          </cell>
          <cell r="U38">
            <v>887673.13</v>
          </cell>
          <cell r="V38">
            <v>0</v>
          </cell>
          <cell r="W38" t="str">
            <v>0</v>
          </cell>
          <cell r="X38">
            <v>14178.45</v>
          </cell>
          <cell r="Y38" t="str">
            <v>0</v>
          </cell>
          <cell r="Z38" t="str">
            <v>0</v>
          </cell>
          <cell r="AA38">
            <v>1740.58</v>
          </cell>
          <cell r="AB38" t="str">
            <v>0</v>
          </cell>
          <cell r="AC38">
            <v>17169.349999999999</v>
          </cell>
          <cell r="AD38" t="str">
            <v>0</v>
          </cell>
          <cell r="AE38" t="str">
            <v>0</v>
          </cell>
          <cell r="AF38">
            <v>2582.1999999999998</v>
          </cell>
          <cell r="AG38" t="str">
            <v>0</v>
          </cell>
          <cell r="AH38">
            <v>2582.1999999999998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-6554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103899.83</v>
          </cell>
          <cell r="AV38">
            <v>74114.070000000007</v>
          </cell>
          <cell r="AW38">
            <v>728628.25</v>
          </cell>
          <cell r="AX38">
            <v>442988.71</v>
          </cell>
          <cell r="AY38">
            <v>887673.13</v>
          </cell>
          <cell r="AZ38">
            <v>10736.28</v>
          </cell>
          <cell r="BA38">
            <v>5000</v>
          </cell>
          <cell r="BB38">
            <v>168889.74</v>
          </cell>
          <cell r="BC38">
            <v>30000</v>
          </cell>
          <cell r="BD38">
            <v>60000</v>
          </cell>
          <cell r="BE38">
            <v>-2861.3</v>
          </cell>
          <cell r="BF38">
            <v>-5150</v>
          </cell>
          <cell r="BG38">
            <v>-37233.040000000001</v>
          </cell>
          <cell r="BH38">
            <v>-30900</v>
          </cell>
          <cell r="BI38">
            <v>-61800</v>
          </cell>
          <cell r="BJ38">
            <v>7874.98</v>
          </cell>
          <cell r="BK38">
            <v>-150</v>
          </cell>
          <cell r="BL38">
            <v>131656.70000000001</v>
          </cell>
          <cell r="BM38">
            <v>-900</v>
          </cell>
          <cell r="BN38">
            <v>-1800</v>
          </cell>
          <cell r="BO38">
            <v>-28662</v>
          </cell>
          <cell r="BP38">
            <v>-16760</v>
          </cell>
          <cell r="BQ38">
            <v>-171972</v>
          </cell>
          <cell r="BR38">
            <v>-100560</v>
          </cell>
          <cell r="BS38">
            <v>-201120</v>
          </cell>
          <cell r="BY38">
            <v>83112.81</v>
          </cell>
          <cell r="BZ38">
            <v>57204.07</v>
          </cell>
          <cell r="CA38">
            <v>688312.95</v>
          </cell>
          <cell r="CB38">
            <v>341528.71</v>
          </cell>
          <cell r="CC38">
            <v>684753.13</v>
          </cell>
          <cell r="CD38" t="str">
            <v>0</v>
          </cell>
          <cell r="CE38" t="str">
            <v>0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O38">
            <v>359853.23</v>
          </cell>
        </row>
        <row r="39">
          <cell r="A39" t="str">
            <v>Total Interest Expense</v>
          </cell>
          <cell r="B39">
            <v>752172.56</v>
          </cell>
          <cell r="C39">
            <v>755800</v>
          </cell>
          <cell r="D39">
            <v>4768975.09</v>
          </cell>
          <cell r="E39">
            <v>4600500</v>
          </cell>
          <cell r="F39">
            <v>9222600</v>
          </cell>
          <cell r="L39">
            <v>1204442.21</v>
          </cell>
          <cell r="M39">
            <v>1359600</v>
          </cell>
          <cell r="N39">
            <v>7817289.96</v>
          </cell>
          <cell r="O39">
            <v>8272700</v>
          </cell>
          <cell r="P39">
            <v>16586500</v>
          </cell>
          <cell r="Q39">
            <v>1771480.55</v>
          </cell>
          <cell r="R39">
            <v>1828100</v>
          </cell>
          <cell r="S39">
            <v>11209465.870000001</v>
          </cell>
          <cell r="T39">
            <v>11119900</v>
          </cell>
          <cell r="U39">
            <v>22297900</v>
          </cell>
          <cell r="V39">
            <v>964425.54</v>
          </cell>
          <cell r="W39">
            <v>1007700</v>
          </cell>
          <cell r="X39">
            <v>6000018.6499999994</v>
          </cell>
          <cell r="Y39">
            <v>6129700</v>
          </cell>
          <cell r="Z39">
            <v>12291400</v>
          </cell>
          <cell r="AA39">
            <v>703764.25</v>
          </cell>
          <cell r="AB39">
            <v>738100</v>
          </cell>
          <cell r="AC39">
            <v>4345298.87</v>
          </cell>
          <cell r="AD39">
            <v>4490900</v>
          </cell>
          <cell r="AE39">
            <v>9005300</v>
          </cell>
          <cell r="AF39">
            <v>4684681.33</v>
          </cell>
          <cell r="AG39">
            <v>4756400</v>
          </cell>
          <cell r="AH39">
            <v>28035661.59</v>
          </cell>
          <cell r="AI39">
            <v>28969800</v>
          </cell>
          <cell r="AJ39">
            <v>58122600</v>
          </cell>
          <cell r="AK39">
            <v>3.3605829230509698E-10</v>
          </cell>
          <cell r="AL39">
            <v>-0.27999999921303242</v>
          </cell>
          <cell r="AM39">
            <v>-1.999999627171567E-2</v>
          </cell>
          <cell r="AN39">
            <v>-0.75999999535270035</v>
          </cell>
          <cell r="AO39">
            <v>0.28000000817701221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10080966.440000001</v>
          </cell>
          <cell r="AV39">
            <v>10445699.720000001</v>
          </cell>
          <cell r="AW39">
            <v>62176710.010000005</v>
          </cell>
          <cell r="AX39">
            <v>63583499.240000002</v>
          </cell>
          <cell r="AY39">
            <v>127526300.28</v>
          </cell>
          <cell r="AZ39">
            <v>126635.8</v>
          </cell>
          <cell r="BA39">
            <v>357400</v>
          </cell>
          <cell r="BB39">
            <v>1405590.97</v>
          </cell>
          <cell r="BC39">
            <v>4982500</v>
          </cell>
          <cell r="BD39">
            <v>8979400</v>
          </cell>
          <cell r="BE39">
            <v>3465039.6</v>
          </cell>
          <cell r="BF39">
            <v>3364322.6</v>
          </cell>
          <cell r="BG39">
            <v>18767392.919999998</v>
          </cell>
          <cell r="BH39">
            <v>17628254.710000001</v>
          </cell>
          <cell r="BI39">
            <v>35327780.119999997</v>
          </cell>
          <cell r="BJ39">
            <v>3591675.4</v>
          </cell>
          <cell r="BK39">
            <v>3721722.6</v>
          </cell>
          <cell r="BL39">
            <v>20172983.889999997</v>
          </cell>
          <cell r="BM39">
            <v>22610754.710000001</v>
          </cell>
          <cell r="BN39">
            <v>44307180.119999997</v>
          </cell>
          <cell r="BO39">
            <v>-1782724.68</v>
          </cell>
          <cell r="BP39">
            <v>-1763350</v>
          </cell>
          <cell r="BQ39">
            <v>-7556101.7200000007</v>
          </cell>
          <cell r="BR39">
            <v>-10103043</v>
          </cell>
          <cell r="BS39">
            <v>-21563728</v>
          </cell>
          <cell r="BY39">
            <v>11889917.160000002</v>
          </cell>
          <cell r="BZ39">
            <v>12404072.32</v>
          </cell>
          <cell r="CA39">
            <v>74793592.180000007</v>
          </cell>
          <cell r="CB39">
            <v>76091210.950000003</v>
          </cell>
          <cell r="CC39">
            <v>150269752.40000001</v>
          </cell>
          <cell r="CD39" t="str">
            <v>0</v>
          </cell>
          <cell r="CE39">
            <v>-264800</v>
          </cell>
          <cell r="CF39" t="str">
            <v>0</v>
          </cell>
          <cell r="CG39">
            <v>-1472900</v>
          </cell>
          <cell r="CH39">
            <v>-3495600</v>
          </cell>
          <cell r="CI39">
            <v>2217301.36</v>
          </cell>
          <cell r="CJ39">
            <v>2516100</v>
          </cell>
          <cell r="CK39">
            <v>14132064.82</v>
          </cell>
          <cell r="CL39">
            <v>15320900</v>
          </cell>
          <cell r="CM39">
            <v>30706700</v>
          </cell>
          <cell r="CO39">
            <v>35261951.340000004</v>
          </cell>
        </row>
        <row r="40">
          <cell r="A40" t="str">
            <v>Donations</v>
          </cell>
          <cell r="B40">
            <v>6572.37</v>
          </cell>
          <cell r="C40">
            <v>3874.69</v>
          </cell>
          <cell r="D40">
            <v>64731.03</v>
          </cell>
          <cell r="E40">
            <v>62003.48</v>
          </cell>
          <cell r="F40">
            <v>111239.96</v>
          </cell>
          <cell r="L40">
            <v>1351.74</v>
          </cell>
          <cell r="M40">
            <v>20031</v>
          </cell>
          <cell r="N40">
            <v>115721.03</v>
          </cell>
          <cell r="O40">
            <v>120186</v>
          </cell>
          <cell r="P40">
            <v>240372</v>
          </cell>
          <cell r="Q40">
            <v>66545.960000000006</v>
          </cell>
          <cell r="R40">
            <v>44119</v>
          </cell>
          <cell r="S40">
            <v>325112.49</v>
          </cell>
          <cell r="T40">
            <v>303968.69</v>
          </cell>
          <cell r="U40">
            <v>562538.68999999994</v>
          </cell>
          <cell r="V40">
            <v>10420</v>
          </cell>
          <cell r="W40">
            <v>13000</v>
          </cell>
          <cell r="X40">
            <v>33093.35</v>
          </cell>
          <cell r="Y40">
            <v>78000</v>
          </cell>
          <cell r="Z40">
            <v>160000</v>
          </cell>
          <cell r="AA40">
            <v>9235.77</v>
          </cell>
          <cell r="AB40">
            <v>22845</v>
          </cell>
          <cell r="AC40">
            <v>184128.56</v>
          </cell>
          <cell r="AD40">
            <v>137070</v>
          </cell>
          <cell r="AE40">
            <v>274140</v>
          </cell>
          <cell r="AF40">
            <v>34196</v>
          </cell>
          <cell r="AG40">
            <v>20597</v>
          </cell>
          <cell r="AH40">
            <v>384912.47</v>
          </cell>
          <cell r="AI40">
            <v>297119</v>
          </cell>
          <cell r="AJ40">
            <v>507731</v>
          </cell>
          <cell r="AK40">
            <v>51879.14</v>
          </cell>
          <cell r="AL40" t="str">
            <v>0</v>
          </cell>
          <cell r="AM40">
            <v>227728.85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180200.98</v>
          </cell>
          <cell r="AV40">
            <v>124466.69</v>
          </cell>
          <cell r="AW40">
            <v>1335427.78</v>
          </cell>
          <cell r="AX40">
            <v>998347.17</v>
          </cell>
          <cell r="AY40">
            <v>1856021.65</v>
          </cell>
          <cell r="AZ40">
            <v>500</v>
          </cell>
          <cell r="BA40" t="str">
            <v>0</v>
          </cell>
          <cell r="BB40">
            <v>4844</v>
          </cell>
          <cell r="BC40" t="str">
            <v>0</v>
          </cell>
          <cell r="BD40" t="str">
            <v>0</v>
          </cell>
          <cell r="BE40">
            <v>13810.35</v>
          </cell>
          <cell r="BF40">
            <v>8413</v>
          </cell>
          <cell r="BG40">
            <v>95229.84</v>
          </cell>
          <cell r="BH40">
            <v>85812</v>
          </cell>
          <cell r="BI40">
            <v>136290</v>
          </cell>
          <cell r="BJ40">
            <v>14310.35</v>
          </cell>
          <cell r="BK40">
            <v>8413</v>
          </cell>
          <cell r="BL40">
            <v>100073.84</v>
          </cell>
          <cell r="BM40">
            <v>85812</v>
          </cell>
          <cell r="BN40">
            <v>136290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Y40">
            <v>194511.33</v>
          </cell>
          <cell r="BZ40">
            <v>132879.69</v>
          </cell>
          <cell r="CA40">
            <v>1435501.62</v>
          </cell>
          <cell r="CB40">
            <v>1084159.17</v>
          </cell>
          <cell r="CC40">
            <v>1992311.65</v>
          </cell>
          <cell r="CD40" t="str">
            <v>0</v>
          </cell>
          <cell r="CE40" t="str">
            <v>0</v>
          </cell>
          <cell r="CF40" t="str">
            <v>0</v>
          </cell>
          <cell r="CG40" t="str">
            <v>0</v>
          </cell>
          <cell r="CH40" t="str">
            <v>0</v>
          </cell>
          <cell r="CI40">
            <v>13810.35</v>
          </cell>
          <cell r="CJ40">
            <v>8413</v>
          </cell>
          <cell r="CK40">
            <v>95229.84</v>
          </cell>
          <cell r="CL40">
            <v>85812</v>
          </cell>
          <cell r="CM40">
            <v>136290</v>
          </cell>
          <cell r="CO40">
            <v>511935.11</v>
          </cell>
        </row>
        <row r="41">
          <cell r="A41" t="str">
            <v>Other Non-Operating Expense</v>
          </cell>
          <cell r="B41">
            <v>22649.69</v>
          </cell>
          <cell r="C41" t="str">
            <v>0</v>
          </cell>
          <cell r="D41">
            <v>43675.61</v>
          </cell>
          <cell r="E41" t="str">
            <v>0</v>
          </cell>
          <cell r="F41" t="str">
            <v>0</v>
          </cell>
          <cell r="L41">
            <v>159551.95000000001</v>
          </cell>
          <cell r="M41">
            <v>143903</v>
          </cell>
          <cell r="N41">
            <v>239662.96</v>
          </cell>
          <cell r="O41">
            <v>234855</v>
          </cell>
          <cell r="P41">
            <v>376385</v>
          </cell>
          <cell r="Q41">
            <v>90382.12</v>
          </cell>
          <cell r="R41">
            <v>12387.63</v>
          </cell>
          <cell r="S41">
            <v>358118.79</v>
          </cell>
          <cell r="T41">
            <v>74326.95</v>
          </cell>
          <cell r="U41">
            <v>121714.58</v>
          </cell>
          <cell r="V41">
            <v>29878.65</v>
          </cell>
          <cell r="W41">
            <v>15340</v>
          </cell>
          <cell r="X41">
            <v>53137.1</v>
          </cell>
          <cell r="Y41">
            <v>71178</v>
          </cell>
          <cell r="Z41">
            <v>130721</v>
          </cell>
          <cell r="AA41">
            <v>27673.29</v>
          </cell>
          <cell r="AB41">
            <v>2847</v>
          </cell>
          <cell r="AC41">
            <v>148945.9</v>
          </cell>
          <cell r="AD41">
            <v>45082</v>
          </cell>
          <cell r="AE41">
            <v>54929</v>
          </cell>
          <cell r="AF41">
            <v>141880.29999999999</v>
          </cell>
          <cell r="AG41">
            <v>11735</v>
          </cell>
          <cell r="AH41">
            <v>359775.37</v>
          </cell>
          <cell r="AI41">
            <v>70410</v>
          </cell>
          <cell r="AJ41">
            <v>82145</v>
          </cell>
          <cell r="AK41">
            <v>-51879.14</v>
          </cell>
          <cell r="AL41" t="str">
            <v>0</v>
          </cell>
          <cell r="AM41">
            <v>-234282.85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420136.86</v>
          </cell>
          <cell r="AV41">
            <v>186212.63</v>
          </cell>
          <cell r="AW41">
            <v>969032.88</v>
          </cell>
          <cell r="AX41">
            <v>495851.95</v>
          </cell>
          <cell r="AY41">
            <v>765894.58</v>
          </cell>
          <cell r="AZ41">
            <v>2054.91</v>
          </cell>
          <cell r="BA41" t="str">
            <v>0</v>
          </cell>
          <cell r="BB41">
            <v>2054.91</v>
          </cell>
          <cell r="BC41" t="str">
            <v>0</v>
          </cell>
          <cell r="BD41" t="str">
            <v>0</v>
          </cell>
          <cell r="BE41">
            <v>42775.48</v>
          </cell>
          <cell r="BF41">
            <v>3120</v>
          </cell>
          <cell r="BG41">
            <v>122072.93</v>
          </cell>
          <cell r="BH41">
            <v>18720</v>
          </cell>
          <cell r="BI41">
            <v>21840</v>
          </cell>
          <cell r="BJ41">
            <v>44830.39</v>
          </cell>
          <cell r="BK41">
            <v>3120</v>
          </cell>
          <cell r="BL41">
            <v>124127.84</v>
          </cell>
          <cell r="BM41">
            <v>18720</v>
          </cell>
          <cell r="BN41">
            <v>21840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Y41">
            <v>464967.25</v>
          </cell>
          <cell r="BZ41">
            <v>189332.63</v>
          </cell>
          <cell r="CA41">
            <v>1093160.72</v>
          </cell>
          <cell r="CB41">
            <v>514571.95</v>
          </cell>
          <cell r="CC41">
            <v>787734.58</v>
          </cell>
          <cell r="CD41" t="str">
            <v>0</v>
          </cell>
          <cell r="CE41" t="str">
            <v>0</v>
          </cell>
          <cell r="CF41" t="str">
            <v>0</v>
          </cell>
          <cell r="CG41" t="str">
            <v>0</v>
          </cell>
          <cell r="CH41" t="str">
            <v>0</v>
          </cell>
          <cell r="CI41">
            <v>42775.48</v>
          </cell>
          <cell r="CJ41">
            <v>3120</v>
          </cell>
          <cell r="CK41">
            <v>122072.93</v>
          </cell>
          <cell r="CL41">
            <v>18720</v>
          </cell>
          <cell r="CM41">
            <v>21840</v>
          </cell>
          <cell r="CO41">
            <v>751816.25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0</v>
          </cell>
          <cell r="BF42" t="str">
            <v>0</v>
          </cell>
          <cell r="BG42">
            <v>-45599.15</v>
          </cell>
          <cell r="BH42" t="str">
            <v>0</v>
          </cell>
          <cell r="BI42" t="str">
            <v>0</v>
          </cell>
          <cell r="BJ42">
            <v>0</v>
          </cell>
          <cell r="BK42" t="str">
            <v>0</v>
          </cell>
          <cell r="BL42">
            <v>-45599.15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Y42">
            <v>0</v>
          </cell>
          <cell r="BZ42" t="str">
            <v>0</v>
          </cell>
          <cell r="CA42">
            <v>-45599.15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O42">
            <v>-17090.87</v>
          </cell>
        </row>
        <row r="43">
          <cell r="A43" t="str">
            <v>Total Provision (Benefit) for Inc Tax</v>
          </cell>
          <cell r="B43">
            <v>1279652</v>
          </cell>
          <cell r="C43">
            <v>1035528.46</v>
          </cell>
          <cell r="D43">
            <v>7470980</v>
          </cell>
          <cell r="E43">
            <v>6936767.3500000006</v>
          </cell>
          <cell r="F43">
            <v>5197783.4000000004</v>
          </cell>
          <cell r="L43">
            <v>1211279</v>
          </cell>
          <cell r="M43">
            <v>-79297.69</v>
          </cell>
          <cell r="N43">
            <v>10017430</v>
          </cell>
          <cell r="O43">
            <v>10243825.33</v>
          </cell>
          <cell r="P43">
            <v>8719399.7699999977</v>
          </cell>
          <cell r="Q43">
            <v>3057218</v>
          </cell>
          <cell r="R43">
            <v>2306174.09</v>
          </cell>
          <cell r="S43">
            <v>13303798</v>
          </cell>
          <cell r="T43">
            <v>15287164.539999999</v>
          </cell>
          <cell r="U43">
            <v>10591062.84</v>
          </cell>
          <cell r="V43">
            <v>891713</v>
          </cell>
          <cell r="W43">
            <v>1103363.58</v>
          </cell>
          <cell r="X43">
            <v>7133382</v>
          </cell>
          <cell r="Y43">
            <v>6624768.9000000004</v>
          </cell>
          <cell r="Z43">
            <v>4400927.92</v>
          </cell>
          <cell r="AA43">
            <v>1122953</v>
          </cell>
          <cell r="AB43">
            <v>689768.78</v>
          </cell>
          <cell r="AC43">
            <v>5427858</v>
          </cell>
          <cell r="AD43">
            <v>4625902.95</v>
          </cell>
          <cell r="AE43">
            <v>5049976.12</v>
          </cell>
          <cell r="AF43">
            <v>6156893</v>
          </cell>
          <cell r="AG43">
            <v>1918024</v>
          </cell>
          <cell r="AH43">
            <v>29390300</v>
          </cell>
          <cell r="AI43">
            <v>30339510</v>
          </cell>
          <cell r="AJ43">
            <v>22296883</v>
          </cell>
          <cell r="AK43">
            <v>-1509162</v>
          </cell>
          <cell r="AL43">
            <v>97592</v>
          </cell>
          <cell r="AM43">
            <v>-1213933</v>
          </cell>
          <cell r="AN43">
            <v>585552</v>
          </cell>
          <cell r="AO43">
            <v>1171105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12210546</v>
          </cell>
          <cell r="AV43">
            <v>7071153.2200000007</v>
          </cell>
          <cell r="AW43">
            <v>71529815</v>
          </cell>
          <cell r="AX43">
            <v>74643491.070000008</v>
          </cell>
          <cell r="AY43">
            <v>57427138.049999997</v>
          </cell>
          <cell r="AZ43">
            <v>-4200975</v>
          </cell>
          <cell r="BA43">
            <v>2511027</v>
          </cell>
          <cell r="BB43">
            <v>29408917</v>
          </cell>
          <cell r="BC43">
            <v>15621321</v>
          </cell>
          <cell r="BD43">
            <v>20113598</v>
          </cell>
          <cell r="BE43">
            <v>1012343</v>
          </cell>
          <cell r="BF43">
            <v>2265509.46</v>
          </cell>
          <cell r="BG43">
            <v>20059056</v>
          </cell>
          <cell r="BH43">
            <v>15155787.709999997</v>
          </cell>
          <cell r="BI43">
            <v>23904245.869999997</v>
          </cell>
          <cell r="BJ43">
            <v>-3188632</v>
          </cell>
          <cell r="BK43">
            <v>4776536.46</v>
          </cell>
          <cell r="BL43">
            <v>49467973</v>
          </cell>
          <cell r="BM43">
            <v>30777108.709999997</v>
          </cell>
          <cell r="BN43">
            <v>44017843.869999997</v>
          </cell>
          <cell r="BO43">
            <v>-705</v>
          </cell>
          <cell r="BP43" t="str">
            <v>0</v>
          </cell>
          <cell r="BQ43">
            <v>31328</v>
          </cell>
          <cell r="BR43" t="str">
            <v>0</v>
          </cell>
          <cell r="BS43" t="str">
            <v>0</v>
          </cell>
          <cell r="BY43">
            <v>9021209</v>
          </cell>
          <cell r="BZ43">
            <v>11847689.68</v>
          </cell>
          <cell r="CA43">
            <v>121029116</v>
          </cell>
          <cell r="CB43">
            <v>105420599.78</v>
          </cell>
          <cell r="CC43">
            <v>101444981.91999999</v>
          </cell>
          <cell r="CD43" t="str">
            <v>0</v>
          </cell>
          <cell r="CE43" t="str">
            <v>0</v>
          </cell>
          <cell r="CF43" t="str">
            <v>0</v>
          </cell>
          <cell r="CG43" t="str">
            <v>0</v>
          </cell>
          <cell r="CH43" t="str">
            <v>0</v>
          </cell>
          <cell r="CI43">
            <v>1796249</v>
          </cell>
          <cell r="CJ43">
            <v>1644243.52</v>
          </cell>
          <cell r="CK43">
            <v>13201940</v>
          </cell>
          <cell r="CL43">
            <v>11961697.479999999</v>
          </cell>
          <cell r="CM43">
            <v>18420534.889999997</v>
          </cell>
          <cell r="CO43">
            <v>69083165</v>
          </cell>
        </row>
        <row r="44">
          <cell r="A44" t="str">
            <v>Income / Loss, Before Income Taxes</v>
          </cell>
          <cell r="B44">
            <v>3462662.85</v>
          </cell>
          <cell r="C44">
            <v>2721269.5900000078</v>
          </cell>
          <cell r="D44">
            <v>19119865.609999999</v>
          </cell>
          <cell r="E44">
            <v>18228917.079999998</v>
          </cell>
          <cell r="F44">
            <v>13657232.250000004</v>
          </cell>
          <cell r="L44">
            <v>3859299.17</v>
          </cell>
          <cell r="M44">
            <v>-202807.41</v>
          </cell>
          <cell r="N44">
            <v>26024999.04000001</v>
          </cell>
          <cell r="O44">
            <v>26199041.760000002</v>
          </cell>
          <cell r="P44">
            <v>22300255.179999996</v>
          </cell>
          <cell r="Q44">
            <v>7945624.5000000177</v>
          </cell>
          <cell r="R44">
            <v>5722930.5899999989</v>
          </cell>
          <cell r="S44">
            <v>33505258.740000073</v>
          </cell>
          <cell r="T44">
            <v>37953692.230000004</v>
          </cell>
          <cell r="U44">
            <v>26268176.93999999</v>
          </cell>
          <cell r="V44">
            <v>2638242.269999994</v>
          </cell>
          <cell r="W44">
            <v>2751530.5499999886</v>
          </cell>
          <cell r="X44">
            <v>18196311.469999976</v>
          </cell>
          <cell r="Y44">
            <v>16520620.780000001</v>
          </cell>
          <cell r="Z44">
            <v>10974883.659999996</v>
          </cell>
          <cell r="AA44">
            <v>3099215.4199999883</v>
          </cell>
          <cell r="AB44">
            <v>1715856.1</v>
          </cell>
          <cell r="AC44">
            <v>14270910.63999996</v>
          </cell>
          <cell r="AD44">
            <v>11507298.960000005</v>
          </cell>
          <cell r="AE44">
            <v>12562285.840000009</v>
          </cell>
          <cell r="AF44">
            <v>8152485.970000024</v>
          </cell>
          <cell r="AG44">
            <v>5006929</v>
          </cell>
          <cell r="AH44">
            <v>68142001.719999835</v>
          </cell>
          <cell r="AI44">
            <v>75697167</v>
          </cell>
          <cell r="AJ44">
            <v>56048780</v>
          </cell>
          <cell r="AK44">
            <v>-977805.79000000213</v>
          </cell>
          <cell r="AL44">
            <v>278838.27999999921</v>
          </cell>
          <cell r="AM44">
            <v>424741.75999999838</v>
          </cell>
          <cell r="AN44">
            <v>1673008.76</v>
          </cell>
          <cell r="AO44">
            <v>3346000.7199999918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28179724.390000012</v>
          </cell>
          <cell r="AV44">
            <v>17994546.699999992</v>
          </cell>
          <cell r="AW44">
            <v>179684088.97999984</v>
          </cell>
          <cell r="AX44">
            <v>187779746.56999999</v>
          </cell>
          <cell r="AY44">
            <v>145157614.59</v>
          </cell>
          <cell r="AZ44">
            <v>-9616389.300000051</v>
          </cell>
          <cell r="BA44">
            <v>6184797</v>
          </cell>
          <cell r="BB44">
            <v>75337967.430000022</v>
          </cell>
          <cell r="BC44">
            <v>38476161</v>
          </cell>
          <cell r="BD44">
            <v>49540877</v>
          </cell>
          <cell r="BE44">
            <v>3040433.28</v>
          </cell>
          <cell r="BF44">
            <v>5998279.6499999994</v>
          </cell>
          <cell r="BG44">
            <v>53692497.030000001</v>
          </cell>
          <cell r="BH44">
            <v>40371912.060000002</v>
          </cell>
          <cell r="BI44">
            <v>63562471.850000009</v>
          </cell>
          <cell r="BJ44">
            <v>-6575956.020000048</v>
          </cell>
          <cell r="BK44">
            <v>12183076.649999999</v>
          </cell>
          <cell r="BL44">
            <v>129030464.46000002</v>
          </cell>
          <cell r="BM44">
            <v>78848073.060000002</v>
          </cell>
          <cell r="BN44">
            <v>113103348.85000001</v>
          </cell>
          <cell r="BO44">
            <v>-2.1536834537982941E-9</v>
          </cell>
          <cell r="BP44">
            <v>0</v>
          </cell>
          <cell r="BQ44">
            <v>80255.999999989464</v>
          </cell>
          <cell r="BR44">
            <v>0</v>
          </cell>
          <cell r="BS44">
            <v>0</v>
          </cell>
          <cell r="BY44">
            <v>21603768.36999996</v>
          </cell>
          <cell r="BZ44">
            <v>30177623.34999999</v>
          </cell>
          <cell r="CA44">
            <v>308794809.43999982</v>
          </cell>
          <cell r="CB44">
            <v>266627819.63</v>
          </cell>
          <cell r="CC44">
            <v>258260963.44</v>
          </cell>
          <cell r="CD44">
            <v>0</v>
          </cell>
          <cell r="CE44">
            <v>0</v>
          </cell>
          <cell r="CF44">
            <v>8.7311491370201111E-11</v>
          </cell>
          <cell r="CG44">
            <v>0</v>
          </cell>
          <cell r="CH44">
            <v>0</v>
          </cell>
          <cell r="CI44">
            <v>4721741.53</v>
          </cell>
          <cell r="CJ44">
            <v>4468051.96</v>
          </cell>
          <cell r="CK44">
            <v>36126361.909999996</v>
          </cell>
          <cell r="CL44">
            <v>32504614.270000003</v>
          </cell>
          <cell r="CM44">
            <v>50055800.980000004</v>
          </cell>
          <cell r="CO44">
            <v>175588104.86999983</v>
          </cell>
        </row>
        <row r="45">
          <cell r="A45" t="str">
            <v>Income Statement - Net (Income) Loss</v>
          </cell>
          <cell r="B45">
            <v>2183010.85</v>
          </cell>
          <cell r="C45">
            <v>1685741.1300000078</v>
          </cell>
          <cell r="D45">
            <v>11648885.609999999</v>
          </cell>
          <cell r="E45">
            <v>11292149.729999999</v>
          </cell>
          <cell r="F45">
            <v>8459448.8500000052</v>
          </cell>
          <cell r="L45">
            <v>2648020.17</v>
          </cell>
          <cell r="M45">
            <v>-123509.72</v>
          </cell>
          <cell r="N45">
            <v>16007569.04000001</v>
          </cell>
          <cell r="O45">
            <v>15955216.430000002</v>
          </cell>
          <cell r="P45">
            <v>13580855.41</v>
          </cell>
          <cell r="Q45">
            <v>4888406.5000000177</v>
          </cell>
          <cell r="R45">
            <v>3416756.5</v>
          </cell>
          <cell r="S45">
            <v>20201460.740000073</v>
          </cell>
          <cell r="T45">
            <v>22666527.690000005</v>
          </cell>
          <cell r="U45">
            <v>15677114.100000001</v>
          </cell>
          <cell r="V45">
            <v>1746529.269999994</v>
          </cell>
          <cell r="W45">
            <v>1648166.9699999886</v>
          </cell>
          <cell r="X45">
            <v>11062929.469999978</v>
          </cell>
          <cell r="Y45">
            <v>9895851.879999999</v>
          </cell>
          <cell r="Z45">
            <v>6573955.7399999956</v>
          </cell>
          <cell r="AA45">
            <v>1976262.4199999883</v>
          </cell>
          <cell r="AB45">
            <v>1026087.32</v>
          </cell>
          <cell r="AC45">
            <v>8843052.6399999596</v>
          </cell>
          <cell r="AD45">
            <v>6881396.0100000054</v>
          </cell>
          <cell r="AE45">
            <v>7512309.72000001</v>
          </cell>
          <cell r="AF45">
            <v>1995592.970000024</v>
          </cell>
          <cell r="AG45">
            <v>3088905</v>
          </cell>
          <cell r="AH45">
            <v>38751701.719999827</v>
          </cell>
          <cell r="AI45">
            <v>45357657</v>
          </cell>
          <cell r="AJ45">
            <v>33751897</v>
          </cell>
          <cell r="AK45">
            <v>531356.20999999787</v>
          </cell>
          <cell r="AL45">
            <v>181246.27999999921</v>
          </cell>
          <cell r="AM45">
            <v>1638674.76</v>
          </cell>
          <cell r="AN45">
            <v>1087456.76</v>
          </cell>
          <cell r="AO45">
            <v>2174895.7199999918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15969178.390000014</v>
          </cell>
          <cell r="AV45">
            <v>10923393.479999991</v>
          </cell>
          <cell r="AW45">
            <v>108154273.97999987</v>
          </cell>
          <cell r="AX45">
            <v>113136255.5</v>
          </cell>
          <cell r="AY45">
            <v>87730476.540000007</v>
          </cell>
          <cell r="AZ45">
            <v>-5415414.300000051</v>
          </cell>
          <cell r="BA45">
            <v>3673770</v>
          </cell>
          <cell r="BB45">
            <v>45929050.430000022</v>
          </cell>
          <cell r="BC45">
            <v>22854840</v>
          </cell>
          <cell r="BD45">
            <v>29427279</v>
          </cell>
          <cell r="BE45">
            <v>2028090.28</v>
          </cell>
          <cell r="BF45">
            <v>3732770.19</v>
          </cell>
          <cell r="BG45">
            <v>33633441.029999994</v>
          </cell>
          <cell r="BH45">
            <v>25216124.349999994</v>
          </cell>
          <cell r="BI45">
            <v>39658225.979999997</v>
          </cell>
          <cell r="BJ45">
            <v>-3387324.020000048</v>
          </cell>
          <cell r="BK45">
            <v>7406540.1899999995</v>
          </cell>
          <cell r="BL45">
            <v>79562491.460000008</v>
          </cell>
          <cell r="BM45">
            <v>48070964.349999994</v>
          </cell>
          <cell r="BN45">
            <v>69085504.979999989</v>
          </cell>
          <cell r="BO45">
            <v>704.99999999784632</v>
          </cell>
          <cell r="BP45">
            <v>0</v>
          </cell>
          <cell r="BQ45">
            <v>48927.999999989464</v>
          </cell>
          <cell r="BR45">
            <v>0</v>
          </cell>
          <cell r="BS45">
            <v>0</v>
          </cell>
          <cell r="BY45">
            <v>12582559.369999964</v>
          </cell>
          <cell r="BZ45">
            <v>18329933.669999991</v>
          </cell>
          <cell r="CA45">
            <v>187765693.43999988</v>
          </cell>
          <cell r="CB45">
            <v>161207219.84999999</v>
          </cell>
          <cell r="CC45">
            <v>156815981.51999998</v>
          </cell>
          <cell r="CD45">
            <v>0</v>
          </cell>
          <cell r="CE45">
            <v>0</v>
          </cell>
          <cell r="CF45">
            <v>8.7311491370201111E-11</v>
          </cell>
          <cell r="CG45">
            <v>0</v>
          </cell>
          <cell r="CH45">
            <v>0</v>
          </cell>
          <cell r="CI45">
            <v>2925492.53</v>
          </cell>
          <cell r="CJ45">
            <v>2823808.44</v>
          </cell>
          <cell r="CK45">
            <v>22924421.909999993</v>
          </cell>
          <cell r="CL45">
            <v>20542916.789999999</v>
          </cell>
          <cell r="CM45">
            <v>31635266.089999996</v>
          </cell>
          <cell r="CO45">
            <v>106504939.86999981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Mgmt Summary (2)"/>
      <sheetName val="Proj Mgmt Pivot"/>
      <sheetName val="Proj Mgmt Qry cap_ex_2"/>
      <sheetName val="GL 1070 ONLY"/>
      <sheetName val="GL DETAIL"/>
      <sheetName val="GL Purchasing"/>
      <sheetName val="GL to PP 3150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12503184.01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676997.9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9770209.0999999996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2779550.6999999997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5380913.8099999996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29394406.149999999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O246">
            <v>5666739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O247">
            <v>5003447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O248">
            <v>542044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O249">
            <v>2265177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O250">
            <v>-376045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O252">
            <v>-326499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O253">
            <v>152320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O254">
            <v>7501566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O255">
            <v>27932974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FY16 SW CR WO's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</sheetNames>
    <sheetDataSet>
      <sheetData sheetId="0"/>
      <sheetData sheetId="1"/>
      <sheetData sheetId="2">
        <row r="14">
          <cell r="D14" t="str">
            <v>AU010SSU</v>
          </cell>
        </row>
      </sheetData>
      <sheetData sheetId="3">
        <row r="29">
          <cell r="C29" t="str">
            <v>002</v>
          </cell>
        </row>
        <row r="30">
          <cell r="E30" t="str">
            <v>Basis Costs used for Software Tax Adjustment (IDS)</v>
          </cell>
          <cell r="F30"/>
          <cell r="G30"/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/>
          <cell r="G32"/>
          <cell r="H32"/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/>
          <cell r="G34"/>
          <cell r="H34">
            <v>50599</v>
          </cell>
        </row>
        <row r="35">
          <cell r="C35"/>
          <cell r="D35"/>
          <cell r="E35">
            <v>-50599</v>
          </cell>
          <cell r="F35"/>
          <cell r="G35"/>
          <cell r="H35">
            <v>50599</v>
          </cell>
        </row>
        <row r="36">
          <cell r="E36">
            <v>-50599</v>
          </cell>
          <cell r="F36"/>
          <cell r="G36"/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/>
          <cell r="D39"/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/>
          <cell r="D42"/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B3" t="str">
            <v>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>
        <row r="15">
          <cell r="A15" t="str">
            <v>Reg/Non Reg</v>
          </cell>
        </row>
      </sheetData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/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/>
          <cell r="U11">
            <v>-144583.88</v>
          </cell>
        </row>
        <row r="12">
          <cell r="O12"/>
          <cell r="P12"/>
          <cell r="Q12"/>
          <cell r="R12">
            <v>-59153</v>
          </cell>
          <cell r="S12">
            <v>-144641.38</v>
          </cell>
          <cell r="T12"/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/>
          <cell r="T13"/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/>
          <cell r="T14"/>
          <cell r="U14">
            <v>-9156</v>
          </cell>
        </row>
        <row r="15">
          <cell r="O15"/>
          <cell r="P15"/>
          <cell r="Q15"/>
          <cell r="R15">
            <v>-12934.279999999999</v>
          </cell>
          <cell r="S15"/>
          <cell r="T15"/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/>
          <cell r="T16"/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/>
          <cell r="T17"/>
          <cell r="U17">
            <v>0</v>
          </cell>
        </row>
        <row r="18">
          <cell r="O18"/>
          <cell r="P18"/>
          <cell r="Q18"/>
          <cell r="R18">
            <v>-26433</v>
          </cell>
          <cell r="S18"/>
          <cell r="T18"/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/>
          <cell r="S19">
            <v>-10300</v>
          </cell>
          <cell r="T19"/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/>
          <cell r="U20">
            <v>-13921.77</v>
          </cell>
        </row>
        <row r="21">
          <cell r="O21"/>
          <cell r="P21"/>
          <cell r="Q21"/>
          <cell r="R21">
            <v>-1421.77</v>
          </cell>
          <cell r="S21">
            <v>-22800</v>
          </cell>
          <cell r="T21"/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/>
          <cell r="U22">
            <v>-220555.32</v>
          </cell>
        </row>
        <row r="23">
          <cell r="O23"/>
          <cell r="P23"/>
          <cell r="Q23"/>
          <cell r="R23">
            <v>-207399.62</v>
          </cell>
          <cell r="S23">
            <v>-13155.7</v>
          </cell>
          <cell r="T23"/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/>
          <cell r="T24"/>
          <cell r="U24">
            <v>-609464.26</v>
          </cell>
        </row>
        <row r="25">
          <cell r="O25"/>
          <cell r="P25"/>
          <cell r="Q25"/>
          <cell r="R25">
            <v>-609464.26</v>
          </cell>
          <cell r="S25"/>
          <cell r="T25"/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/>
          <cell r="S26"/>
          <cell r="T26">
            <v>-249769.86</v>
          </cell>
          <cell r="U26">
            <v>-249769.86</v>
          </cell>
        </row>
        <row r="27">
          <cell r="O27"/>
          <cell r="P27"/>
          <cell r="Q27"/>
          <cell r="R27"/>
          <cell r="S27"/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ability Detail"/>
      <sheetName val="OU Collection"/>
      <sheetName val="ROR True-Up Adj"/>
      <sheetName val="Error Checks"/>
      <sheetName val="Input"/>
      <sheetName val="Data"/>
      <sheetName val="BS Recon"/>
      <sheetName val="Revenue Report"/>
      <sheetName val="Startup"/>
      <sheetName val="VersionHist"/>
    </sheetNames>
    <sheetDataSet>
      <sheetData sheetId="0"/>
      <sheetData sheetId="1"/>
      <sheetData sheetId="2"/>
      <sheetData sheetId="3"/>
      <sheetData sheetId="4"/>
      <sheetData sheetId="5">
        <row r="85">
          <cell r="O85">
            <v>201309</v>
          </cell>
          <cell r="P85">
            <v>201308</v>
          </cell>
          <cell r="Q85">
            <v>201307</v>
          </cell>
          <cell r="R85">
            <v>201306</v>
          </cell>
          <cell r="S85">
            <v>201305</v>
          </cell>
          <cell r="T85">
            <v>201304</v>
          </cell>
          <cell r="U85">
            <v>201303</v>
          </cell>
          <cell r="V85">
            <v>201302</v>
          </cell>
          <cell r="W85">
            <v>201301</v>
          </cell>
          <cell r="X85">
            <v>201212</v>
          </cell>
          <cell r="Y85">
            <v>201211</v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 t="str">
            <v/>
          </cell>
          <cell r="BA85" t="str">
            <v/>
          </cell>
          <cell r="BB85" t="str">
            <v/>
          </cell>
          <cell r="BC85" t="str">
            <v/>
          </cell>
          <cell r="BD85" t="str">
            <v/>
          </cell>
          <cell r="BE85" t="str">
            <v/>
          </cell>
          <cell r="BF85" t="str">
            <v/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</row>
        <row r="86">
          <cell r="O86">
            <v>2013</v>
          </cell>
          <cell r="P86">
            <v>2013</v>
          </cell>
          <cell r="Q86">
            <v>2013</v>
          </cell>
          <cell r="R86">
            <v>2013</v>
          </cell>
          <cell r="S86">
            <v>2013</v>
          </cell>
          <cell r="T86">
            <v>2013</v>
          </cell>
          <cell r="U86">
            <v>2013</v>
          </cell>
          <cell r="V86">
            <v>2013</v>
          </cell>
          <cell r="W86">
            <v>2013</v>
          </cell>
          <cell r="X86">
            <v>2012</v>
          </cell>
          <cell r="Y86">
            <v>2012</v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 t="str">
            <v/>
          </cell>
          <cell r="BE86" t="str">
            <v/>
          </cell>
          <cell r="BF86" t="str">
            <v/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</row>
        <row r="87">
          <cell r="O87">
            <v>9</v>
          </cell>
          <cell r="P87">
            <v>8</v>
          </cell>
          <cell r="Q87">
            <v>7</v>
          </cell>
          <cell r="R87">
            <v>6</v>
          </cell>
          <cell r="S87">
            <v>5</v>
          </cell>
          <cell r="T87">
            <v>4</v>
          </cell>
          <cell r="U87">
            <v>3</v>
          </cell>
          <cell r="V87">
            <v>2</v>
          </cell>
          <cell r="W87">
            <v>1</v>
          </cell>
          <cell r="X87">
            <v>12</v>
          </cell>
          <cell r="Y87">
            <v>11</v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</row>
        <row r="90">
          <cell r="O90">
            <v>43229342.950000003</v>
          </cell>
          <cell r="P90">
            <v>39503462.950000003</v>
          </cell>
          <cell r="Q90">
            <v>34231314.770000003</v>
          </cell>
          <cell r="R90">
            <v>29634770.5</v>
          </cell>
          <cell r="S90">
            <v>26798988.34</v>
          </cell>
          <cell r="T90">
            <v>23148314.719999999</v>
          </cell>
          <cell r="U90">
            <v>19685215.710000001</v>
          </cell>
          <cell r="V90">
            <v>18141793.66</v>
          </cell>
          <cell r="W90">
            <v>16266015.189999999</v>
          </cell>
          <cell r="X90">
            <v>15355903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O91">
            <v>-544594.73</v>
          </cell>
          <cell r="P91">
            <v>-454031.89</v>
          </cell>
          <cell r="Q91">
            <v>-375127.24</v>
          </cell>
          <cell r="R91">
            <v>-308196.38</v>
          </cell>
          <cell r="S91">
            <v>-250691.03</v>
          </cell>
          <cell r="T91">
            <v>-201627.21</v>
          </cell>
          <cell r="U91">
            <v>-160197.09</v>
          </cell>
          <cell r="V91">
            <v>-123394.65</v>
          </cell>
          <cell r="W91">
            <v>-90061.06</v>
          </cell>
          <cell r="X91">
            <v>-74306.5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O92">
            <v>1073931.06</v>
          </cell>
          <cell r="P92">
            <v>1008389.76</v>
          </cell>
          <cell r="Q92">
            <v>956524.42</v>
          </cell>
          <cell r="R92">
            <v>837901.1</v>
          </cell>
          <cell r="S92">
            <v>806659.83</v>
          </cell>
          <cell r="T92">
            <v>757994.64</v>
          </cell>
          <cell r="U92">
            <v>671359.75</v>
          </cell>
          <cell r="V92">
            <v>593604.97</v>
          </cell>
          <cell r="W92">
            <v>562993.46</v>
          </cell>
          <cell r="X92">
            <v>549445.43999999994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O93">
            <v>-5470324.8499999996</v>
          </cell>
          <cell r="P93">
            <v>-4499471</v>
          </cell>
          <cell r="Q93">
            <v>-3597164.69</v>
          </cell>
          <cell r="R93">
            <v>-2784611.12</v>
          </cell>
          <cell r="S93">
            <v>-2340945.09</v>
          </cell>
          <cell r="T93">
            <v>-1945663.31</v>
          </cell>
          <cell r="U93">
            <v>-1657444.61</v>
          </cell>
          <cell r="V93">
            <v>-1469947.28</v>
          </cell>
          <cell r="W93">
            <v>-1355034.62</v>
          </cell>
          <cell r="X93">
            <v>-1264419.3799999999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O94">
            <v>38288354.430000007</v>
          </cell>
          <cell r="P94">
            <v>35558349.82</v>
          </cell>
          <cell r="Q94">
            <v>31215547.260000002</v>
          </cell>
          <cell r="R94">
            <v>27379864.100000001</v>
          </cell>
          <cell r="S94">
            <v>25014012.049999997</v>
          </cell>
          <cell r="T94">
            <v>21759018.84</v>
          </cell>
          <cell r="U94">
            <v>18538933.760000002</v>
          </cell>
          <cell r="V94">
            <v>17142056.699999999</v>
          </cell>
          <cell r="W94">
            <v>15383912.969999999</v>
          </cell>
          <cell r="X94">
            <v>14566622.559999999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O95">
            <v>24484667.25</v>
          </cell>
          <cell r="P95">
            <v>22950924.23</v>
          </cell>
          <cell r="Q95">
            <v>21374996.030000001</v>
          </cell>
          <cell r="R95">
            <v>19969203</v>
          </cell>
          <cell r="S95">
            <v>18734092.809999999</v>
          </cell>
          <cell r="T95">
            <v>17478108.969999999</v>
          </cell>
          <cell r="U95">
            <v>16407881.5</v>
          </cell>
          <cell r="V95">
            <v>15697530.74</v>
          </cell>
          <cell r="W95">
            <v>14975267.77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O96">
            <v>24484667.25</v>
          </cell>
          <cell r="P96">
            <v>24484667.25</v>
          </cell>
          <cell r="Q96">
            <v>24484667.25</v>
          </cell>
          <cell r="R96">
            <v>24484667.25</v>
          </cell>
          <cell r="S96">
            <v>24484667.25</v>
          </cell>
          <cell r="T96">
            <v>24484667.25</v>
          </cell>
          <cell r="U96">
            <v>24484667.25</v>
          </cell>
          <cell r="V96">
            <v>24484667.25</v>
          </cell>
          <cell r="W96">
            <v>24484667.25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O97">
            <v>2040388.94</v>
          </cell>
          <cell r="P97">
            <v>2040388.94</v>
          </cell>
          <cell r="Q97">
            <v>2040388.94</v>
          </cell>
          <cell r="R97">
            <v>2040388.94</v>
          </cell>
          <cell r="S97">
            <v>2040388.94</v>
          </cell>
          <cell r="T97">
            <v>2040388.94</v>
          </cell>
          <cell r="U97">
            <v>2040388.94</v>
          </cell>
          <cell r="V97">
            <v>2040388.94</v>
          </cell>
          <cell r="W97">
            <v>2040388.94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O98">
            <v>211698.25</v>
          </cell>
          <cell r="P98">
            <v>165075.4</v>
          </cell>
          <cell r="Q98">
            <v>217986.22999999998</v>
          </cell>
          <cell r="R98">
            <v>80822.62</v>
          </cell>
          <cell r="S98">
            <v>71313.100000000006</v>
          </cell>
          <cell r="T98">
            <v>32190.82</v>
          </cell>
          <cell r="U98">
            <v>103210.19</v>
          </cell>
          <cell r="V98">
            <v>-46019.8</v>
          </cell>
          <cell r="W98">
            <v>79174.740000000005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O99">
            <v>0.1101</v>
          </cell>
          <cell r="P99">
            <v>0.1101</v>
          </cell>
          <cell r="Q99">
            <v>0.1101</v>
          </cell>
          <cell r="R99">
            <v>0.1101</v>
          </cell>
          <cell r="S99">
            <v>0.1101</v>
          </cell>
          <cell r="T99">
            <v>0.1101</v>
          </cell>
          <cell r="U99">
            <v>0.1101</v>
          </cell>
          <cell r="V99">
            <v>0.1101</v>
          </cell>
          <cell r="W99">
            <v>0.1101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O100">
            <v>0.1101</v>
          </cell>
          <cell r="P100">
            <v>0.1101</v>
          </cell>
          <cell r="Q100">
            <v>0.1101</v>
          </cell>
          <cell r="R100">
            <v>0.1101</v>
          </cell>
          <cell r="S100">
            <v>0.1101</v>
          </cell>
          <cell r="T100">
            <v>0.1101</v>
          </cell>
          <cell r="U100">
            <v>0.1101</v>
          </cell>
          <cell r="V100">
            <v>0.1101</v>
          </cell>
          <cell r="W100">
            <v>0.1101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O101">
            <v>436345.07</v>
          </cell>
          <cell r="P101">
            <v>389722.22</v>
          </cell>
          <cell r="Q101">
            <v>442633.05</v>
          </cell>
          <cell r="R101">
            <v>305469.44</v>
          </cell>
          <cell r="S101">
            <v>295959.92</v>
          </cell>
          <cell r="T101">
            <v>256837.64</v>
          </cell>
          <cell r="U101">
            <v>327857.01</v>
          </cell>
          <cell r="V101">
            <v>178627.02</v>
          </cell>
          <cell r="W101">
            <v>303821.56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O102">
            <v>436345.07</v>
          </cell>
          <cell r="P102">
            <v>389722.22</v>
          </cell>
          <cell r="Q102">
            <v>442633.05</v>
          </cell>
          <cell r="R102">
            <v>305469.44</v>
          </cell>
          <cell r="S102">
            <v>295959.92</v>
          </cell>
          <cell r="T102">
            <v>256837.64</v>
          </cell>
          <cell r="U102">
            <v>327857.01</v>
          </cell>
          <cell r="V102">
            <v>178627.02</v>
          </cell>
          <cell r="W102">
            <v>303821.56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12">
          <cell r="O112">
            <v>436345.07</v>
          </cell>
          <cell r="P112">
            <v>389722.22</v>
          </cell>
          <cell r="Q112">
            <v>442633.05</v>
          </cell>
          <cell r="R112">
            <v>305469.44</v>
          </cell>
          <cell r="S112">
            <v>295959.92</v>
          </cell>
          <cell r="T112">
            <v>256837.64</v>
          </cell>
          <cell r="U112">
            <v>327857.01</v>
          </cell>
          <cell r="V112">
            <v>178627.02</v>
          </cell>
          <cell r="W112">
            <v>303821.56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O113">
            <v>436345.07</v>
          </cell>
          <cell r="P113">
            <v>389722.22</v>
          </cell>
          <cell r="Q113">
            <v>442633.05</v>
          </cell>
          <cell r="R113">
            <v>305469.44</v>
          </cell>
          <cell r="S113">
            <v>295959.92</v>
          </cell>
          <cell r="T113">
            <v>256837.64</v>
          </cell>
          <cell r="U113">
            <v>327857.01</v>
          </cell>
          <cell r="V113">
            <v>178627.02</v>
          </cell>
          <cell r="W113">
            <v>303821.56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O116">
            <v>436345.07</v>
          </cell>
          <cell r="P116">
            <v>389722.22</v>
          </cell>
          <cell r="Q116">
            <v>442633.05</v>
          </cell>
          <cell r="R116">
            <v>305469.44</v>
          </cell>
          <cell r="S116">
            <v>295959.92</v>
          </cell>
          <cell r="T116">
            <v>256837.64</v>
          </cell>
          <cell r="U116">
            <v>327857.01</v>
          </cell>
          <cell r="V116">
            <v>178627.02</v>
          </cell>
          <cell r="W116">
            <v>303821.56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O117">
            <v>436345.07</v>
          </cell>
          <cell r="P117">
            <v>389722.22</v>
          </cell>
          <cell r="Q117">
            <v>442633.05</v>
          </cell>
          <cell r="R117">
            <v>305469.44</v>
          </cell>
          <cell r="S117">
            <v>295959.92</v>
          </cell>
          <cell r="T117">
            <v>256837.64</v>
          </cell>
          <cell r="U117">
            <v>327857.01</v>
          </cell>
          <cell r="V117">
            <v>178627.02</v>
          </cell>
          <cell r="W117">
            <v>303821.56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O118">
            <v>436345.07</v>
          </cell>
          <cell r="P118">
            <v>389722.22</v>
          </cell>
          <cell r="Q118">
            <v>442633.05</v>
          </cell>
          <cell r="R118">
            <v>305469.44</v>
          </cell>
          <cell r="S118">
            <v>295959.92</v>
          </cell>
          <cell r="T118">
            <v>256837.64</v>
          </cell>
          <cell r="U118">
            <v>327857.01</v>
          </cell>
          <cell r="V118">
            <v>178627.02</v>
          </cell>
          <cell r="W118">
            <v>303821.56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O119">
            <v>959875.17</v>
          </cell>
          <cell r="P119">
            <v>964058.08</v>
          </cell>
          <cell r="Q119">
            <v>964731.89</v>
          </cell>
          <cell r="R119">
            <v>967142.37</v>
          </cell>
          <cell r="S119">
            <v>972357.35</v>
          </cell>
          <cell r="T119">
            <v>977936.59</v>
          </cell>
          <cell r="U119">
            <v>971192.21</v>
          </cell>
          <cell r="V119">
            <v>971918.25</v>
          </cell>
          <cell r="W119">
            <v>442006.43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O121">
            <v>-523530.10000000003</v>
          </cell>
          <cell r="P121">
            <v>-574335.86</v>
          </cell>
          <cell r="Q121">
            <v>-522098.84</v>
          </cell>
          <cell r="R121">
            <v>-661672.92999999993</v>
          </cell>
          <cell r="S121">
            <v>-676397.42999999993</v>
          </cell>
          <cell r="T121">
            <v>-721098.95</v>
          </cell>
          <cell r="U121">
            <v>-643335.19999999995</v>
          </cell>
          <cell r="V121">
            <v>-793291.23</v>
          </cell>
          <cell r="W121">
            <v>-138184.87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9">
          <cell r="O129">
            <v>-523530.1</v>
          </cell>
          <cell r="P129">
            <v>-574335.86</v>
          </cell>
          <cell r="Q129">
            <v>-522098.84</v>
          </cell>
          <cell r="R129">
            <v>-661672.93000000005</v>
          </cell>
          <cell r="S129">
            <v>-676397.43</v>
          </cell>
          <cell r="T129">
            <v>-721098.95</v>
          </cell>
          <cell r="U129">
            <v>-643335.19999999995</v>
          </cell>
          <cell r="V129">
            <v>-793291.23</v>
          </cell>
          <cell r="W129">
            <v>-138184.87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O131">
            <v>-523530.1</v>
          </cell>
          <cell r="P131">
            <v>-574335.86</v>
          </cell>
          <cell r="Q131">
            <v>-522098.84</v>
          </cell>
          <cell r="R131">
            <v>-661672.93000000005</v>
          </cell>
          <cell r="S131">
            <v>-676397.43</v>
          </cell>
          <cell r="T131">
            <v>-721098.95</v>
          </cell>
          <cell r="U131">
            <v>-643335.19999999995</v>
          </cell>
          <cell r="V131">
            <v>-793291.23</v>
          </cell>
          <cell r="W131">
            <v>-138184.87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O132">
            <v>-5253945.41</v>
          </cell>
          <cell r="P132">
            <v>-4730415.3099999996</v>
          </cell>
          <cell r="Q132">
            <v>-4156079.45</v>
          </cell>
          <cell r="R132">
            <v>-3633980.61</v>
          </cell>
          <cell r="S132">
            <v>-2972307.68</v>
          </cell>
          <cell r="T132">
            <v>-2295910.25</v>
          </cell>
          <cell r="U132">
            <v>-1574811.3</v>
          </cell>
          <cell r="V132">
            <v>-931476.1</v>
          </cell>
          <cell r="W132">
            <v>-138184.87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plan"/>
      <sheetName val="pivot pct"/>
      <sheetName val="Net of Cap Pct"/>
      <sheetName val="Grouping"/>
      <sheetName val="pivot expense"/>
      <sheetName val="DRSSVC PA1"/>
      <sheetName val="response calc"/>
      <sheetName val="Sheet1"/>
    </sheetNames>
    <sheetDataSet>
      <sheetData sheetId="0"/>
      <sheetData sheetId="1"/>
      <sheetData sheetId="2"/>
      <sheetData sheetId="3">
        <row r="4">
          <cell r="A4" t="str">
            <v>VPCU</v>
          </cell>
          <cell r="B4" t="str">
            <v xml:space="preserve">Dominion Credit Union </v>
          </cell>
          <cell r="C4" t="str">
            <v>Virginia Power</v>
          </cell>
          <cell r="D4" t="str">
            <v>Corporate</v>
          </cell>
          <cell r="E4">
            <v>1000</v>
          </cell>
          <cell r="F4">
            <v>600985</v>
          </cell>
          <cell r="G4" t="str">
            <v>VP</v>
          </cell>
        </row>
        <row r="5">
          <cell r="A5" t="str">
            <v>VPTCAP</v>
          </cell>
          <cell r="B5" t="str">
            <v>VP Telecom Capital Work  (Special)</v>
          </cell>
          <cell r="C5" t="str">
            <v>Virginia Power</v>
          </cell>
          <cell r="D5" t="str">
            <v>Corporate</v>
          </cell>
          <cell r="E5">
            <v>1000</v>
          </cell>
          <cell r="F5">
            <v>601264</v>
          </cell>
          <cell r="G5" t="str">
            <v>VP</v>
          </cell>
        </row>
        <row r="6">
          <cell r="A6" t="str">
            <v>CNG</v>
          </cell>
          <cell r="B6" t="str">
            <v xml:space="preserve">Consolidated Natural Gas, Inc. (Holding Comp) </v>
          </cell>
          <cell r="C6" t="str">
            <v>Other</v>
          </cell>
          <cell r="D6" t="str">
            <v>Corporate</v>
          </cell>
          <cell r="E6">
            <v>7100</v>
          </cell>
          <cell r="F6">
            <v>710001</v>
          </cell>
          <cell r="G6" t="str">
            <v>DRI</v>
          </cell>
        </row>
        <row r="7">
          <cell r="A7" t="str">
            <v>CNGC</v>
          </cell>
          <cell r="B7" t="str">
            <v>CNG Coal Company</v>
          </cell>
          <cell r="C7" t="str">
            <v>Other</v>
          </cell>
          <cell r="D7" t="str">
            <v>Corporate</v>
          </cell>
          <cell r="E7">
            <v>7104</v>
          </cell>
          <cell r="F7">
            <v>710401</v>
          </cell>
          <cell r="G7" t="str">
            <v>DRI</v>
          </cell>
        </row>
        <row r="8">
          <cell r="A8" t="str">
            <v>CNGINT</v>
          </cell>
          <cell r="B8" t="str">
            <v>CNG Int</v>
          </cell>
          <cell r="C8" t="str">
            <v>Other</v>
          </cell>
          <cell r="D8" t="str">
            <v>Corporate</v>
          </cell>
          <cell r="E8">
            <v>7100</v>
          </cell>
          <cell r="F8">
            <v>710001</v>
          </cell>
          <cell r="G8" t="str">
            <v>DRI</v>
          </cell>
        </row>
        <row r="9">
          <cell r="A9" t="str">
            <v>DCI</v>
          </cell>
          <cell r="B9" t="str">
            <v xml:space="preserve">Dominion Capital, Inc. (DCI) </v>
          </cell>
          <cell r="C9" t="str">
            <v>Other</v>
          </cell>
          <cell r="D9" t="str">
            <v>Corporate</v>
          </cell>
          <cell r="E9" t="str">
            <v>Not in SAP</v>
          </cell>
          <cell r="F9" t="str">
            <v>N/A</v>
          </cell>
          <cell r="G9" t="str">
            <v>DCI</v>
          </cell>
        </row>
        <row r="10">
          <cell r="A10" t="str">
            <v>DEI</v>
          </cell>
          <cell r="B10" t="str">
            <v xml:space="preserve">DEI Business Development </v>
          </cell>
          <cell r="C10" t="str">
            <v>Other</v>
          </cell>
          <cell r="D10" t="str">
            <v>Corporate</v>
          </cell>
          <cell r="E10">
            <v>7100</v>
          </cell>
          <cell r="F10">
            <v>710001</v>
          </cell>
          <cell r="G10" t="str">
            <v>DRI</v>
          </cell>
        </row>
        <row r="11">
          <cell r="A11" t="str">
            <v>DEIOG</v>
          </cell>
          <cell r="B11" t="str">
            <v xml:space="preserve">Dominion Energy Reserves (Oil &amp; Gas Billing)  </v>
          </cell>
          <cell r="C11" t="str">
            <v>Other</v>
          </cell>
          <cell r="D11" t="str">
            <v>Corporate</v>
          </cell>
          <cell r="E11">
            <v>8500</v>
          </cell>
          <cell r="F11" t="str">
            <v>200011</v>
          </cell>
          <cell r="G11" t="str">
            <v>DEI</v>
          </cell>
        </row>
        <row r="12">
          <cell r="A12" t="str">
            <v>DLI</v>
          </cell>
          <cell r="B12" t="str">
            <v xml:space="preserve">Dominion Lands, Inc. (DLI) </v>
          </cell>
          <cell r="C12" t="str">
            <v>Other</v>
          </cell>
          <cell r="D12" t="str">
            <v>Corporate</v>
          </cell>
          <cell r="E12" t="str">
            <v>Not in SAP</v>
          </cell>
          <cell r="F12" t="str">
            <v>N/A</v>
          </cell>
          <cell r="G12" t="str">
            <v>DLI</v>
          </cell>
        </row>
        <row r="13">
          <cell r="A13" t="str">
            <v>DOTEPI</v>
          </cell>
          <cell r="B13" t="str">
            <v>Dominion Oklahoma Texas E&amp;P</v>
          </cell>
          <cell r="C13" t="str">
            <v>Other</v>
          </cell>
          <cell r="D13" t="str">
            <v>Corporate</v>
          </cell>
          <cell r="E13">
            <v>8535</v>
          </cell>
          <cell r="F13" t="str">
            <v>DNG006526</v>
          </cell>
          <cell r="G13" t="str">
            <v>DRI</v>
          </cell>
        </row>
        <row r="14">
          <cell r="A14" t="str">
            <v>DRCT</v>
          </cell>
          <cell r="B14" t="str">
            <v xml:space="preserve">Dominion Resources Capital Trust </v>
          </cell>
          <cell r="C14" t="str">
            <v>Other</v>
          </cell>
          <cell r="D14" t="str">
            <v>Corporate</v>
          </cell>
          <cell r="E14">
            <v>101</v>
          </cell>
          <cell r="F14">
            <v>101000</v>
          </cell>
          <cell r="G14" t="str">
            <v>DRI</v>
          </cell>
        </row>
        <row r="15">
          <cell r="A15" t="str">
            <v>DRI</v>
          </cell>
          <cell r="B15" t="str">
            <v>Dominion Resources, Inc. (Parent Company)</v>
          </cell>
          <cell r="C15" t="str">
            <v>Other</v>
          </cell>
          <cell r="D15" t="str">
            <v>Corporate</v>
          </cell>
          <cell r="E15">
            <v>100</v>
          </cell>
          <cell r="F15">
            <v>100000</v>
          </cell>
          <cell r="G15" t="str">
            <v>DRI</v>
          </cell>
        </row>
        <row r="16">
          <cell r="A16" t="str">
            <v>DRS</v>
          </cell>
          <cell r="B16" t="str">
            <v>DRS</v>
          </cell>
          <cell r="C16" t="str">
            <v>Other</v>
          </cell>
          <cell r="D16" t="str">
            <v>Corporate</v>
          </cell>
          <cell r="E16">
            <v>7000</v>
          </cell>
          <cell r="F16" t="str">
            <v>N/A</v>
          </cell>
          <cell r="G16" t="str">
            <v>DRS</v>
          </cell>
        </row>
        <row r="17">
          <cell r="A17" t="str">
            <v>DTSI</v>
          </cell>
          <cell r="B17" t="str">
            <v>Dominion Telecom Services, Inc.</v>
          </cell>
          <cell r="C17" t="str">
            <v>Other</v>
          </cell>
          <cell r="D17" t="str">
            <v>Corporate</v>
          </cell>
          <cell r="E17">
            <v>5002</v>
          </cell>
          <cell r="F17">
            <v>720006</v>
          </cell>
          <cell r="G17" t="str">
            <v>DRI</v>
          </cell>
        </row>
        <row r="18">
          <cell r="A18" t="str">
            <v>VPEMC</v>
          </cell>
          <cell r="B18" t="str">
            <v>VPEM Corporate Enterprise</v>
          </cell>
          <cell r="C18" t="str">
            <v>Other</v>
          </cell>
          <cell r="D18" t="str">
            <v>Corporate</v>
          </cell>
          <cell r="E18">
            <v>6200</v>
          </cell>
          <cell r="F18" t="str">
            <v>5DRS10</v>
          </cell>
          <cell r="G18" t="str">
            <v>VP</v>
          </cell>
        </row>
        <row r="19">
          <cell r="A19" t="str">
            <v>VPCUST</v>
          </cell>
          <cell r="B19" t="str">
            <v>VP Customer Service</v>
          </cell>
          <cell r="C19" t="str">
            <v>Virginia Power</v>
          </cell>
          <cell r="D19" t="str">
            <v>Dominion Virginia Power</v>
          </cell>
          <cell r="E19">
            <v>1000</v>
          </cell>
          <cell r="F19" t="str">
            <v>5DRS01</v>
          </cell>
          <cell r="G19" t="str">
            <v>VP</v>
          </cell>
        </row>
        <row r="20">
          <cell r="A20" t="str">
            <v>VPD</v>
          </cell>
          <cell r="B20" t="str">
            <v xml:space="preserve">VP Distribution </v>
          </cell>
          <cell r="C20" t="str">
            <v>Virginia Power</v>
          </cell>
          <cell r="D20" t="str">
            <v>Dominion Virginia Power</v>
          </cell>
          <cell r="E20">
            <v>1000</v>
          </cell>
          <cell r="F20" t="str">
            <v>3DRS01</v>
          </cell>
          <cell r="G20" t="str">
            <v>VP</v>
          </cell>
        </row>
        <row r="21">
          <cell r="A21" t="str">
            <v>VPET</v>
          </cell>
          <cell r="B21" t="str">
            <v>VP Electric Transmission</v>
          </cell>
          <cell r="C21" t="str">
            <v>Virginia Power</v>
          </cell>
          <cell r="D21" t="str">
            <v>Dominion Virginia Power</v>
          </cell>
          <cell r="E21">
            <v>1000</v>
          </cell>
          <cell r="F21" t="str">
            <v>2DRS03</v>
          </cell>
          <cell r="G21" t="str">
            <v>VP</v>
          </cell>
        </row>
        <row r="22">
          <cell r="A22" t="str">
            <v>VPM</v>
          </cell>
          <cell r="B22" t="str">
            <v xml:space="preserve">VP Metering </v>
          </cell>
          <cell r="C22" t="str">
            <v>Virginia Power</v>
          </cell>
          <cell r="D22" t="str">
            <v>Dominion Virginia Power</v>
          </cell>
          <cell r="E22">
            <v>1000</v>
          </cell>
          <cell r="F22" t="str">
            <v>3DRS01</v>
          </cell>
          <cell r="G22" t="str">
            <v>VP</v>
          </cell>
        </row>
        <row r="23">
          <cell r="A23" t="str">
            <v>CNGPS</v>
          </cell>
          <cell r="B23" t="str">
            <v xml:space="preserve">Dominion Products &amp; Services, Inc. </v>
          </cell>
          <cell r="C23" t="str">
            <v>Other</v>
          </cell>
          <cell r="D23" t="str">
            <v>Dominion Virginia Power</v>
          </cell>
          <cell r="E23">
            <v>7107</v>
          </cell>
          <cell r="F23">
            <v>639020</v>
          </cell>
          <cell r="G23" t="str">
            <v>DRI</v>
          </cell>
        </row>
        <row r="24">
          <cell r="A24" t="str">
            <v>CNGR</v>
          </cell>
          <cell r="B24" t="str">
            <v xml:space="preserve">Dominion Retail Services Company </v>
          </cell>
          <cell r="C24" t="str">
            <v>Other</v>
          </cell>
          <cell r="D24" t="str">
            <v>Dominion Virginia Power</v>
          </cell>
          <cell r="E24">
            <v>7106</v>
          </cell>
          <cell r="F24">
            <v>609020</v>
          </cell>
          <cell r="G24" t="str">
            <v>DRI</v>
          </cell>
        </row>
        <row r="25">
          <cell r="A25" t="str">
            <v>DALH</v>
          </cell>
          <cell r="B25" t="str">
            <v>Dominion Alliance Holdings, Inc</v>
          </cell>
          <cell r="C25" t="str">
            <v>Other</v>
          </cell>
          <cell r="D25" t="str">
            <v>Dominion Virginia Power</v>
          </cell>
          <cell r="E25">
            <v>5004</v>
          </cell>
          <cell r="F25">
            <v>500401</v>
          </cell>
          <cell r="G25" t="str">
            <v>DRI</v>
          </cell>
        </row>
        <row r="26">
          <cell r="A26" t="str">
            <v>DOES</v>
          </cell>
          <cell r="B26" t="str">
            <v>Dominion Ohio ES Inc</v>
          </cell>
          <cell r="C26" t="str">
            <v>Other</v>
          </cell>
          <cell r="D26" t="str">
            <v>Dominion Virginia Power</v>
          </cell>
          <cell r="E26">
            <v>5005</v>
          </cell>
          <cell r="F26">
            <v>500501</v>
          </cell>
          <cell r="G26" t="str">
            <v>DRI</v>
          </cell>
        </row>
        <row r="27">
          <cell r="A27" t="str">
            <v>DTECH</v>
          </cell>
          <cell r="B27" t="str">
            <v>Dominion Technical Solutions, Inc.</v>
          </cell>
          <cell r="C27" t="str">
            <v>Other</v>
          </cell>
          <cell r="D27" t="str">
            <v>Dominion Virginia Power</v>
          </cell>
          <cell r="E27">
            <v>5008</v>
          </cell>
          <cell r="F27">
            <v>500811</v>
          </cell>
          <cell r="G27" t="str">
            <v>DRI</v>
          </cell>
        </row>
        <row r="28">
          <cell r="A28" t="str">
            <v>CNGF</v>
          </cell>
          <cell r="B28" t="str">
            <v xml:space="preserve">Dominion Field Services, Inc. </v>
          </cell>
          <cell r="C28" t="str">
            <v>Other</v>
          </cell>
          <cell r="D28" t="str">
            <v>Energy</v>
          </cell>
          <cell r="E28">
            <v>7113</v>
          </cell>
          <cell r="F28">
            <v>112010</v>
          </cell>
          <cell r="G28" t="str">
            <v>DRI</v>
          </cell>
        </row>
        <row r="29">
          <cell r="A29" t="str">
            <v>CNGIR</v>
          </cell>
          <cell r="B29" t="str">
            <v xml:space="preserve">CNG Iroquois, Inc. </v>
          </cell>
          <cell r="C29" t="str">
            <v>Other</v>
          </cell>
          <cell r="D29" t="str">
            <v>Energy</v>
          </cell>
          <cell r="E29">
            <v>1005</v>
          </cell>
          <cell r="F29">
            <v>100501</v>
          </cell>
          <cell r="G29" t="str">
            <v>DRI</v>
          </cell>
        </row>
        <row r="30">
          <cell r="A30" t="str">
            <v>CNGP</v>
          </cell>
          <cell r="B30" t="str">
            <v>Dominion Exploration and Production, Inc.</v>
          </cell>
          <cell r="C30" t="str">
            <v>Other</v>
          </cell>
          <cell r="D30" t="str">
            <v>Energy</v>
          </cell>
          <cell r="E30">
            <v>8514</v>
          </cell>
          <cell r="F30" t="str">
            <v>DRSC</v>
          </cell>
          <cell r="G30" t="str">
            <v>DRI</v>
          </cell>
        </row>
        <row r="31">
          <cell r="A31" t="str">
            <v>CNGT</v>
          </cell>
          <cell r="B31" t="str">
            <v xml:space="preserve">Dominion Transmission, Inc. </v>
          </cell>
          <cell r="C31" t="str">
            <v>Other</v>
          </cell>
          <cell r="D31" t="str">
            <v>Energy</v>
          </cell>
          <cell r="E31">
            <v>1004</v>
          </cell>
          <cell r="F31">
            <v>339905</v>
          </cell>
          <cell r="G31" t="str">
            <v>DRI</v>
          </cell>
        </row>
        <row r="32">
          <cell r="A32" t="str">
            <v>DCOVE</v>
          </cell>
          <cell r="B32" t="str">
            <v>Dominion Cove Point LNG, LP</v>
          </cell>
          <cell r="C32" t="str">
            <v>Other</v>
          </cell>
          <cell r="D32" t="str">
            <v>Energy</v>
          </cell>
          <cell r="E32">
            <v>8155</v>
          </cell>
          <cell r="F32">
            <v>815505</v>
          </cell>
          <cell r="G32" t="str">
            <v>DRI</v>
          </cell>
        </row>
        <row r="33">
          <cell r="A33" t="str">
            <v>DGBR</v>
          </cell>
          <cell r="B33" t="str">
            <v>Dominion Greenbrier, Inc</v>
          </cell>
          <cell r="C33" t="str">
            <v>Other</v>
          </cell>
          <cell r="D33" t="str">
            <v>Energy</v>
          </cell>
          <cell r="E33">
            <v>8130</v>
          </cell>
          <cell r="F33">
            <v>813001</v>
          </cell>
          <cell r="G33" t="str">
            <v>DRI</v>
          </cell>
        </row>
        <row r="34">
          <cell r="A34" t="str">
            <v>DGLLC</v>
          </cell>
          <cell r="B34" t="str">
            <v>Dominion Greenbrier Pipeline LLC</v>
          </cell>
          <cell r="C34" t="str">
            <v>Other</v>
          </cell>
          <cell r="D34" t="str">
            <v>Energy</v>
          </cell>
          <cell r="E34">
            <v>8132</v>
          </cell>
          <cell r="F34">
            <v>339906</v>
          </cell>
          <cell r="G34" t="str">
            <v>DRI</v>
          </cell>
        </row>
        <row r="35">
          <cell r="A35" t="str">
            <v>EOG</v>
          </cell>
          <cell r="B35" t="str">
            <v>East Ohio Gas Company</v>
          </cell>
          <cell r="C35" t="str">
            <v>Other</v>
          </cell>
          <cell r="D35" t="str">
            <v>Energy</v>
          </cell>
          <cell r="E35">
            <v>1001</v>
          </cell>
          <cell r="F35">
            <v>449905</v>
          </cell>
          <cell r="G35" t="str">
            <v>DRI</v>
          </cell>
        </row>
        <row r="36">
          <cell r="A36" t="str">
            <v>HOPE</v>
          </cell>
          <cell r="B36" t="str">
            <v xml:space="preserve">Hope Gas, Inc </v>
          </cell>
          <cell r="C36" t="str">
            <v>Other</v>
          </cell>
          <cell r="D36" t="str">
            <v>Energy</v>
          </cell>
          <cell r="E36">
            <v>1003</v>
          </cell>
          <cell r="F36">
            <v>779905</v>
          </cell>
          <cell r="G36" t="str">
            <v>DRI</v>
          </cell>
        </row>
        <row r="37">
          <cell r="A37" t="str">
            <v>PNG</v>
          </cell>
          <cell r="B37" t="str">
            <v>Peoples Natural Gas Company</v>
          </cell>
          <cell r="C37" t="str">
            <v>Other</v>
          </cell>
          <cell r="D37" t="str">
            <v>Energy</v>
          </cell>
          <cell r="E37">
            <v>1002</v>
          </cell>
          <cell r="F37">
            <v>559905</v>
          </cell>
          <cell r="G37" t="str">
            <v>DRI</v>
          </cell>
        </row>
        <row r="38">
          <cell r="A38" t="str">
            <v>TIOGA</v>
          </cell>
          <cell r="B38" t="str">
            <v xml:space="preserve">TIOGA Properties, LLC </v>
          </cell>
          <cell r="C38" t="str">
            <v>Other</v>
          </cell>
          <cell r="D38" t="str">
            <v>Energy</v>
          </cell>
          <cell r="E38">
            <v>8151</v>
          </cell>
          <cell r="F38">
            <v>815101</v>
          </cell>
          <cell r="G38" t="str">
            <v>DRI</v>
          </cell>
        </row>
        <row r="39">
          <cell r="A39" t="str">
            <v>VPEM</v>
          </cell>
          <cell r="B39" t="str">
            <v xml:space="preserve">VP Energy Marketing </v>
          </cell>
          <cell r="C39" t="str">
            <v>Other</v>
          </cell>
          <cell r="D39" t="str">
            <v>Energy</v>
          </cell>
          <cell r="E39">
            <v>6200</v>
          </cell>
          <cell r="F39" t="str">
            <v>5DRS05</v>
          </cell>
          <cell r="G39" t="str">
            <v>VP</v>
          </cell>
        </row>
        <row r="40">
          <cell r="A40" t="str">
            <v>VPEME</v>
          </cell>
          <cell r="B40" t="str">
            <v>VPEM Energy</v>
          </cell>
          <cell r="C40" t="str">
            <v>Other</v>
          </cell>
          <cell r="D40" t="str">
            <v>Energy</v>
          </cell>
          <cell r="E40">
            <v>6200</v>
          </cell>
          <cell r="F40" t="str">
            <v>5DRS08</v>
          </cell>
          <cell r="G40" t="str">
            <v>VP</v>
          </cell>
        </row>
        <row r="41">
          <cell r="A41" t="str">
            <v>DNNA</v>
          </cell>
          <cell r="B41" t="str">
            <v>Dominion Nuclear North Anna</v>
          </cell>
          <cell r="C41" t="str">
            <v>Virginia Power</v>
          </cell>
          <cell r="D41" t="str">
            <v>Generation</v>
          </cell>
          <cell r="E41">
            <v>8207</v>
          </cell>
          <cell r="F41">
            <v>820700</v>
          </cell>
          <cell r="G41" t="str">
            <v>DEI</v>
          </cell>
        </row>
        <row r="42">
          <cell r="A42" t="str">
            <v>VPES</v>
          </cell>
          <cell r="B42" t="str">
            <v>VP Energy Services</v>
          </cell>
          <cell r="C42" t="str">
            <v>Virginia Power</v>
          </cell>
          <cell r="D42" t="str">
            <v>Generation</v>
          </cell>
          <cell r="E42">
            <v>1000</v>
          </cell>
          <cell r="F42" t="str">
            <v>1DRS02</v>
          </cell>
          <cell r="G42" t="str">
            <v>VP</v>
          </cell>
        </row>
        <row r="43">
          <cell r="A43" t="str">
            <v>VPFOS</v>
          </cell>
          <cell r="B43" t="str">
            <v xml:space="preserve">VP Fossil &amp; Hydro </v>
          </cell>
          <cell r="C43" t="str">
            <v>Virginia Power</v>
          </cell>
          <cell r="D43" t="str">
            <v>Generation</v>
          </cell>
          <cell r="E43">
            <v>1000</v>
          </cell>
          <cell r="F43" t="str">
            <v>1DRS01</v>
          </cell>
          <cell r="G43" t="str">
            <v>VP</v>
          </cell>
        </row>
        <row r="44">
          <cell r="A44" t="str">
            <v>VPNUC</v>
          </cell>
          <cell r="B44" t="str">
            <v xml:space="preserve">VP Nuclear </v>
          </cell>
          <cell r="C44" t="str">
            <v>Virginia Power</v>
          </cell>
          <cell r="D44" t="str">
            <v>Generation</v>
          </cell>
          <cell r="E44">
            <v>1000</v>
          </cell>
          <cell r="F44" t="str">
            <v>2DRS01</v>
          </cell>
          <cell r="G44" t="str">
            <v>VP</v>
          </cell>
        </row>
        <row r="45">
          <cell r="A45" t="str">
            <v>VPOG</v>
          </cell>
          <cell r="B45" t="str">
            <v xml:space="preserve">VP Other Generation </v>
          </cell>
          <cell r="C45" t="str">
            <v>Virginia Power</v>
          </cell>
          <cell r="D45" t="str">
            <v>Generation</v>
          </cell>
          <cell r="E45">
            <v>1000</v>
          </cell>
          <cell r="F45" t="str">
            <v>5DRS04</v>
          </cell>
          <cell r="G45" t="str">
            <v>VP</v>
          </cell>
        </row>
        <row r="46">
          <cell r="A46" t="str">
            <v>VPP</v>
          </cell>
          <cell r="B46" t="str">
            <v xml:space="preserve">VP Properties </v>
          </cell>
          <cell r="C46" t="str">
            <v>Virginia Power</v>
          </cell>
          <cell r="D46" t="str">
            <v>Generation</v>
          </cell>
          <cell r="E46">
            <v>6500</v>
          </cell>
          <cell r="F46">
            <v>610100</v>
          </cell>
          <cell r="G46" t="str">
            <v>VP</v>
          </cell>
        </row>
        <row r="47">
          <cell r="A47" t="str">
            <v>DEICORP</v>
          </cell>
          <cell r="B47" t="str">
            <v>DEI Corp</v>
          </cell>
          <cell r="C47" t="str">
            <v>Other</v>
          </cell>
          <cell r="D47" t="str">
            <v>Generation</v>
          </cell>
          <cell r="G47" t="str">
            <v>DEI</v>
          </cell>
        </row>
        <row r="48">
          <cell r="A48" t="str">
            <v>CNGPSC</v>
          </cell>
          <cell r="B48" t="str">
            <v>CNG Power Services</v>
          </cell>
          <cell r="C48" t="str">
            <v>Other</v>
          </cell>
          <cell r="D48" t="str">
            <v>Generation</v>
          </cell>
          <cell r="G48" t="str">
            <v>DEI</v>
          </cell>
        </row>
        <row r="49">
          <cell r="A49" t="str">
            <v>DARM</v>
          </cell>
          <cell r="B49" t="str">
            <v xml:space="preserve">Dominion Armstrong DRS </v>
          </cell>
          <cell r="C49" t="str">
            <v>Other</v>
          </cell>
          <cell r="D49" t="str">
            <v>Generation</v>
          </cell>
          <cell r="E49">
            <v>8133</v>
          </cell>
          <cell r="F49">
            <v>813301</v>
          </cell>
          <cell r="G49" t="str">
            <v>DEI</v>
          </cell>
        </row>
        <row r="50">
          <cell r="A50" t="str">
            <v>DBRAY</v>
          </cell>
          <cell r="B50" t="str">
            <v>Dominion Energy Brayton Point</v>
          </cell>
          <cell r="C50" t="str">
            <v>Other</v>
          </cell>
          <cell r="D50" t="str">
            <v>Generation</v>
          </cell>
          <cell r="E50">
            <v>8168</v>
          </cell>
          <cell r="F50">
            <v>816716</v>
          </cell>
          <cell r="G50" t="str">
            <v>DEI</v>
          </cell>
        </row>
        <row r="51">
          <cell r="A51" t="str">
            <v>DEIBD</v>
          </cell>
          <cell r="B51" t="str">
            <v xml:space="preserve">DEI Business Development </v>
          </cell>
          <cell r="C51" t="str">
            <v>Other</v>
          </cell>
          <cell r="D51" t="str">
            <v>Generation</v>
          </cell>
          <cell r="E51">
            <v>8000</v>
          </cell>
          <cell r="F51">
            <v>800011</v>
          </cell>
          <cell r="G51" t="str">
            <v>DEI</v>
          </cell>
        </row>
        <row r="52">
          <cell r="A52" t="str">
            <v>DEK</v>
          </cell>
          <cell r="B52" t="str">
            <v>Dominion Energy Kewaunee</v>
          </cell>
          <cell r="C52" t="str">
            <v>Other</v>
          </cell>
          <cell r="D52" t="str">
            <v>Generation</v>
          </cell>
          <cell r="E52">
            <v>8000</v>
          </cell>
          <cell r="F52" t="str">
            <v>8208DRS1</v>
          </cell>
          <cell r="G52" t="str">
            <v>DEI</v>
          </cell>
        </row>
        <row r="53">
          <cell r="A53" t="str">
            <v>DELCO</v>
          </cell>
          <cell r="B53" t="str">
            <v xml:space="preserve">Dominion Elwood </v>
          </cell>
          <cell r="C53" t="str">
            <v>Other</v>
          </cell>
          <cell r="D53" t="str">
            <v>Generation</v>
          </cell>
          <cell r="E53">
            <v>8302</v>
          </cell>
          <cell r="F53">
            <v>830201</v>
          </cell>
          <cell r="G53" t="str">
            <v>DEI</v>
          </cell>
        </row>
        <row r="54">
          <cell r="A54" t="str">
            <v>DEMI</v>
          </cell>
          <cell r="B54" t="str">
            <v xml:space="preserve">Dominion Energy Marketing </v>
          </cell>
          <cell r="C54" t="str">
            <v>Other</v>
          </cell>
          <cell r="D54" t="str">
            <v>Generation</v>
          </cell>
          <cell r="E54">
            <v>8141</v>
          </cell>
          <cell r="F54">
            <v>814100</v>
          </cell>
          <cell r="G54" t="str">
            <v>DEI</v>
          </cell>
        </row>
        <row r="55">
          <cell r="A55" t="str">
            <v>DENE</v>
          </cell>
          <cell r="B55" t="str">
            <v>Dominion Energy New England</v>
          </cell>
          <cell r="C55" t="str">
            <v>Other</v>
          </cell>
          <cell r="D55" t="str">
            <v>Generation</v>
          </cell>
          <cell r="E55">
            <v>8170</v>
          </cell>
          <cell r="F55" t="str">
            <v>8170N106</v>
          </cell>
          <cell r="G55" t="str">
            <v>DEI</v>
          </cell>
        </row>
        <row r="56">
          <cell r="A56" t="str">
            <v>DETCI</v>
          </cell>
          <cell r="B56" t="str">
            <v xml:space="preserve">Dominion Energy Terminal Co </v>
          </cell>
          <cell r="C56" t="str">
            <v>Other</v>
          </cell>
          <cell r="D56" t="str">
            <v>Generation</v>
          </cell>
          <cell r="E56">
            <v>8160</v>
          </cell>
          <cell r="F56">
            <v>816001</v>
          </cell>
          <cell r="G56" t="str">
            <v>DEI</v>
          </cell>
        </row>
        <row r="57">
          <cell r="A57" t="str">
            <v>DFAIR</v>
          </cell>
          <cell r="B57" t="str">
            <v xml:space="preserve">Dominion Fairless </v>
          </cell>
          <cell r="C57" t="str">
            <v>Other</v>
          </cell>
          <cell r="D57" t="str">
            <v>Generation</v>
          </cell>
          <cell r="E57">
            <v>8000</v>
          </cell>
          <cell r="F57">
            <v>814201</v>
          </cell>
          <cell r="G57" t="str">
            <v>DEI</v>
          </cell>
        </row>
        <row r="58">
          <cell r="A58" t="str">
            <v>DKINC</v>
          </cell>
          <cell r="B58" t="str">
            <v>Dominion Kincaid, Inc.</v>
          </cell>
          <cell r="C58" t="str">
            <v>Other</v>
          </cell>
          <cell r="D58" t="str">
            <v>Generation</v>
          </cell>
          <cell r="E58">
            <v>8300</v>
          </cell>
          <cell r="F58">
            <v>830006</v>
          </cell>
          <cell r="G58" t="str">
            <v>DEI</v>
          </cell>
        </row>
        <row r="59">
          <cell r="A59" t="str">
            <v>DMANCH</v>
          </cell>
          <cell r="B59" t="str">
            <v>Dominion Energy Manchester St</v>
          </cell>
          <cell r="C59" t="str">
            <v>Other</v>
          </cell>
          <cell r="D59" t="str">
            <v>Generation</v>
          </cell>
          <cell r="E59">
            <v>8167</v>
          </cell>
          <cell r="F59">
            <v>816816</v>
          </cell>
          <cell r="G59" t="str">
            <v>DEI</v>
          </cell>
        </row>
        <row r="60">
          <cell r="A60" t="str">
            <v>DMORG</v>
          </cell>
          <cell r="B60" t="str">
            <v>Dominion Cogen WV, Inc. (Morgantown)</v>
          </cell>
          <cell r="C60" t="str">
            <v>Other</v>
          </cell>
          <cell r="D60" t="str">
            <v>Generation</v>
          </cell>
          <cell r="E60">
            <v>8300</v>
          </cell>
          <cell r="F60">
            <v>830036</v>
          </cell>
          <cell r="G60" t="str">
            <v>DEI</v>
          </cell>
        </row>
        <row r="61">
          <cell r="A61" t="str">
            <v>DNC</v>
          </cell>
          <cell r="B61" t="str">
            <v>Dominion Nuclear Connecticut</v>
          </cell>
          <cell r="C61" t="str">
            <v>Other</v>
          </cell>
          <cell r="D61" t="str">
            <v>Generation</v>
          </cell>
          <cell r="E61">
            <v>8205</v>
          </cell>
          <cell r="F61">
            <v>82050886</v>
          </cell>
          <cell r="G61" t="str">
            <v>DEI</v>
          </cell>
        </row>
        <row r="62">
          <cell r="A62" t="str">
            <v>DPLES</v>
          </cell>
          <cell r="B62" t="str">
            <v>Dominion Pleasants</v>
          </cell>
          <cell r="C62" t="str">
            <v>Other</v>
          </cell>
          <cell r="D62" t="str">
            <v>Generation</v>
          </cell>
          <cell r="E62">
            <v>8135</v>
          </cell>
          <cell r="F62">
            <v>813501</v>
          </cell>
          <cell r="G62" t="str">
            <v>DEI</v>
          </cell>
        </row>
        <row r="63">
          <cell r="A63" t="str">
            <v>DSALEM</v>
          </cell>
          <cell r="B63" t="str">
            <v>Dominion Energy Salem Harbor</v>
          </cell>
          <cell r="C63" t="str">
            <v>Other</v>
          </cell>
          <cell r="D63" t="str">
            <v>Generation</v>
          </cell>
          <cell r="E63">
            <v>8169</v>
          </cell>
          <cell r="F63">
            <v>816916</v>
          </cell>
          <cell r="G63" t="str">
            <v>DEI</v>
          </cell>
        </row>
        <row r="64">
          <cell r="A64" t="str">
            <v>DSTATE</v>
          </cell>
          <cell r="B64" t="str">
            <v xml:space="preserve">Dominion State Line </v>
          </cell>
          <cell r="C64" t="str">
            <v>Other</v>
          </cell>
          <cell r="D64" t="str">
            <v>Generation</v>
          </cell>
          <cell r="E64">
            <v>8150</v>
          </cell>
          <cell r="F64">
            <v>815001</v>
          </cell>
          <cell r="G64" t="str">
            <v>DEI</v>
          </cell>
        </row>
        <row r="65">
          <cell r="A65" t="str">
            <v>DTROY</v>
          </cell>
          <cell r="B65" t="str">
            <v>Dominion Troy</v>
          </cell>
          <cell r="C65" t="str">
            <v>Other</v>
          </cell>
          <cell r="D65" t="str">
            <v>Generation</v>
          </cell>
          <cell r="E65">
            <v>8136</v>
          </cell>
          <cell r="F65">
            <v>813601</v>
          </cell>
          <cell r="G65" t="str">
            <v>DEI</v>
          </cell>
        </row>
        <row r="66">
          <cell r="A66" t="str">
            <v>VPEMG</v>
          </cell>
          <cell r="B66" t="str">
            <v>VPEM Generation</v>
          </cell>
          <cell r="C66" t="str">
            <v>Other</v>
          </cell>
          <cell r="D66" t="str">
            <v>Generation</v>
          </cell>
          <cell r="E66">
            <v>6200</v>
          </cell>
          <cell r="F66" t="str">
            <v>5DRS09</v>
          </cell>
          <cell r="G66" t="str">
            <v>VP</v>
          </cell>
        </row>
        <row r="67">
          <cell r="A67" t="str">
            <v>VPNS</v>
          </cell>
          <cell r="B67" t="str">
            <v xml:space="preserve">VP Nuclear Services (VPNS) </v>
          </cell>
          <cell r="C67" t="str">
            <v>Other</v>
          </cell>
          <cell r="D67" t="str">
            <v>Generation</v>
          </cell>
          <cell r="E67">
            <v>6100</v>
          </cell>
          <cell r="F67" t="str">
            <v>2DRS02</v>
          </cell>
          <cell r="G67" t="str">
            <v>VP</v>
          </cell>
        </row>
        <row r="68">
          <cell r="A68" t="str">
            <v>VPS</v>
          </cell>
          <cell r="B68" t="str">
            <v xml:space="preserve">VP Services (VPS) </v>
          </cell>
          <cell r="C68" t="str">
            <v>Other</v>
          </cell>
          <cell r="D68" t="str">
            <v>Generation</v>
          </cell>
          <cell r="E68">
            <v>6000</v>
          </cell>
          <cell r="F68">
            <v>610000</v>
          </cell>
          <cell r="G68" t="str">
            <v>VP</v>
          </cell>
        </row>
        <row r="69">
          <cell r="A69" t="str">
            <v>VPSE</v>
          </cell>
          <cell r="B69" t="str">
            <v xml:space="preserve">VP Services Energy (VPSE) </v>
          </cell>
          <cell r="C69" t="str">
            <v>Other</v>
          </cell>
          <cell r="D69" t="str">
            <v>Generation</v>
          </cell>
          <cell r="E69">
            <v>6300</v>
          </cell>
          <cell r="F69" t="str">
            <v>5DRS06</v>
          </cell>
          <cell r="G69" t="str">
            <v>VP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Startup"/>
      <sheetName val="VersionHist"/>
      <sheetName val="Adjt Input"/>
    </sheetNames>
    <sheetDataSet>
      <sheetData sheetId="0"/>
      <sheetData sheetId="1">
        <row r="116">
          <cell r="H116" t="str">
            <v>second</v>
          </cell>
        </row>
      </sheetData>
      <sheetData sheetId="2"/>
      <sheetData sheetId="3">
        <row r="25">
          <cell r="Y25">
            <v>0</v>
          </cell>
        </row>
      </sheetData>
      <sheetData sheetId="4"/>
      <sheetData sheetId="5"/>
      <sheetData sheetId="6"/>
      <sheetData sheetId="7">
        <row r="128">
          <cell r="BK128" t="str">
            <v>NO</v>
          </cell>
        </row>
      </sheetData>
      <sheetData sheetId="8"/>
      <sheetData sheetId="9"/>
      <sheetData sheetId="10"/>
      <sheetData sheetId="11"/>
      <sheetData sheetId="12">
        <row r="5">
          <cell r="N5">
            <v>41030</v>
          </cell>
        </row>
        <row r="10">
          <cell r="N10">
            <v>0</v>
          </cell>
        </row>
      </sheetData>
      <sheetData sheetId="13"/>
      <sheetData sheetId="14">
        <row r="18">
          <cell r="O18">
            <v>201112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TX Margin"/>
      <sheetName val="Gross Sales (ESSBASE)"/>
      <sheetName val="COGS (ESSBASE)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1">
          <cell r="A1" t="str">
            <v>Atmos Energy Corporation, Inc. &amp; Subsidiaries</v>
          </cell>
        </row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for AIF"/>
      <sheetName val="Sch 1"/>
      <sheetName val="Wp 1-1"/>
      <sheetName val="Sch 2"/>
      <sheetName val="Sch 3"/>
      <sheetName val="WP 3-1"/>
      <sheetName val="Sch 4"/>
      <sheetName val="Sch 5"/>
      <sheetName val="Sch 6"/>
      <sheetName val="Sch 7"/>
      <sheetName val="Sch 8"/>
      <sheetName val="Wp 8-1"/>
      <sheetName val="Wp 8-2"/>
      <sheetName val="WP 8-3"/>
      <sheetName val="WP 8-4"/>
      <sheetName val="Sch 9"/>
      <sheetName val="Wp 9-1"/>
      <sheetName val="Wp 9-2"/>
      <sheetName val="Wp 9-3"/>
      <sheetName val="Wp 9-4"/>
      <sheetName val="Wp 9-6"/>
      <sheetName val="Wp 9-7"/>
      <sheetName val="WP 9-7-1"/>
      <sheetName val="WP 9-7-2"/>
      <sheetName val="WP 9-7-3"/>
      <sheetName val="WP 9-7-4"/>
      <sheetName val="WP 9-7-5"/>
      <sheetName val="WP 9-8"/>
      <sheetName val="Sch 11"/>
      <sheetName val="Sch 12"/>
      <sheetName val="WP 12-1"/>
      <sheetName val="WP 12-2"/>
      <sheetName val="WP 12-2-1"/>
      <sheetName val="WP 12-2-2"/>
      <sheetName val="WP 12-2-3"/>
      <sheetName val="Wp 12-3"/>
      <sheetName val="WP 12-4 "/>
      <sheetName val="WP 12-5"/>
      <sheetName val="wp 12-5-1"/>
      <sheetName val="wp 12-5-2"/>
      <sheetName val="WP 12-6"/>
      <sheetName val="WP 12-7"/>
      <sheetName val="WP 12-8"/>
      <sheetName val="WP 12-9 "/>
      <sheetName val="WP 12-10"/>
      <sheetName val="wp 12-10-1"/>
      <sheetName val="Sch 14"/>
      <sheetName val="Sch 15"/>
      <sheetName val="Sch 16"/>
      <sheetName val="WP 16-1"/>
      <sheetName val="WP 16-1-2"/>
      <sheetName val="WP 16-2"/>
      <sheetName val="WP 16-3"/>
      <sheetName val="WP 16-4"/>
      <sheetName val="WP 16-5"/>
      <sheetName val="WP 16-7"/>
      <sheetName val="Wp 16-8"/>
      <sheetName val="WP 16-9"/>
      <sheetName val="WP 16-10"/>
      <sheetName val="WP 16-11"/>
      <sheetName val="WP 16-12"/>
      <sheetName val="WP 16-13"/>
      <sheetName val="WP 16-15"/>
      <sheetName val="WP 16-16"/>
      <sheetName val="Sch 17"/>
      <sheetName val="Sch 18 "/>
      <sheetName val="Sch 19"/>
      <sheetName val="Rev Req"/>
      <sheetName val="recon"/>
      <sheetName val="Sch 21"/>
      <sheetName val="WP 21-1"/>
      <sheetName val="WP 21-1-1"/>
      <sheetName val="WP 21-2"/>
      <sheetName val="WP 21-3"/>
      <sheetName val="Sch 22"/>
      <sheetName val="WP 22-1"/>
      <sheetName val="WP 22-2"/>
      <sheetName val="WP 22-3"/>
      <sheetName val="WP 22-4"/>
      <sheetName val="WP 22-5"/>
      <sheetName val="WP 22-6"/>
      <sheetName val="WP 22-7"/>
      <sheetName val="WP 22-8"/>
      <sheetName val="Sch 24"/>
      <sheetName val="Sch 25"/>
      <sheetName val="WP 25-1"/>
      <sheetName val="WP 25-1-1"/>
      <sheetName val="WP 25-1-2"/>
      <sheetName val="WP 25- 2"/>
      <sheetName val="Chart-east"/>
      <sheetName val="Chart-west"/>
      <sheetName val="Wp 25-2-1"/>
      <sheetName val="Wp 25-2-2"/>
      <sheetName val="Wp 25-2-3"/>
      <sheetName val="WP 25-3"/>
      <sheetName val="WP 25-3-1"/>
      <sheetName val="WP 25-3-2"/>
      <sheetName val="WP 25-3-3"/>
      <sheetName val="WP 25-4"/>
      <sheetName val="WP 25-5"/>
      <sheetName val="WP 25-6"/>
      <sheetName val="WP 25-7"/>
      <sheetName val="WP 25-7-1"/>
      <sheetName val="WP 25-7-2"/>
      <sheetName val="WP 25-8"/>
      <sheetName val="Wp 25-8-1"/>
      <sheetName val="Wp 25-8-2"/>
      <sheetName val="WP 25-9"/>
      <sheetName val="WP 25-9-1"/>
      <sheetName val="wp 25-9 3yr avg"/>
      <sheetName val="WP 25-10"/>
      <sheetName val="WP 25-11"/>
      <sheetName val="WP 25-12"/>
      <sheetName val="WP 25-12-1"/>
      <sheetName val="WP 25-12-2"/>
      <sheetName val="WP 25-13"/>
      <sheetName val="WP 25-14"/>
      <sheetName val="WP 25-15"/>
      <sheetName val="WP 25-15-1"/>
      <sheetName val="WP 25-16"/>
      <sheetName val="WP 25-17"/>
      <sheetName val="WP 25-18"/>
      <sheetName val="WP 25-18-1"/>
      <sheetName val="WP 25-18-2"/>
      <sheetName val="Wp 25-18-3"/>
      <sheetName val="Wp 25-18-4"/>
      <sheetName val="Wp 25-18-5"/>
      <sheetName val="Wp 25-18-6"/>
      <sheetName val="Wp 25-18-7"/>
      <sheetName val="WP 25-19"/>
      <sheetName val="WP 25-20"/>
      <sheetName val="WP 25-21"/>
      <sheetName val="WP 25-21-1"/>
      <sheetName val="WP 25-22"/>
      <sheetName val="WP 25-23"/>
      <sheetName val="WP 25-24"/>
      <sheetName val="WP 25- 25"/>
      <sheetName val="Sch 26"/>
      <sheetName val="WP 26-1"/>
      <sheetName val="Sch 27"/>
      <sheetName val="Sch 28"/>
      <sheetName val="Sch 29A"/>
      <sheetName val="Sch 29B"/>
      <sheetName val="Sch 30A"/>
      <sheetName val="Sch 30B"/>
      <sheetName val="wp 30-1"/>
      <sheetName val="Sch 31"/>
      <sheetName val="Sch 34"/>
      <sheetName val="WP 34-1"/>
      <sheetName val="Sch 35A"/>
      <sheetName val="Sch 35B"/>
      <sheetName val="Sch 36A - Fed Current Exp"/>
      <sheetName val="Sch 36B - St Current Exp"/>
      <sheetName val="Sch 36C - Def Exp Tot Util &amp; VA"/>
      <sheetName val="Sch 36D-Def Exp Juris&amp;Fully Adj"/>
      <sheetName val="Sch 36D-Def Exp Adj'd -Activity"/>
      <sheetName val="Sch 36E - Recon Tot Util &amp; VA "/>
      <sheetName val="Sch 36F - Recon Jurisd"/>
      <sheetName val="Sch 36G -Recon Jurisd-Earn Test"/>
      <sheetName val="Sch 36H Temp Diffs Test Yr"/>
      <sheetName val="Sch 36H Temp Diffs Rate Yr "/>
      <sheetName val="Sch 36 I - Perm Diffs"/>
      <sheetName val="Sch 36J - Payments Made"/>
      <sheetName val="Sch 37"/>
      <sheetName val="Sch 38"/>
      <sheetName val="Sch 39"/>
      <sheetName val="Sch 40A"/>
      <sheetName val="Sch 40B"/>
      <sheetName val="Sch 40C"/>
      <sheetName val="WP 40-1"/>
      <sheetName val="WP 40-2"/>
      <sheetName val="WP 40-3"/>
      <sheetName val="WP 40-4"/>
      <sheetName val="WP 40-7"/>
      <sheetName val="SCH 41"/>
      <sheetName val="SCH 42"/>
      <sheetName val="SCH 43"/>
      <sheetName val="SCH 50blank"/>
      <sheetName val="Sch 50"/>
      <sheetName val="WP 50-1"/>
      <sheetName val="FACTORS"/>
      <sheetName val="DTB INPUT"/>
      <sheetName val="BS INPUT"/>
      <sheetName val="IS INPUT"/>
      <sheetName val="STOCK DATA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">
          <cell r="F13">
            <v>0.87848000000000004</v>
          </cell>
        </row>
        <row r="15">
          <cell r="F15">
            <v>0.87339999999999995</v>
          </cell>
        </row>
        <row r="23">
          <cell r="F23">
            <v>0.96960000000000002</v>
          </cell>
        </row>
        <row r="32">
          <cell r="F32">
            <v>0.65712999999999999</v>
          </cell>
        </row>
        <row r="36">
          <cell r="F36">
            <v>0.90810000000000002</v>
          </cell>
        </row>
        <row r="43">
          <cell r="F43">
            <v>0.88529999999999998</v>
          </cell>
        </row>
        <row r="46">
          <cell r="F46">
            <v>0.75080000000000002</v>
          </cell>
        </row>
        <row r="52">
          <cell r="F52">
            <v>0.84089999999999998</v>
          </cell>
        </row>
        <row r="58">
          <cell r="F58">
            <v>0.82920000000000005</v>
          </cell>
        </row>
        <row r="62">
          <cell r="F62">
            <v>0.79540999999999995</v>
          </cell>
        </row>
        <row r="68">
          <cell r="F68">
            <v>0.87329999999999997</v>
          </cell>
        </row>
        <row r="70">
          <cell r="F70">
            <v>0.88055000000000005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4">
          <cell r="C4" t="str">
            <v>ATMOS ENERGY CORPORATION</v>
          </cell>
        </row>
        <row r="5">
          <cell r="C5" t="str">
            <v>VIRGINIA</v>
          </cell>
        </row>
        <row r="7">
          <cell r="C7" t="str">
            <v>PUR-2019-00010</v>
          </cell>
        </row>
        <row r="10">
          <cell r="C10">
            <v>0.21</v>
          </cell>
        </row>
        <row r="11">
          <cell r="C11">
            <v>0.06</v>
          </cell>
        </row>
        <row r="12">
          <cell r="C12">
            <v>0.25739999999999996</v>
          </cell>
          <cell r="D12">
            <v>0.23740555439244226</v>
          </cell>
        </row>
        <row r="13">
          <cell r="C13">
            <v>8.9479999999999994E-3</v>
          </cell>
        </row>
        <row r="32">
          <cell r="E32">
            <v>8.6423999999999997E-3</v>
          </cell>
          <cell r="I32">
            <v>8.3999999999999995E-3</v>
          </cell>
        </row>
        <row r="33">
          <cell r="E33">
            <v>7.4035418576105811E-3</v>
          </cell>
          <cell r="I33">
            <v>7.4153416746138671E-3</v>
          </cell>
        </row>
        <row r="49">
          <cell r="E49">
            <v>8.3099999999999993E-2</v>
          </cell>
          <cell r="I49">
            <v>8.2299999999999998E-2</v>
          </cell>
        </row>
      </sheetData>
      <sheetData sheetId="181"/>
      <sheetData sheetId="182"/>
      <sheetData sheetId="183"/>
      <sheetData sheetId="184"/>
      <sheetData sheetId="18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for AIF"/>
      <sheetName val="INDEX for Rate Case"/>
      <sheetName val="to be filed Confidentially"/>
      <sheetName val="Sch 1"/>
      <sheetName val="Wp 1-1"/>
      <sheetName val="Sch 2"/>
      <sheetName val="Sch 3"/>
      <sheetName val="WP 3-1"/>
      <sheetName val="WP 3-2"/>
      <sheetName val="Sch 4"/>
      <sheetName val="Sch 5"/>
      <sheetName val="Sch 6"/>
      <sheetName val="Sch 7"/>
      <sheetName val="Sch 8"/>
      <sheetName val="Wp 8-1"/>
      <sheetName val="Wp 8-2"/>
      <sheetName val="WP 8-3"/>
      <sheetName val="WP 8-4"/>
      <sheetName val="Sch 9"/>
      <sheetName val="Wp 9-1"/>
      <sheetName val="Wp 9-2"/>
      <sheetName val="Wp 9-3"/>
      <sheetName val="Wp 9-4"/>
      <sheetName val="Wp 9-6"/>
      <sheetName val="Wp 9-7"/>
      <sheetName val="WP 9-7-1"/>
      <sheetName val="WP 9-7-2"/>
      <sheetName val="WP 9-7-3"/>
      <sheetName val="WP 9-7-4"/>
      <sheetName val="WP 9-7-5"/>
      <sheetName val="WP 9-8"/>
      <sheetName val="Sch 11"/>
      <sheetName val="Sch 12"/>
      <sheetName val="WP 12-1"/>
      <sheetName val="WP 12-2"/>
      <sheetName val="WP 12-2-1"/>
      <sheetName val="WP 12-2-2"/>
      <sheetName val="WP 12-2-3"/>
      <sheetName val="Wp 12-3"/>
      <sheetName val="WP 12-4 "/>
      <sheetName val="WP 12-5"/>
      <sheetName val="WP 12-5 future"/>
      <sheetName val="wp 12-5-1"/>
      <sheetName val="wp 12-5-2"/>
      <sheetName val="WP 12-6"/>
      <sheetName val="WP 12-7"/>
      <sheetName val="WP 12-8"/>
      <sheetName val="WP 12-9 "/>
      <sheetName val="WP 12-10"/>
      <sheetName val="wp 12-10-1"/>
      <sheetName val="Sch 14"/>
      <sheetName val="Sch 15"/>
      <sheetName val="Sch 16"/>
      <sheetName val="WP 16-1"/>
      <sheetName val="WP 16-1 old"/>
      <sheetName val="WP 16-1-1 old"/>
      <sheetName val="WP 16-1 verif"/>
      <sheetName val="WP 16-1-1 verif"/>
      <sheetName val="WP 16-1-2"/>
      <sheetName val="WP 16-2"/>
      <sheetName val="WP 16-3"/>
      <sheetName val="WP 16-4"/>
      <sheetName val="WP 16-5"/>
      <sheetName val="WP 16-7"/>
      <sheetName val="Wp 16-8"/>
      <sheetName val="WP 16-9"/>
      <sheetName val="WP 16-10"/>
      <sheetName val="WP 16-11"/>
      <sheetName val="WP 16-12"/>
      <sheetName val="WP 16-13"/>
      <sheetName val="WP 16-15"/>
      <sheetName val="WP 16-16"/>
      <sheetName val="Sch 17"/>
      <sheetName val="Sch 18 "/>
      <sheetName val="Sch 19"/>
      <sheetName val="Rev Req"/>
      <sheetName val="recon"/>
      <sheetName val="Sch 21"/>
      <sheetName val="WP 21-1"/>
      <sheetName val="WP 21-1-1"/>
      <sheetName val="WP 21-2"/>
      <sheetName val="WP 21-3"/>
      <sheetName val="Sch 22"/>
      <sheetName val="WP 22-1"/>
      <sheetName val="WP 22-2"/>
      <sheetName val="WP 22-3"/>
      <sheetName val="WP 22-4"/>
      <sheetName val="WP 22-5"/>
      <sheetName val="WP 22-6"/>
      <sheetName val="WP 22-7"/>
      <sheetName val="WP 22-8"/>
      <sheetName val="Sch 24"/>
      <sheetName val="Sch 25"/>
      <sheetName val="WP 25-1"/>
      <sheetName val="WP 25-1-1"/>
      <sheetName val="WP 25-1-2"/>
      <sheetName val="WP 25- 2"/>
      <sheetName val="Chart3"/>
      <sheetName val="Chart4"/>
      <sheetName val="Wp 25-2-1"/>
      <sheetName val="Wp 25-2-2"/>
      <sheetName val="Wp 25-2-3"/>
      <sheetName val="WP 25-3"/>
      <sheetName val="WP 25-3-1"/>
      <sheetName val="WP 25-3-2"/>
      <sheetName val="WP 25-3-3"/>
      <sheetName val="WP 25-4"/>
      <sheetName val="WP 25-5"/>
      <sheetName val="WP 25-6"/>
      <sheetName val="WP 25-7"/>
      <sheetName val="WP 25-7-1"/>
      <sheetName val="WP 25-7-2"/>
      <sheetName val="WP 25-8"/>
      <sheetName val="Wp 25-8-1"/>
      <sheetName val="Wp 25-8-2"/>
      <sheetName val="WP 25-9"/>
      <sheetName val="WP 25-9-1"/>
      <sheetName val="wp 25-9 3yr avg"/>
      <sheetName val="WP 25-10"/>
      <sheetName val="WP 25-11"/>
      <sheetName val="WP 25-12"/>
      <sheetName val="WP 25-12-1"/>
      <sheetName val="WP 25-12-2"/>
      <sheetName val="WP 25-13"/>
      <sheetName val="WP 25-14"/>
      <sheetName val="WP 25-15"/>
      <sheetName val="WP 25-15-1"/>
      <sheetName val="WP 25-16"/>
      <sheetName val="WP 25-17"/>
      <sheetName val="WP 25-18"/>
      <sheetName val="WP 25-18-1"/>
      <sheetName val="WP 25-18-2"/>
      <sheetName val="Wp 25-18-3"/>
      <sheetName val="Wp 25-18-4"/>
      <sheetName val="Wp 25-18-5"/>
      <sheetName val="Wp 25-18-6"/>
      <sheetName val="Wp 25-18-7"/>
      <sheetName val="WP 25-19"/>
      <sheetName val="WP 25-20"/>
      <sheetName val="WP 25-21"/>
      <sheetName val="WP 25-21-1"/>
      <sheetName val="WP 25-22"/>
      <sheetName val="WP 25-23"/>
      <sheetName val="WP 25-24"/>
      <sheetName val="WP 25- 25"/>
      <sheetName val="Sch 26"/>
      <sheetName val="WP 26-1"/>
      <sheetName val="Sch 27"/>
      <sheetName val="Sch 28"/>
      <sheetName val="Sch 29A"/>
      <sheetName val="Sch 29B"/>
      <sheetName val="Sch 30A"/>
      <sheetName val="Sch 30B"/>
      <sheetName val="wp 30-1"/>
      <sheetName val="Sch 31"/>
      <sheetName val="Sch 34"/>
      <sheetName val="WP 34-1"/>
      <sheetName val="Sch 35A"/>
      <sheetName val="Sch 35B"/>
      <sheetName val="Sch 36A - Fed Current Exp"/>
      <sheetName val="Sch 36B - St Current Exp"/>
      <sheetName val="Sch 36C - Def Exp Tot Util &amp; VA"/>
      <sheetName val="Sch 36D-Def Exp Juris&amp;Fully Adj"/>
      <sheetName val="Sch 36D-Def Exp Adj'd -Activity"/>
      <sheetName val="Sch 36E - Recon Tot Util &amp; VA "/>
      <sheetName val="Sch 36F - Recon Jurisd"/>
      <sheetName val="Sch 36G -Recon Jurisd-Earn Test"/>
      <sheetName val="Sch 36H Temp Diffs Test Yr"/>
      <sheetName val="Sch 36H Temp Diffs Rate Yr "/>
      <sheetName val="Sch 36 I - Perm Diffs"/>
      <sheetName val="Sch 36J - Payments Made"/>
      <sheetName val="Sch 37"/>
      <sheetName val="Sch 38"/>
      <sheetName val="Sch 39"/>
      <sheetName val="Sch 40A"/>
      <sheetName val="Sch 40B"/>
      <sheetName val="Sch 40C"/>
      <sheetName val="WP 40-1"/>
      <sheetName val="WP 40-2"/>
      <sheetName val="WP 40-3"/>
      <sheetName val="WP 40-4"/>
      <sheetName val="WP 40-7"/>
      <sheetName val="SCH 41"/>
      <sheetName val="SCH 42"/>
      <sheetName val="SCH 43"/>
      <sheetName val="SCH 50blank"/>
      <sheetName val="Sch 50"/>
      <sheetName val="WP 50-1"/>
      <sheetName val="FACTORS"/>
      <sheetName val="DTB INPUT"/>
      <sheetName val="BS INPUT"/>
      <sheetName val="IS INPUT"/>
      <sheetName val="STOCK DATA"/>
      <sheetName val="RATES"/>
      <sheetName val="Chart-east"/>
      <sheetName val="Chart-w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14">
          <cell r="B14">
            <v>42614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1">
          <cell r="D11">
            <v>820800</v>
          </cell>
        </row>
      </sheetData>
      <sheetData sheetId="128"/>
      <sheetData sheetId="129"/>
      <sheetData sheetId="130"/>
      <sheetData sheetId="131"/>
      <sheetData sheetId="132"/>
      <sheetData sheetId="133">
        <row r="18">
          <cell r="H18">
            <v>1.8997722960471357E-2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98">
          <cell r="F98">
            <v>0.92337999999999998</v>
          </cell>
        </row>
      </sheetData>
      <sheetData sheetId="178"/>
      <sheetData sheetId="179"/>
      <sheetData sheetId="180"/>
      <sheetData sheetId="181">
        <row r="14">
          <cell r="D14">
            <v>221383</v>
          </cell>
        </row>
      </sheetData>
      <sheetData sheetId="182"/>
      <sheetData sheetId="183"/>
      <sheetData sheetId="184"/>
      <sheetData sheetId="185"/>
      <sheetData sheetId="186"/>
      <sheetData sheetId="187"/>
      <sheetData sheetId="188">
        <row r="6">
          <cell r="C6">
            <v>43373</v>
          </cell>
        </row>
      </sheetData>
      <sheetData sheetId="189"/>
      <sheetData sheetId="190"/>
      <sheetData sheetId="191"/>
      <sheetData sheetId="192"/>
      <sheetData sheetId="193"/>
      <sheetData sheetId="194" refreshError="1"/>
      <sheetData sheetId="19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Summary Factors"/>
      <sheetName val="Allocations"/>
      <sheetName val="O&amp;M - AE "/>
      <sheetName val="AP Invoices - S"/>
      <sheetName val="Headcount - B"/>
      <sheetName val="AP-PCards - S-3"/>
      <sheetName val="Capitalization - AO"/>
      <sheetName val="Cust Pymt - R"/>
      <sheetName val="EID'S - M"/>
      <sheetName val="Fixed Assets - AD"/>
      <sheetName val="Fleet - T"/>
      <sheetName val="Gas Vol - X-3B"/>
      <sheetName val="Mainframe Usage - M"/>
      <sheetName val="Purchases - U"/>
      <sheetName val="Risk Mgt - F"/>
      <sheetName val="Telecom - O"/>
      <sheetName val="Sq. footage - P"/>
      <sheetName val="Tax - I"/>
      <sheetName val="Pipe Miles - Z"/>
      <sheetName val="# Of Cust - L"/>
    </sheetNames>
    <sheetDataSet>
      <sheetData sheetId="0"/>
      <sheetData sheetId="1">
        <row r="5">
          <cell r="D5" t="str">
            <v>B</v>
          </cell>
          <cell r="E5" t="str">
            <v>B-2</v>
          </cell>
          <cell r="F5" t="str">
            <v>B-2D</v>
          </cell>
          <cell r="G5" t="str">
            <v>B-3</v>
          </cell>
          <cell r="H5" t="str">
            <v>B-3A</v>
          </cell>
          <cell r="I5" t="str">
            <v>B-3B</v>
          </cell>
          <cell r="J5" t="str">
            <v>B-6</v>
          </cell>
          <cell r="K5" t="str">
            <v>F</v>
          </cell>
          <cell r="L5" t="str">
            <v>I-1</v>
          </cell>
          <cell r="M5" t="str">
            <v>I-1C</v>
          </cell>
          <cell r="N5" t="str">
            <v>I-2</v>
          </cell>
          <cell r="O5" t="str">
            <v>I-6</v>
          </cell>
          <cell r="P5" t="str">
            <v>I-7</v>
          </cell>
          <cell r="Q5" t="str">
            <v>L-3C</v>
          </cell>
          <cell r="R5" t="str">
            <v>M-1</v>
          </cell>
          <cell r="S5" t="str">
            <v>M-2</v>
          </cell>
          <cell r="T5" t="str">
            <v>M-2A</v>
          </cell>
          <cell r="U5" t="str">
            <v>M-3</v>
          </cell>
          <cell r="V5" t="str">
            <v>M-4</v>
          </cell>
          <cell r="W5" t="str">
            <v>M-8</v>
          </cell>
          <cell r="X5" t="str">
            <v>O</v>
          </cell>
          <cell r="Y5" t="str">
            <v>P</v>
          </cell>
          <cell r="Z5" t="str">
            <v>R-1</v>
          </cell>
          <cell r="AA5" t="str">
            <v>S</v>
          </cell>
          <cell r="AB5" t="str">
            <v>S-3</v>
          </cell>
          <cell r="AC5" t="str">
            <v>T</v>
          </cell>
          <cell r="AD5" t="str">
            <v>U-1</v>
          </cell>
          <cell r="AE5" t="str">
            <v>U-2A</v>
          </cell>
          <cell r="AF5" t="str">
            <v>U-2B</v>
          </cell>
          <cell r="AG5" t="str">
            <v>U-2C</v>
          </cell>
          <cell r="AH5" t="str">
            <v>U-3E</v>
          </cell>
          <cell r="AI5" t="str">
            <v>U-5</v>
          </cell>
          <cell r="AJ5" t="str">
            <v>X-3B</v>
          </cell>
          <cell r="AK5" t="str">
            <v>z-2</v>
          </cell>
          <cell r="AL5" t="str">
            <v>AD-1</v>
          </cell>
          <cell r="AM5" t="str">
            <v>AD-2</v>
          </cell>
          <cell r="AN5" t="str">
            <v>AE-1</v>
          </cell>
          <cell r="AO5" t="str">
            <v>AE-1A</v>
          </cell>
          <cell r="AP5" t="str">
            <v>AE-1B</v>
          </cell>
          <cell r="AQ5" t="str">
            <v>AE-1D</v>
          </cell>
          <cell r="AR5" t="str">
            <v>AE-2</v>
          </cell>
          <cell r="AS5" t="str">
            <v>AE-2A</v>
          </cell>
          <cell r="AT5" t="str">
            <v>AE-2B</v>
          </cell>
          <cell r="AU5" t="str">
            <v>AE-2E</v>
          </cell>
          <cell r="AV5" t="str">
            <v>AE-2G</v>
          </cell>
          <cell r="AW5" t="str">
            <v>AE-2H</v>
          </cell>
          <cell r="AX5" t="str">
            <v>AE-2J</v>
          </cell>
          <cell r="AY5" t="str">
            <v>AE-2L</v>
          </cell>
          <cell r="AZ5" t="str">
            <v>AE-2M</v>
          </cell>
          <cell r="BA5" t="str">
            <v>AE-3</v>
          </cell>
          <cell r="BB5" t="str">
            <v>AE-3A</v>
          </cell>
          <cell r="BC5" t="str">
            <v>AE-3B</v>
          </cell>
          <cell r="BD5" t="str">
            <v>AE-3C</v>
          </cell>
          <cell r="BE5" t="str">
            <v>AE-3D</v>
          </cell>
          <cell r="BF5" t="str">
            <v>AE-4</v>
          </cell>
          <cell r="BG5" t="str">
            <v>AE-4A</v>
          </cell>
          <cell r="BH5" t="str">
            <v>AE-5</v>
          </cell>
          <cell r="BI5" t="str">
            <v>AE-6</v>
          </cell>
          <cell r="BJ5" t="str">
            <v>AE-6A</v>
          </cell>
          <cell r="BK5" t="str">
            <v>AE-7</v>
          </cell>
          <cell r="BL5" t="str">
            <v>AE-7A</v>
          </cell>
          <cell r="BM5" t="str">
            <v>AE-7B</v>
          </cell>
          <cell r="BN5" t="str">
            <v>AE-7C</v>
          </cell>
          <cell r="BO5" t="str">
            <v>AE-7D</v>
          </cell>
          <cell r="BP5" t="str">
            <v>AE-7E</v>
          </cell>
          <cell r="BQ5" t="str">
            <v>AE-9A</v>
          </cell>
          <cell r="BR5" t="str">
            <v>AE-9B</v>
          </cell>
          <cell r="BS5" t="str">
            <v>AE-10</v>
          </cell>
          <cell r="BT5" t="str">
            <v>AE-10A</v>
          </cell>
          <cell r="BU5" t="str">
            <v>AE-10B</v>
          </cell>
          <cell r="BV5" t="str">
            <v>AE-10C</v>
          </cell>
          <cell r="BW5" t="str">
            <v>AO-1</v>
          </cell>
          <cell r="BX5" t="str">
            <v>AO-2</v>
          </cell>
          <cell r="BY5" t="str">
            <v>AO-3B</v>
          </cell>
          <cell r="BZ5" t="str">
            <v>AO-6</v>
          </cell>
          <cell r="CA5" t="str">
            <v>AO-7</v>
          </cell>
        </row>
        <row r="6">
          <cell r="A6" t="str">
            <v>CNG</v>
          </cell>
          <cell r="B6">
            <v>7100</v>
          </cell>
          <cell r="C6" t="str">
            <v>OTHER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8.2065705499471364E-5</v>
          </cell>
          <cell r="L6">
            <v>2.6599999999999999E-2</v>
          </cell>
          <cell r="M6">
            <v>3.1099999999999999E-2</v>
          </cell>
          <cell r="N6">
            <v>0</v>
          </cell>
          <cell r="O6">
            <v>0</v>
          </cell>
          <cell r="P6">
            <v>0.11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2.9999999999999997E-4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4.0000000000000002E-4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5.0000000000000001E-4</v>
          </cell>
          <cell r="BI6">
            <v>0</v>
          </cell>
          <cell r="BJ6">
            <v>0</v>
          </cell>
          <cell r="BK6">
            <v>1E-3</v>
          </cell>
          <cell r="BL6">
            <v>1.5E-3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4.0000000000000002E-4</v>
          </cell>
          <cell r="BT6">
            <v>0</v>
          </cell>
          <cell r="BU6">
            <v>0</v>
          </cell>
          <cell r="BV6">
            <v>0</v>
          </cell>
          <cell r="BW6">
            <v>5.7000000000000002E-3</v>
          </cell>
          <cell r="BX6">
            <v>0</v>
          </cell>
          <cell r="BY6">
            <v>0</v>
          </cell>
          <cell r="BZ6">
            <v>0</v>
          </cell>
          <cell r="CA6">
            <v>1.83E-2</v>
          </cell>
        </row>
        <row r="7">
          <cell r="A7" t="str">
            <v>CNGC</v>
          </cell>
          <cell r="B7">
            <v>7104</v>
          </cell>
          <cell r="C7" t="str">
            <v>OTHER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  <cell r="N7">
            <v>0</v>
          </cell>
          <cell r="O7">
            <v>0</v>
          </cell>
          <cell r="P7">
            <v>2.0000000000000001E-4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2.0000000000000001E-4</v>
          </cell>
        </row>
        <row r="8">
          <cell r="A8" t="str">
            <v>CNGF</v>
          </cell>
          <cell r="B8">
            <v>7113</v>
          </cell>
          <cell r="C8" t="str">
            <v>ENERGY</v>
          </cell>
          <cell r="D8">
            <v>2E-3</v>
          </cell>
          <cell r="E8">
            <v>4.4000000000000003E-3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6.9125250850135404E-4</v>
          </cell>
          <cell r="L8">
            <v>3.5999999999999999E-3</v>
          </cell>
          <cell r="M8">
            <v>4.1999999999999997E-3</v>
          </cell>
          <cell r="N8">
            <v>0</v>
          </cell>
          <cell r="O8">
            <v>0</v>
          </cell>
          <cell r="P8">
            <v>1.47E-2</v>
          </cell>
          <cell r="Q8">
            <v>0</v>
          </cell>
          <cell r="R8">
            <v>0</v>
          </cell>
          <cell r="S8">
            <v>2.3999999999999998E-3</v>
          </cell>
          <cell r="T8">
            <v>0</v>
          </cell>
          <cell r="U8">
            <v>0</v>
          </cell>
          <cell r="V8">
            <v>4.7999999999999996E-3</v>
          </cell>
          <cell r="W8">
            <v>0</v>
          </cell>
          <cell r="X8">
            <v>0</v>
          </cell>
          <cell r="Y8">
            <v>5.0000000000000001E-4</v>
          </cell>
          <cell r="Z8">
            <v>0</v>
          </cell>
          <cell r="AA8">
            <v>1.9699999999999999E-2</v>
          </cell>
          <cell r="AB8">
            <v>1.5579999999999999E-3</v>
          </cell>
          <cell r="AC8">
            <v>0</v>
          </cell>
          <cell r="AD8">
            <v>6.9999999999999999E-4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2.4337724018933852E-3</v>
          </cell>
          <cell r="AM8">
            <v>0</v>
          </cell>
          <cell r="AN8">
            <v>1.6000000000000001E-3</v>
          </cell>
          <cell r="AO8">
            <v>0</v>
          </cell>
          <cell r="AP8">
            <v>0</v>
          </cell>
          <cell r="AQ8">
            <v>0</v>
          </cell>
          <cell r="AR8">
            <v>3.0999999999999999E-3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1.37E-2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2.3999999999999998E-3</v>
          </cell>
          <cell r="BI8">
            <v>0</v>
          </cell>
          <cell r="BJ8">
            <v>0</v>
          </cell>
          <cell r="BK8">
            <v>4.3E-3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1.6000000000000001E-3</v>
          </cell>
          <cell r="BT8">
            <v>3.5999999999999999E-3</v>
          </cell>
          <cell r="BU8">
            <v>0</v>
          </cell>
          <cell r="BV8">
            <v>0</v>
          </cell>
          <cell r="BW8">
            <v>1.1999999999999999E-3</v>
          </cell>
          <cell r="BX8">
            <v>3.0000000000000001E-3</v>
          </cell>
          <cell r="BY8">
            <v>0</v>
          </cell>
          <cell r="BZ8">
            <v>0</v>
          </cell>
          <cell r="CA8">
            <v>3.8E-3</v>
          </cell>
        </row>
        <row r="9">
          <cell r="A9" t="str">
            <v>CNGINT</v>
          </cell>
          <cell r="B9">
            <v>7114</v>
          </cell>
          <cell r="C9" t="str">
            <v>OTHER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9.5847403615362641E-5</v>
          </cell>
          <cell r="L9">
            <v>1.2999999999999999E-3</v>
          </cell>
          <cell r="M9">
            <v>1.5E-3</v>
          </cell>
          <cell r="N9">
            <v>0</v>
          </cell>
          <cell r="O9">
            <v>0</v>
          </cell>
          <cell r="P9">
            <v>5.1999999999999998E-3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1E-4</v>
          </cell>
          <cell r="Z9">
            <v>0</v>
          </cell>
          <cell r="AA9">
            <v>1.6999999999999999E-3</v>
          </cell>
          <cell r="AB9">
            <v>0</v>
          </cell>
          <cell r="AC9">
            <v>0</v>
          </cell>
          <cell r="AD9">
            <v>1.8499999999999999E-2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5.8995962967836883E-4</v>
          </cell>
          <cell r="AM9">
            <v>0</v>
          </cell>
          <cell r="AN9">
            <v>5.9999999999999995E-4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1.6999999999999999E-3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2.8E-3</v>
          </cell>
          <cell r="BX9">
            <v>0</v>
          </cell>
          <cell r="BY9">
            <v>0</v>
          </cell>
          <cell r="BZ9">
            <v>0</v>
          </cell>
          <cell r="CA9">
            <v>9.1999999999999998E-3</v>
          </cell>
        </row>
        <row r="10">
          <cell r="A10" t="str">
            <v>CNGIR</v>
          </cell>
          <cell r="B10">
            <v>1005</v>
          </cell>
          <cell r="C10" t="str">
            <v>ENERGY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5.0000000000000001E-4</v>
          </cell>
          <cell r="M10">
            <v>5.9999999999999995E-4</v>
          </cell>
          <cell r="N10">
            <v>0</v>
          </cell>
          <cell r="O10">
            <v>0</v>
          </cell>
          <cell r="P10">
            <v>2.2000000000000001E-3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1E-4</v>
          </cell>
          <cell r="AV10">
            <v>0</v>
          </cell>
          <cell r="AW10">
            <v>0</v>
          </cell>
          <cell r="AX10">
            <v>1E-4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1.9E-3</v>
          </cell>
          <cell r="BX10">
            <v>4.7999999999999996E-3</v>
          </cell>
          <cell r="BY10">
            <v>0</v>
          </cell>
          <cell r="BZ10">
            <v>0</v>
          </cell>
          <cell r="CA10">
            <v>6.0000000000000001E-3</v>
          </cell>
        </row>
        <row r="11">
          <cell r="A11" t="str">
            <v>CNGMP</v>
          </cell>
          <cell r="B11">
            <v>8516</v>
          </cell>
          <cell r="C11" t="str">
            <v>E&amp;P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1.9462126469002158E-3</v>
          </cell>
          <cell r="L11">
            <v>2.9999999999999997E-4</v>
          </cell>
          <cell r="M11">
            <v>0</v>
          </cell>
          <cell r="N11">
            <v>1.8E-3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2.0000000000000001E-4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1E-4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8.0000000000000004E-4</v>
          </cell>
          <cell r="BX11">
            <v>0</v>
          </cell>
          <cell r="BY11">
            <v>0</v>
          </cell>
          <cell r="BZ11">
            <v>0</v>
          </cell>
          <cell r="CA11">
            <v>2.7000000000000001E-3</v>
          </cell>
        </row>
        <row r="12">
          <cell r="A12" t="str">
            <v>CNGO</v>
          </cell>
          <cell r="B12">
            <v>8517</v>
          </cell>
          <cell r="C12" t="str">
            <v>E&amp;P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1.8452617082013122E-3</v>
          </cell>
          <cell r="L12">
            <v>2.9999999999999997E-4</v>
          </cell>
          <cell r="M12">
            <v>0</v>
          </cell>
          <cell r="N12">
            <v>1.5E-3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1E-4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1E-4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4.0000000000000002E-4</v>
          </cell>
          <cell r="BX12">
            <v>0</v>
          </cell>
          <cell r="BY12">
            <v>0</v>
          </cell>
          <cell r="BZ12">
            <v>0</v>
          </cell>
          <cell r="CA12">
            <v>1.2999999999999999E-3</v>
          </cell>
        </row>
        <row r="13">
          <cell r="A13" t="str">
            <v>CNGP</v>
          </cell>
          <cell r="B13">
            <v>8514</v>
          </cell>
          <cell r="C13" t="str">
            <v>E&amp;P</v>
          </cell>
          <cell r="D13">
            <v>7.3999999999999996E-2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0.23658490662846446</v>
          </cell>
          <cell r="L13">
            <v>0.13420000000000001</v>
          </cell>
          <cell r="M13">
            <v>0</v>
          </cell>
          <cell r="N13">
            <v>0.74139999999999995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4.5400000000000003E-2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2.0280770858514242E-2</v>
          </cell>
          <cell r="Y13">
            <v>1.21E-2</v>
          </cell>
          <cell r="Z13">
            <v>0</v>
          </cell>
          <cell r="AA13">
            <v>1.3899999999999999E-2</v>
          </cell>
          <cell r="AB13">
            <v>1.8242000000000001E-2</v>
          </cell>
          <cell r="AC13">
            <v>1.1155913978494624E-2</v>
          </cell>
          <cell r="AD13">
            <v>5.16E-2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0.10390000000000001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0.49490000000000001</v>
          </cell>
          <cell r="BG13">
            <v>0.76719999999999999</v>
          </cell>
          <cell r="BH13">
            <v>0.1547</v>
          </cell>
          <cell r="BI13">
            <v>0</v>
          </cell>
          <cell r="BJ13">
            <v>0</v>
          </cell>
          <cell r="BK13">
            <v>0.28399999999999997</v>
          </cell>
          <cell r="BL13">
            <v>0.42960000000000004</v>
          </cell>
          <cell r="BM13">
            <v>0.43030000000000002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0.1077</v>
          </cell>
          <cell r="BT13">
            <v>0</v>
          </cell>
          <cell r="BU13">
            <v>0</v>
          </cell>
          <cell r="BV13">
            <v>0.58260000000000001</v>
          </cell>
          <cell r="BW13">
            <v>7.22E-2</v>
          </cell>
          <cell r="BX13">
            <v>0</v>
          </cell>
          <cell r="BY13">
            <v>0</v>
          </cell>
          <cell r="BZ13">
            <v>0</v>
          </cell>
          <cell r="CA13">
            <v>0.2341</v>
          </cell>
        </row>
        <row r="14">
          <cell r="A14" t="str">
            <v>CNGPIP</v>
          </cell>
          <cell r="B14">
            <v>8515</v>
          </cell>
          <cell r="C14" t="str">
            <v>OTHER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</row>
        <row r="15">
          <cell r="A15" t="str">
            <v>CNGPS</v>
          </cell>
          <cell r="B15">
            <v>7107</v>
          </cell>
          <cell r="C15" t="str">
            <v>ENERGY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2.4561570110914993E-4</v>
          </cell>
          <cell r="L15">
            <v>1.6999999999999999E-3</v>
          </cell>
          <cell r="M15">
            <v>1.9E-3</v>
          </cell>
          <cell r="N15">
            <v>0</v>
          </cell>
          <cell r="O15">
            <v>0</v>
          </cell>
          <cell r="P15">
            <v>6.7999999999999996E-3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5.9999999999999995E-4</v>
          </cell>
          <cell r="Z15">
            <v>0</v>
          </cell>
          <cell r="AA15">
            <v>3.5499999999999997E-2</v>
          </cell>
          <cell r="AB15">
            <v>0</v>
          </cell>
          <cell r="AC15">
            <v>0</v>
          </cell>
          <cell r="AD15">
            <v>5.9999999999999995E-4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1.1259124880019203E-3</v>
          </cell>
          <cell r="AM15">
            <v>0</v>
          </cell>
          <cell r="AN15">
            <v>2E-3</v>
          </cell>
          <cell r="AO15">
            <v>0</v>
          </cell>
          <cell r="AP15">
            <v>0</v>
          </cell>
          <cell r="AQ15">
            <v>0</v>
          </cell>
          <cell r="AR15">
            <v>4.1000000000000003E-3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1.77E-2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5.5999999999999999E-3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</row>
        <row r="16">
          <cell r="A16" t="str">
            <v>CNGPSC</v>
          </cell>
          <cell r="B16">
            <v>7101</v>
          </cell>
          <cell r="C16" t="str">
            <v>OTHER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1E-4</v>
          </cell>
          <cell r="M16">
            <v>1E-4</v>
          </cell>
          <cell r="N16">
            <v>0</v>
          </cell>
          <cell r="O16">
            <v>0</v>
          </cell>
          <cell r="P16">
            <v>2.0000000000000001E-4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</row>
        <row r="17">
          <cell r="A17" t="str">
            <v>CNGR</v>
          </cell>
          <cell r="B17">
            <v>7106</v>
          </cell>
          <cell r="C17" t="str">
            <v>ENERGY</v>
          </cell>
          <cell r="D17">
            <v>4.1999999999999997E-3</v>
          </cell>
          <cell r="E17">
            <v>8.9999999999999993E-3</v>
          </cell>
          <cell r="F17">
            <v>0.31019999999999998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1.358672154179671E-3</v>
          </cell>
          <cell r="L17">
            <v>3.3E-3</v>
          </cell>
          <cell r="M17">
            <v>3.8999999999999998E-3</v>
          </cell>
          <cell r="N17">
            <v>0</v>
          </cell>
          <cell r="O17">
            <v>0</v>
          </cell>
          <cell r="P17">
            <v>1.38E-2</v>
          </cell>
          <cell r="Q17">
            <v>0</v>
          </cell>
          <cell r="R17">
            <v>0</v>
          </cell>
          <cell r="S17">
            <v>5.7999999999999996E-3</v>
          </cell>
          <cell r="T17">
            <v>0</v>
          </cell>
          <cell r="U17">
            <v>0</v>
          </cell>
          <cell r="V17">
            <v>1.18E-2</v>
          </cell>
          <cell r="W17">
            <v>0</v>
          </cell>
          <cell r="X17">
            <v>3.8245972569158453E-3</v>
          </cell>
          <cell r="Y17">
            <v>4.3E-3</v>
          </cell>
          <cell r="Z17">
            <v>0</v>
          </cell>
          <cell r="AA17">
            <v>1.3599999999999999E-2</v>
          </cell>
          <cell r="AB17">
            <v>2.954E-3</v>
          </cell>
          <cell r="AC17">
            <v>0</v>
          </cell>
          <cell r="AD17">
            <v>2.2000000000000001E-3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1.8409459508859322E-2</v>
          </cell>
          <cell r="AM17">
            <v>0</v>
          </cell>
          <cell r="AN17">
            <v>5.7000000000000002E-3</v>
          </cell>
          <cell r="AO17">
            <v>0</v>
          </cell>
          <cell r="AP17">
            <v>0</v>
          </cell>
          <cell r="AQ17">
            <v>0</v>
          </cell>
          <cell r="AR17">
            <v>1.14E-2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4.9599999999999998E-2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8.5000000000000006E-3</v>
          </cell>
          <cell r="BI17">
            <v>0</v>
          </cell>
          <cell r="BJ17">
            <v>0</v>
          </cell>
          <cell r="BK17">
            <v>1.5599999999999999E-2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5.8999999999999999E-3</v>
          </cell>
          <cell r="BT17">
            <v>1.3100000000000001E-2</v>
          </cell>
          <cell r="BU17">
            <v>0</v>
          </cell>
          <cell r="BV17">
            <v>0</v>
          </cell>
          <cell r="BW17">
            <v>2.7000000000000001E-3</v>
          </cell>
          <cell r="BX17">
            <v>6.7999999999999996E-3</v>
          </cell>
          <cell r="BY17">
            <v>0</v>
          </cell>
          <cell r="BZ17">
            <v>0</v>
          </cell>
          <cell r="CA17">
            <v>8.6E-3</v>
          </cell>
        </row>
        <row r="18">
          <cell r="A18" t="str">
            <v>CNGT</v>
          </cell>
          <cell r="B18">
            <v>1004</v>
          </cell>
          <cell r="C18" t="str">
            <v>ENERGY</v>
          </cell>
          <cell r="D18">
            <v>8.2600000000000007E-2</v>
          </cell>
          <cell r="E18">
            <v>0.1764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6.2110336792360187E-2</v>
          </cell>
          <cell r="L18">
            <v>6.9800000000000001E-2</v>
          </cell>
          <cell r="M18">
            <v>8.1799999999999998E-2</v>
          </cell>
          <cell r="N18">
            <v>0</v>
          </cell>
          <cell r="O18">
            <v>0</v>
          </cell>
          <cell r="P18">
            <v>0.2893</v>
          </cell>
          <cell r="Q18">
            <v>0</v>
          </cell>
          <cell r="R18">
            <v>0</v>
          </cell>
          <cell r="S18">
            <v>7.5399999999999995E-2</v>
          </cell>
          <cell r="T18">
            <v>0</v>
          </cell>
          <cell r="U18">
            <v>0</v>
          </cell>
          <cell r="V18">
            <v>0.15459999999999999</v>
          </cell>
          <cell r="W18">
            <v>0</v>
          </cell>
          <cell r="X18">
            <v>6.373085900326278E-2</v>
          </cell>
          <cell r="Y18">
            <v>6.0199999999999997E-2</v>
          </cell>
          <cell r="Z18">
            <v>0</v>
          </cell>
          <cell r="AA18">
            <v>3.5799999999999998E-2</v>
          </cell>
          <cell r="AB18">
            <v>0.124057</v>
          </cell>
          <cell r="AC18">
            <v>0.1264784946236559</v>
          </cell>
          <cell r="AD18">
            <v>9.0999999999999998E-2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0.56217216908361611</v>
          </cell>
          <cell r="AL18">
            <v>0.38851356373916446</v>
          </cell>
          <cell r="AM18">
            <v>0</v>
          </cell>
          <cell r="AN18">
            <v>5.7599999999999998E-2</v>
          </cell>
          <cell r="AO18">
            <v>0</v>
          </cell>
          <cell r="AP18">
            <v>0.32550000000000001</v>
          </cell>
          <cell r="AQ18">
            <v>9.8100000000000007E-2</v>
          </cell>
          <cell r="AR18">
            <v>0.1147</v>
          </cell>
          <cell r="AS18">
            <v>0</v>
          </cell>
          <cell r="AT18">
            <v>0</v>
          </cell>
          <cell r="AU18">
            <v>0.61</v>
          </cell>
          <cell r="AV18">
            <v>0</v>
          </cell>
          <cell r="AW18">
            <v>0</v>
          </cell>
          <cell r="AX18">
            <v>0.50019999999999998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8.5800000000000001E-2</v>
          </cell>
          <cell r="BI18">
            <v>0</v>
          </cell>
          <cell r="BJ18">
            <v>0</v>
          </cell>
          <cell r="BK18">
            <v>0.15740000000000001</v>
          </cell>
          <cell r="BL18">
            <v>0.2382</v>
          </cell>
          <cell r="BM18">
            <v>0.23849999999999999</v>
          </cell>
          <cell r="BN18">
            <v>0.84789999999999999</v>
          </cell>
          <cell r="BO18">
            <v>0.3352</v>
          </cell>
          <cell r="BP18">
            <v>0</v>
          </cell>
          <cell r="BQ18">
            <v>0</v>
          </cell>
          <cell r="BR18">
            <v>0.60580000000000001</v>
          </cell>
          <cell r="BS18">
            <v>5.9700000000000003E-2</v>
          </cell>
          <cell r="BT18">
            <v>0</v>
          </cell>
          <cell r="BU18">
            <v>0.17699999999999999</v>
          </cell>
          <cell r="BV18">
            <v>0</v>
          </cell>
          <cell r="BW18">
            <v>4.5999999999999999E-2</v>
          </cell>
          <cell r="BX18">
            <v>0.11749999999999999</v>
          </cell>
          <cell r="BY18">
            <v>0</v>
          </cell>
          <cell r="BZ18">
            <v>0</v>
          </cell>
          <cell r="CA18">
            <v>0.14899999999999999</v>
          </cell>
        </row>
        <row r="19">
          <cell r="A19" t="str">
            <v>DALH</v>
          </cell>
          <cell r="B19">
            <v>5004</v>
          </cell>
          <cell r="C19" t="str">
            <v>DEL-O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2.0000000000000001E-4</v>
          </cell>
          <cell r="AB19">
            <v>0</v>
          </cell>
          <cell r="AC19">
            <v>0</v>
          </cell>
          <cell r="AD19">
            <v>2.9999999999999997E-4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2.9999999999999997E-4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</row>
        <row r="20">
          <cell r="A20" t="str">
            <v>DARM</v>
          </cell>
          <cell r="B20">
            <v>8133</v>
          </cell>
          <cell r="C20" t="str">
            <v>ENERGY</v>
          </cell>
          <cell r="D20">
            <v>6.9999999999999999E-4</v>
          </cell>
          <cell r="E20">
            <v>1.6000000000000001E-3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9.9373938601057272E-3</v>
          </cell>
          <cell r="L20">
            <v>2.0000000000000001E-4</v>
          </cell>
          <cell r="M20">
            <v>2.9999999999999997E-4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6.9999999999999999E-4</v>
          </cell>
          <cell r="T20">
            <v>0</v>
          </cell>
          <cell r="U20">
            <v>0</v>
          </cell>
          <cell r="V20">
            <v>1.2999999999999999E-3</v>
          </cell>
          <cell r="W20">
            <v>2.3699999999999999E-2</v>
          </cell>
          <cell r="X20">
            <v>1.0046202282855351E-3</v>
          </cell>
          <cell r="Y20">
            <v>5.9999999999999995E-4</v>
          </cell>
          <cell r="Z20">
            <v>0</v>
          </cell>
          <cell r="AA20">
            <v>3.3999999999999998E-3</v>
          </cell>
          <cell r="AB20">
            <v>3.3180000000000002E-3</v>
          </cell>
          <cell r="AC20">
            <v>2.6881720430107527E-4</v>
          </cell>
          <cell r="AD20">
            <v>3.3999999999999998E-3</v>
          </cell>
          <cell r="AE20">
            <v>0</v>
          </cell>
          <cell r="AF20">
            <v>0.01</v>
          </cell>
          <cell r="AG20">
            <v>6.4999999999999997E-3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2E-3</v>
          </cell>
          <cell r="AO20">
            <v>3.5999999999999999E-3</v>
          </cell>
          <cell r="AP20">
            <v>0</v>
          </cell>
          <cell r="AQ20">
            <v>0</v>
          </cell>
          <cell r="AR20">
            <v>4.1000000000000003E-3</v>
          </cell>
          <cell r="AS20">
            <v>0</v>
          </cell>
          <cell r="AT20">
            <v>1.29E-2</v>
          </cell>
          <cell r="AU20">
            <v>0</v>
          </cell>
          <cell r="AV20">
            <v>0.34300000000000003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3.0000000000000001E-3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2.0999999999999999E-3</v>
          </cell>
          <cell r="BT20">
            <v>4.7000000000000002E-3</v>
          </cell>
          <cell r="BU20">
            <v>0</v>
          </cell>
          <cell r="BV20">
            <v>0</v>
          </cell>
          <cell r="BW20">
            <v>2.0000000000000001E-4</v>
          </cell>
          <cell r="BX20">
            <v>5.0000000000000001E-4</v>
          </cell>
          <cell r="BY20">
            <v>0</v>
          </cell>
          <cell r="BZ20">
            <v>0</v>
          </cell>
          <cell r="CA20">
            <v>0</v>
          </cell>
        </row>
        <row r="21">
          <cell r="A21" t="str">
            <v>DCI</v>
          </cell>
          <cell r="C21" t="str">
            <v>OTHER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5.9248812234414987E-3</v>
          </cell>
          <cell r="L21">
            <v>6.0100000000000001E-2</v>
          </cell>
          <cell r="M21">
            <v>7.0400000000000004E-2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5.9999999999999995E-4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5.4999999999999997E-3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5.7000000000000002E-3</v>
          </cell>
          <cell r="BT21">
            <v>0</v>
          </cell>
          <cell r="BU21">
            <v>0</v>
          </cell>
          <cell r="BV21">
            <v>0</v>
          </cell>
          <cell r="BW21">
            <v>3.7100000000000001E-2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</row>
        <row r="22">
          <cell r="A22" t="str">
            <v>DCOVE</v>
          </cell>
          <cell r="B22">
            <v>8155</v>
          </cell>
          <cell r="C22" t="str">
            <v>ENERGY</v>
          </cell>
          <cell r="D22">
            <v>4.1999999999999997E-3</v>
          </cell>
          <cell r="E22">
            <v>8.8999999999999999E-3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1.5048134963396152E-2</v>
          </cell>
          <cell r="L22">
            <v>5.0000000000000001E-4</v>
          </cell>
          <cell r="M22">
            <v>5.9999999999999995E-4</v>
          </cell>
          <cell r="N22">
            <v>0</v>
          </cell>
          <cell r="O22">
            <v>0</v>
          </cell>
          <cell r="P22">
            <v>2.2000000000000001E-3</v>
          </cell>
          <cell r="Q22">
            <v>0</v>
          </cell>
          <cell r="R22">
            <v>0</v>
          </cell>
          <cell r="S22">
            <v>7.4999999999999997E-3</v>
          </cell>
          <cell r="T22">
            <v>0</v>
          </cell>
          <cell r="U22">
            <v>0</v>
          </cell>
          <cell r="V22">
            <v>1.55E-2</v>
          </cell>
          <cell r="W22">
            <v>0</v>
          </cell>
          <cell r="X22">
            <v>4.0812696774099868E-3</v>
          </cell>
          <cell r="Y22">
            <v>1.5E-3</v>
          </cell>
          <cell r="Z22">
            <v>0</v>
          </cell>
          <cell r="AA22">
            <v>1.9699999999999999E-2</v>
          </cell>
          <cell r="AB22">
            <v>6.1899999999999998E-4</v>
          </cell>
          <cell r="AC22">
            <v>4.3010752688172043E-3</v>
          </cell>
          <cell r="AD22">
            <v>1.23E-2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9.6327132069654625E-2</v>
          </cell>
          <cell r="AM22">
            <v>0</v>
          </cell>
          <cell r="AN22">
            <v>5.1000000000000004E-3</v>
          </cell>
          <cell r="AO22">
            <v>0</v>
          </cell>
          <cell r="AP22">
            <v>2.9000000000000001E-2</v>
          </cell>
          <cell r="AQ22">
            <v>8.6999999999999994E-3</v>
          </cell>
          <cell r="AR22">
            <v>1.0200000000000001E-2</v>
          </cell>
          <cell r="AS22">
            <v>0</v>
          </cell>
          <cell r="AT22">
            <v>0</v>
          </cell>
          <cell r="AU22">
            <v>5.4300000000000001E-2</v>
          </cell>
          <cell r="AV22">
            <v>0</v>
          </cell>
          <cell r="AW22">
            <v>0</v>
          </cell>
          <cell r="AX22">
            <v>4.4600000000000001E-2</v>
          </cell>
          <cell r="AY22">
            <v>0.50600000000000001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7.6E-3</v>
          </cell>
          <cell r="BI22">
            <v>0</v>
          </cell>
          <cell r="BJ22">
            <v>0</v>
          </cell>
          <cell r="BK22">
            <v>1.4E-2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5.3E-3</v>
          </cell>
          <cell r="BT22">
            <v>0</v>
          </cell>
          <cell r="BU22">
            <v>1.5800000000000002E-2</v>
          </cell>
          <cell r="BV22">
            <v>0</v>
          </cell>
          <cell r="BW22">
            <v>9.1999999999999998E-3</v>
          </cell>
          <cell r="BX22">
            <v>2.35E-2</v>
          </cell>
          <cell r="BY22">
            <v>0</v>
          </cell>
          <cell r="BZ22">
            <v>0</v>
          </cell>
          <cell r="CA22">
            <v>2.98E-2</v>
          </cell>
        </row>
        <row r="23">
          <cell r="A23" t="str">
            <v>DDRES</v>
          </cell>
          <cell r="B23">
            <v>8000</v>
          </cell>
          <cell r="C23" t="str">
            <v>ENERGY</v>
          </cell>
          <cell r="D23">
            <v>2.9999999999999997E-4</v>
          </cell>
          <cell r="E23">
            <v>5.9999999999999995E-4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1.1075121278585262E-3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4.0000000000000002E-4</v>
          </cell>
          <cell r="T23">
            <v>0</v>
          </cell>
          <cell r="U23">
            <v>0</v>
          </cell>
          <cell r="V23">
            <v>8.0000000000000004E-4</v>
          </cell>
          <cell r="W23">
            <v>1.4200000000000001E-2</v>
          </cell>
          <cell r="X23">
            <v>0</v>
          </cell>
          <cell r="Y23">
            <v>1E-4</v>
          </cell>
          <cell r="Z23">
            <v>0</v>
          </cell>
          <cell r="AA23">
            <v>3.0999999999999999E-3</v>
          </cell>
          <cell r="AB23">
            <v>9.0899999999999998E-4</v>
          </cell>
          <cell r="AC23">
            <v>0</v>
          </cell>
          <cell r="AD23">
            <v>3.5200000000000002E-2</v>
          </cell>
          <cell r="AE23">
            <v>0</v>
          </cell>
          <cell r="AF23">
            <v>0.1021</v>
          </cell>
          <cell r="AG23">
            <v>6.6400000000000001E-2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2.0000000000000001E-4</v>
          </cell>
          <cell r="AO23">
            <v>4.0000000000000002E-4</v>
          </cell>
          <cell r="AP23">
            <v>0</v>
          </cell>
          <cell r="AQ23">
            <v>0</v>
          </cell>
          <cell r="AR23">
            <v>5.0000000000000001E-4</v>
          </cell>
          <cell r="AS23">
            <v>0</v>
          </cell>
          <cell r="AT23">
            <v>1.4E-3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2.9999999999999997E-4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2.0000000000000001E-4</v>
          </cell>
          <cell r="BT23">
            <v>5.0000000000000001E-4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</row>
        <row r="24">
          <cell r="A24" t="str">
            <v>DEIBD</v>
          </cell>
          <cell r="B24">
            <v>8000</v>
          </cell>
          <cell r="C24" t="str">
            <v>ENERGY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1.6660780987914195E-4</v>
          </cell>
          <cell r="L24">
            <v>2.0000000000000001E-4</v>
          </cell>
          <cell r="M24">
            <v>2.0000000000000001E-4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5.0000000000000001E-4</v>
          </cell>
          <cell r="Z24">
            <v>0</v>
          </cell>
          <cell r="AA24">
            <v>1E-4</v>
          </cell>
          <cell r="AB24">
            <v>0</v>
          </cell>
          <cell r="AC24">
            <v>0</v>
          </cell>
          <cell r="AD24">
            <v>1E-4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1.6999999999999999E-3</v>
          </cell>
          <cell r="AO24">
            <v>0</v>
          </cell>
          <cell r="AP24">
            <v>0</v>
          </cell>
          <cell r="AQ24">
            <v>0</v>
          </cell>
          <cell r="AR24">
            <v>3.3999999999999998E-3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1.6999999999999999E-3</v>
          </cell>
          <cell r="BT24">
            <v>3.8999999999999998E-3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</row>
        <row r="25">
          <cell r="A25" t="str">
            <v>DEICORP</v>
          </cell>
          <cell r="B25">
            <v>8000</v>
          </cell>
          <cell r="C25" t="str">
            <v>ENERGY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6.9999999999999999E-4</v>
          </cell>
          <cell r="M25">
            <v>8.9999999999999998E-4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8.0000000000000004E-4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4.662087012592471E-3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2.5000000000000001E-3</v>
          </cell>
          <cell r="BX25">
            <v>6.3E-3</v>
          </cell>
          <cell r="BY25">
            <v>0</v>
          </cell>
          <cell r="BZ25">
            <v>0</v>
          </cell>
          <cell r="CA25">
            <v>0</v>
          </cell>
        </row>
        <row r="26">
          <cell r="A26" t="str">
            <v>DEIOG</v>
          </cell>
          <cell r="B26">
            <v>8500</v>
          </cell>
          <cell r="C26" t="str">
            <v>E&amp;P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1.3397437885719165E-2</v>
          </cell>
          <cell r="L26">
            <v>3.49E-2</v>
          </cell>
          <cell r="M26">
            <v>4.0899999999999999E-2</v>
          </cell>
          <cell r="N26">
            <v>0.19289999999999999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2.0799999999999999E-2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6.4672427195881328E-3</v>
          </cell>
          <cell r="Y26">
            <v>3.7000000000000002E-3</v>
          </cell>
          <cell r="Z26">
            <v>0</v>
          </cell>
          <cell r="AA26">
            <v>4.4000000000000003E-3</v>
          </cell>
          <cell r="AB26">
            <v>1.7799999999999999E-4</v>
          </cell>
          <cell r="AC26">
            <v>1.5188172043010753E-2</v>
          </cell>
          <cell r="AD26">
            <v>2.0299999999999999E-2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3.15E-2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0.1502</v>
          </cell>
          <cell r="BG26">
            <v>0.23280000000000001</v>
          </cell>
          <cell r="BH26">
            <v>4.7E-2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3.56E-2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</row>
        <row r="27">
          <cell r="A27" t="str">
            <v>DELCO</v>
          </cell>
          <cell r="B27">
            <v>8302</v>
          </cell>
          <cell r="C27" t="str">
            <v>ENERGY</v>
          </cell>
          <cell r="D27">
            <v>1.1999999999999999E-3</v>
          </cell>
          <cell r="E27">
            <v>2.5000000000000001E-3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4.3487048928443135E-2</v>
          </cell>
          <cell r="L27">
            <v>2.8999999999999998E-3</v>
          </cell>
          <cell r="M27">
            <v>3.3999999999999998E-3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1.1000000000000001E-3</v>
          </cell>
          <cell r="T27">
            <v>0</v>
          </cell>
          <cell r="U27">
            <v>0</v>
          </cell>
          <cell r="V27">
            <v>2.3E-3</v>
          </cell>
          <cell r="W27">
            <v>4.0300000000000002E-2</v>
          </cell>
          <cell r="X27">
            <v>8.7904269974984327E-4</v>
          </cell>
          <cell r="Y27">
            <v>2.5999999999999999E-3</v>
          </cell>
          <cell r="Z27">
            <v>0</v>
          </cell>
          <cell r="AA27">
            <v>1.9E-3</v>
          </cell>
          <cell r="AB27">
            <v>2.895E-3</v>
          </cell>
          <cell r="AC27">
            <v>1.3440860215053763E-4</v>
          </cell>
          <cell r="AD27">
            <v>1.8E-3</v>
          </cell>
          <cell r="AE27">
            <v>0</v>
          </cell>
          <cell r="AF27">
            <v>5.3E-3</v>
          </cell>
          <cell r="AG27">
            <v>3.3999999999999998E-3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8.8999999999999999E-3</v>
          </cell>
          <cell r="AO27">
            <v>1.5900000000000001E-2</v>
          </cell>
          <cell r="AP27">
            <v>0</v>
          </cell>
          <cell r="AQ27">
            <v>0</v>
          </cell>
          <cell r="AR27">
            <v>1.78E-2</v>
          </cell>
          <cell r="AS27">
            <v>0</v>
          </cell>
          <cell r="AT27">
            <v>5.6500000000000002E-2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1.3299999999999999E-2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9.2999999999999992E-3</v>
          </cell>
          <cell r="BT27">
            <v>2.0500000000000001E-2</v>
          </cell>
          <cell r="BU27">
            <v>0</v>
          </cell>
          <cell r="BV27">
            <v>0</v>
          </cell>
          <cell r="BW27">
            <v>1.6999999999999999E-3</v>
          </cell>
          <cell r="BX27">
            <v>4.1999999999999997E-3</v>
          </cell>
          <cell r="BY27">
            <v>0</v>
          </cell>
          <cell r="BZ27">
            <v>0</v>
          </cell>
          <cell r="CA27">
            <v>0</v>
          </cell>
        </row>
        <row r="28">
          <cell r="A28" t="str">
            <v>DEMI</v>
          </cell>
          <cell r="B28">
            <v>8000</v>
          </cell>
          <cell r="C28" t="str">
            <v>ENERGY</v>
          </cell>
          <cell r="D28">
            <v>3.0000000000000001E-3</v>
          </cell>
          <cell r="E28">
            <v>6.4000000000000003E-3</v>
          </cell>
          <cell r="F28">
            <v>0.21929999999999999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1E-4</v>
          </cell>
          <cell r="M28">
            <v>1E-4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2.7000000000000001E-3</v>
          </cell>
          <cell r="T28">
            <v>0</v>
          </cell>
          <cell r="U28">
            <v>0</v>
          </cell>
          <cell r="V28">
            <v>5.4999999999999997E-3</v>
          </cell>
          <cell r="W28">
            <v>0</v>
          </cell>
          <cell r="X28">
            <v>0</v>
          </cell>
          <cell r="Y28">
            <v>2.0000000000000001E-4</v>
          </cell>
          <cell r="Z28">
            <v>0</v>
          </cell>
          <cell r="AA28">
            <v>2.0000000000000001E-4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3.5999999999999999E-3</v>
          </cell>
          <cell r="AO28">
            <v>0</v>
          </cell>
          <cell r="AP28">
            <v>0</v>
          </cell>
          <cell r="AQ28">
            <v>0</v>
          </cell>
          <cell r="AR28">
            <v>7.1000000000000004E-3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0.31419999999999998</v>
          </cell>
          <cell r="AX28">
            <v>3.1E-2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5.3E-3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3.7499999999999999E-2</v>
          </cell>
          <cell r="BS28">
            <v>3.7000000000000002E-3</v>
          </cell>
          <cell r="BT28">
            <v>8.2000000000000007E-3</v>
          </cell>
          <cell r="BU28">
            <v>0</v>
          </cell>
          <cell r="BV28">
            <v>0</v>
          </cell>
          <cell r="BW28">
            <v>2.9999999999999997E-4</v>
          </cell>
          <cell r="BX28">
            <v>6.9999999999999999E-4</v>
          </cell>
          <cell r="BY28">
            <v>0</v>
          </cell>
          <cell r="BZ28">
            <v>0</v>
          </cell>
          <cell r="CA28">
            <v>0</v>
          </cell>
        </row>
        <row r="29">
          <cell r="A29" t="str">
            <v>DFAIR</v>
          </cell>
          <cell r="B29">
            <v>8000</v>
          </cell>
          <cell r="C29" t="str">
            <v>ENERGY</v>
          </cell>
          <cell r="D29">
            <v>1.6999999999999999E-3</v>
          </cell>
          <cell r="E29">
            <v>3.5999999999999999E-3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1.2067384383639857E-3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1.5E-3</v>
          </cell>
          <cell r="T29">
            <v>0</v>
          </cell>
          <cell r="U29">
            <v>0</v>
          </cell>
          <cell r="V29">
            <v>3.0999999999999999E-3</v>
          </cell>
          <cell r="W29">
            <v>5.45E-2</v>
          </cell>
          <cell r="X29">
            <v>1.0046202282855351E-3</v>
          </cell>
          <cell r="Y29">
            <v>0</v>
          </cell>
          <cell r="Z29">
            <v>0</v>
          </cell>
          <cell r="AA29">
            <v>2.3E-3</v>
          </cell>
          <cell r="AB29">
            <v>9.1000000000000003E-5</v>
          </cell>
          <cell r="AC29">
            <v>0</v>
          </cell>
          <cell r="AD29">
            <v>3.8E-3</v>
          </cell>
          <cell r="AE29">
            <v>0</v>
          </cell>
          <cell r="AF29">
            <v>1.11E-2</v>
          </cell>
          <cell r="AG29">
            <v>7.1999999999999998E-3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2.3999999999999998E-3</v>
          </cell>
          <cell r="BX29">
            <v>6.1000000000000004E-3</v>
          </cell>
          <cell r="BY29">
            <v>0</v>
          </cell>
          <cell r="BZ29">
            <v>0</v>
          </cell>
          <cell r="CA29">
            <v>0</v>
          </cell>
        </row>
        <row r="30">
          <cell r="A30" t="str">
            <v>DGBR</v>
          </cell>
          <cell r="B30">
            <v>8130</v>
          </cell>
          <cell r="C30" t="str">
            <v>ENERGY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1E-4</v>
          </cell>
          <cell r="AV30">
            <v>0</v>
          </cell>
          <cell r="AW30">
            <v>0</v>
          </cell>
          <cell r="AX30">
            <v>1E-4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5.0000000000000001E-4</v>
          </cell>
          <cell r="BX30">
            <v>1.4E-3</v>
          </cell>
          <cell r="BY30">
            <v>0</v>
          </cell>
          <cell r="BZ30">
            <v>0</v>
          </cell>
          <cell r="CA30">
            <v>1.8E-3</v>
          </cell>
        </row>
        <row r="31">
          <cell r="A31" t="str">
            <v>DGLLC</v>
          </cell>
          <cell r="B31">
            <v>8132</v>
          </cell>
          <cell r="C31" t="str">
            <v>ENERGY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1.1000000000000001E-3</v>
          </cell>
          <cell r="AB31">
            <v>5.9329999999999999E-3</v>
          </cell>
          <cell r="AC31">
            <v>0</v>
          </cell>
          <cell r="AD31">
            <v>3.8999999999999998E-3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3.9071132196149036E-2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</row>
        <row r="32">
          <cell r="A32" t="str">
            <v>DKINC</v>
          </cell>
          <cell r="B32">
            <v>8300</v>
          </cell>
          <cell r="C32" t="str">
            <v>ENERGY</v>
          </cell>
          <cell r="D32">
            <v>1.04E-2</v>
          </cell>
          <cell r="E32">
            <v>2.23E-2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7.7430095953631817E-2</v>
          </cell>
          <cell r="L32">
            <v>4.8999999999999998E-3</v>
          </cell>
          <cell r="M32">
            <v>5.7000000000000002E-3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1.1299999999999999E-2</v>
          </cell>
          <cell r="T32">
            <v>0</v>
          </cell>
          <cell r="U32">
            <v>0</v>
          </cell>
          <cell r="V32">
            <v>2.3099999999999999E-2</v>
          </cell>
          <cell r="W32">
            <v>0.40660000000000002</v>
          </cell>
          <cell r="X32">
            <v>0</v>
          </cell>
          <cell r="Y32">
            <v>4.7000000000000002E-3</v>
          </cell>
          <cell r="Z32">
            <v>0</v>
          </cell>
          <cell r="AA32">
            <v>3.3E-3</v>
          </cell>
          <cell r="AB32">
            <v>7.643389999999999E-3</v>
          </cell>
          <cell r="AC32">
            <v>1.881720430107527E-3</v>
          </cell>
          <cell r="AD32">
            <v>3.9E-2</v>
          </cell>
          <cell r="AE32">
            <v>0</v>
          </cell>
          <cell r="AF32">
            <v>0.1132</v>
          </cell>
          <cell r="AG32">
            <v>7.3599999999999999E-2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4.3884021492152467E-2</v>
          </cell>
          <cell r="AN32">
            <v>1.5900000000000001E-2</v>
          </cell>
          <cell r="AO32">
            <v>2.8199999999999999E-2</v>
          </cell>
          <cell r="AP32">
            <v>0</v>
          </cell>
          <cell r="AQ32">
            <v>0</v>
          </cell>
          <cell r="AR32">
            <v>3.1699999999999999E-2</v>
          </cell>
          <cell r="AS32">
            <v>0</v>
          </cell>
          <cell r="AT32">
            <v>0.10050000000000001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2.3699999999999999E-2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1.6500000000000001E-2</v>
          </cell>
          <cell r="BT32">
            <v>3.6499999999999998E-2</v>
          </cell>
          <cell r="BU32">
            <v>0</v>
          </cell>
          <cell r="BV32">
            <v>0</v>
          </cell>
          <cell r="BW32">
            <v>1.44E-2</v>
          </cell>
          <cell r="BX32">
            <v>3.6900000000000002E-2</v>
          </cell>
          <cell r="BY32">
            <v>0</v>
          </cell>
          <cell r="BZ32">
            <v>0</v>
          </cell>
          <cell r="CA32">
            <v>0</v>
          </cell>
        </row>
        <row r="33">
          <cell r="A33" t="str">
            <v>DLI</v>
          </cell>
          <cell r="C33" t="str">
            <v>OTHER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6.0729698764774116E-3</v>
          </cell>
          <cell r="L33">
            <v>8.0000000000000004E-4</v>
          </cell>
          <cell r="M33">
            <v>8.9999999999999998E-4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1E-4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5.0000000000000001E-4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1.8E-3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</row>
        <row r="34">
          <cell r="A34" t="str">
            <v>DMORG</v>
          </cell>
          <cell r="B34">
            <v>8300</v>
          </cell>
          <cell r="C34" t="str">
            <v>ENERGY</v>
          </cell>
          <cell r="D34">
            <v>3.3999999999999998E-3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1.101644787438889E-3</v>
          </cell>
          <cell r="L34">
            <v>8.0000000000000004E-4</v>
          </cell>
          <cell r="M34">
            <v>8.9999999999999998E-4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4.0000000000000001E-3</v>
          </cell>
          <cell r="T34">
            <v>0</v>
          </cell>
          <cell r="U34">
            <v>0</v>
          </cell>
          <cell r="V34">
            <v>8.0999999999999996E-3</v>
          </cell>
          <cell r="W34">
            <v>0.14319999999999999</v>
          </cell>
          <cell r="X34">
            <v>0</v>
          </cell>
          <cell r="Y34">
            <v>1E-4</v>
          </cell>
          <cell r="Z34">
            <v>0</v>
          </cell>
          <cell r="AA34">
            <v>6.9999999999999999E-4</v>
          </cell>
          <cell r="AB34">
            <v>2.2526099999999999E-3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2.0000000000000001E-4</v>
          </cell>
          <cell r="AO34">
            <v>4.0000000000000002E-4</v>
          </cell>
          <cell r="AP34">
            <v>0</v>
          </cell>
          <cell r="AQ34">
            <v>0</v>
          </cell>
          <cell r="AR34">
            <v>5.0000000000000001E-4</v>
          </cell>
          <cell r="AS34">
            <v>0</v>
          </cell>
          <cell r="AT34">
            <v>1.4E-3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2.0000000000000001E-4</v>
          </cell>
          <cell r="BT34">
            <v>5.0000000000000001E-4</v>
          </cell>
          <cell r="BU34">
            <v>0</v>
          </cell>
          <cell r="BV34">
            <v>0</v>
          </cell>
          <cell r="BW34">
            <v>1E-4</v>
          </cell>
          <cell r="BX34">
            <v>2.0000000000000001E-4</v>
          </cell>
          <cell r="BY34">
            <v>0</v>
          </cell>
          <cell r="BZ34">
            <v>0</v>
          </cell>
          <cell r="CA34">
            <v>0</v>
          </cell>
        </row>
        <row r="35">
          <cell r="A35" t="str">
            <v>DNC</v>
          </cell>
          <cell r="B35">
            <v>8000</v>
          </cell>
          <cell r="C35" t="str">
            <v>ENERGY</v>
          </cell>
          <cell r="D35">
            <v>8.6699999999999999E-2</v>
          </cell>
          <cell r="E35">
            <v>0.18509999999999999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4.0879250340758247E-2</v>
          </cell>
          <cell r="L35">
            <v>2.3099999999999999E-2</v>
          </cell>
          <cell r="M35">
            <v>2.7099999999999999E-2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9.9597585513078471E-2</v>
          </cell>
          <cell r="S35">
            <v>0.1172</v>
          </cell>
          <cell r="T35">
            <v>0.46650000000000003</v>
          </cell>
          <cell r="U35">
            <v>0</v>
          </cell>
          <cell r="V35">
            <v>0.24030000000000001</v>
          </cell>
          <cell r="W35">
            <v>0</v>
          </cell>
          <cell r="X35">
            <v>0.1031659623705616</v>
          </cell>
          <cell r="Y35">
            <v>3.1600000000000003E-2</v>
          </cell>
          <cell r="Z35">
            <v>0</v>
          </cell>
          <cell r="AA35">
            <v>8.2699999999999996E-2</v>
          </cell>
          <cell r="AB35">
            <v>3.0714000000000002E-2</v>
          </cell>
          <cell r="AC35">
            <v>7.930107526881721E-3</v>
          </cell>
          <cell r="AD35">
            <v>6.3700000000000007E-2</v>
          </cell>
          <cell r="AE35">
            <v>0.34329999999999999</v>
          </cell>
          <cell r="AF35">
            <v>0</v>
          </cell>
          <cell r="AG35">
            <v>0.1201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5.4338549955353033E-2</v>
          </cell>
          <cell r="AN35">
            <v>0.1076</v>
          </cell>
          <cell r="AO35">
            <v>0.19070000000000001</v>
          </cell>
          <cell r="AP35">
            <v>0</v>
          </cell>
          <cell r="AQ35">
            <v>0</v>
          </cell>
          <cell r="AR35">
            <v>0.2142</v>
          </cell>
          <cell r="AS35">
            <v>0.48449999999999999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0.16009999999999999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0.1115</v>
          </cell>
          <cell r="BT35">
            <v>0.2467</v>
          </cell>
          <cell r="BU35">
            <v>0</v>
          </cell>
          <cell r="BV35">
            <v>0</v>
          </cell>
          <cell r="BW35">
            <v>6.7199999999999996E-2</v>
          </cell>
          <cell r="BX35">
            <v>0.17180000000000001</v>
          </cell>
          <cell r="BY35">
            <v>0</v>
          </cell>
          <cell r="BZ35">
            <v>0</v>
          </cell>
          <cell r="CA35">
            <v>0</v>
          </cell>
        </row>
        <row r="36">
          <cell r="A36" t="str">
            <v>DOES</v>
          </cell>
          <cell r="B36">
            <v>5005</v>
          </cell>
          <cell r="C36" t="str">
            <v>DEL-E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1E-4</v>
          </cell>
          <cell r="M36">
            <v>1E-4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1E-4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2.9999999999999997E-4</v>
          </cell>
          <cell r="AO36">
            <v>4.0000000000000002E-4</v>
          </cell>
          <cell r="AP36">
            <v>0</v>
          </cell>
          <cell r="AQ36">
            <v>0</v>
          </cell>
          <cell r="AR36">
            <v>5.0000000000000001E-4</v>
          </cell>
          <cell r="AS36">
            <v>0</v>
          </cell>
          <cell r="AT36">
            <v>0</v>
          </cell>
          <cell r="AU36">
            <v>2.7000000000000001E-3</v>
          </cell>
          <cell r="AV36">
            <v>0</v>
          </cell>
          <cell r="AW36">
            <v>0</v>
          </cell>
          <cell r="AX36">
            <v>2.2000000000000001E-3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A37" t="str">
            <v>DOTEPI</v>
          </cell>
          <cell r="B37">
            <v>8535</v>
          </cell>
          <cell r="C37" t="str">
            <v>E&amp;P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4.5385908692461313E-2</v>
          </cell>
          <cell r="L37">
            <v>1.1299999999999999E-2</v>
          </cell>
          <cell r="M37">
            <v>0</v>
          </cell>
          <cell r="N37">
            <v>6.2399999999999997E-2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3.1699999999999999E-2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2.5900365260486453E-2</v>
          </cell>
          <cell r="Y37">
            <v>8.6999999999999994E-3</v>
          </cell>
          <cell r="Z37">
            <v>0</v>
          </cell>
          <cell r="AA37">
            <v>0</v>
          </cell>
          <cell r="AB37">
            <v>0</v>
          </cell>
          <cell r="AC37">
            <v>1.9623655913978494E-2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7.4499999999999997E-2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0.35460000000000003</v>
          </cell>
          <cell r="BG37">
            <v>0</v>
          </cell>
          <cell r="BH37">
            <v>0.1109</v>
          </cell>
          <cell r="BI37">
            <v>0</v>
          </cell>
          <cell r="BJ37">
            <v>0</v>
          </cell>
          <cell r="BK37">
            <v>0.20349999999999999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7.7200000000000005E-2</v>
          </cell>
          <cell r="BT37">
            <v>0</v>
          </cell>
          <cell r="BU37">
            <v>0</v>
          </cell>
          <cell r="BV37">
            <v>0.41739999999999999</v>
          </cell>
          <cell r="BW37">
            <v>9.4399999999999998E-2</v>
          </cell>
          <cell r="BX37">
            <v>0</v>
          </cell>
          <cell r="BY37">
            <v>0</v>
          </cell>
          <cell r="BZ37">
            <v>0</v>
          </cell>
          <cell r="CA37">
            <v>0.30599999999999999</v>
          </cell>
        </row>
        <row r="38">
          <cell r="A38" t="str">
            <v>DPLES</v>
          </cell>
          <cell r="B38">
            <v>8135</v>
          </cell>
          <cell r="C38" t="str">
            <v>ENERGY</v>
          </cell>
          <cell r="D38">
            <v>5.9999999999999995E-4</v>
          </cell>
          <cell r="E38">
            <v>1.1999999999999999E-3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8.9013354428451909E-3</v>
          </cell>
          <cell r="L38">
            <v>2.9999999999999997E-4</v>
          </cell>
          <cell r="M38">
            <v>2.9999999999999997E-4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6.9999999999999999E-4</v>
          </cell>
          <cell r="T38">
            <v>0</v>
          </cell>
          <cell r="U38">
            <v>0</v>
          </cell>
          <cell r="V38">
            <v>1.5E-3</v>
          </cell>
          <cell r="W38">
            <v>2.6100000000000002E-2</v>
          </cell>
          <cell r="X38">
            <v>1.0046202282855351E-3</v>
          </cell>
          <cell r="Y38">
            <v>5.0000000000000001E-4</v>
          </cell>
          <cell r="Z38">
            <v>0</v>
          </cell>
          <cell r="AA38">
            <v>5.1000000000000004E-3</v>
          </cell>
          <cell r="AB38">
            <v>3.336E-3</v>
          </cell>
          <cell r="AC38">
            <v>4.032258064516129E-4</v>
          </cell>
          <cell r="AD38">
            <v>1.4E-3</v>
          </cell>
          <cell r="AE38">
            <v>0</v>
          </cell>
          <cell r="AF38">
            <v>4.1000000000000003E-3</v>
          </cell>
          <cell r="AG38">
            <v>2.5999999999999999E-3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1.8E-3</v>
          </cell>
          <cell r="AO38">
            <v>3.2000000000000002E-3</v>
          </cell>
          <cell r="AP38">
            <v>0</v>
          </cell>
          <cell r="AQ38">
            <v>0</v>
          </cell>
          <cell r="AR38">
            <v>3.5999999999999999E-3</v>
          </cell>
          <cell r="AS38">
            <v>0</v>
          </cell>
          <cell r="AT38">
            <v>1.1599999999999999E-2</v>
          </cell>
          <cell r="AU38">
            <v>0</v>
          </cell>
          <cell r="AV38">
            <v>0.30719999999999997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2.7000000000000001E-3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1.9E-3</v>
          </cell>
          <cell r="BT38">
            <v>4.1999999999999997E-3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</row>
        <row r="39">
          <cell r="A39" t="str">
            <v>DRCT</v>
          </cell>
          <cell r="B39">
            <v>101</v>
          </cell>
          <cell r="C39" t="str">
            <v>OTHER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</row>
        <row r="40">
          <cell r="A40" t="str">
            <v>DRI</v>
          </cell>
          <cell r="B40">
            <v>100</v>
          </cell>
          <cell r="C40" t="str">
            <v>OTHER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1.7091459054035796E-3</v>
          </cell>
          <cell r="L40">
            <v>2.8199999999999999E-2</v>
          </cell>
          <cell r="M40">
            <v>3.3099999999999997E-2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5.9999999999999995E-4</v>
          </cell>
          <cell r="Z40">
            <v>4.8999999999999998E-3</v>
          </cell>
          <cell r="AA40">
            <v>2.5000000000000001E-3</v>
          </cell>
          <cell r="AB40">
            <v>0</v>
          </cell>
          <cell r="AC40">
            <v>0</v>
          </cell>
          <cell r="AD40">
            <v>1E-4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5.4000000000000003E-3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5.5999999999999999E-3</v>
          </cell>
          <cell r="BT40">
            <v>0</v>
          </cell>
          <cell r="BU40">
            <v>0</v>
          </cell>
          <cell r="BV40">
            <v>0</v>
          </cell>
          <cell r="BW40">
            <v>0.16210000000000002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</row>
        <row r="41">
          <cell r="A41" t="str">
            <v>DSTATE</v>
          </cell>
          <cell r="B41">
            <v>8150</v>
          </cell>
          <cell r="C41" t="str">
            <v>ENERGY</v>
          </cell>
          <cell r="D41">
            <v>8.2000000000000007E-3</v>
          </cell>
          <cell r="E41">
            <v>1.7399999999999999E-2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4.6434471416098112E-2</v>
          </cell>
          <cell r="L41">
            <v>2E-3</v>
          </cell>
          <cell r="M41">
            <v>2.3E-3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7.4999999999999997E-3</v>
          </cell>
          <cell r="T41">
            <v>0</v>
          </cell>
          <cell r="U41">
            <v>0</v>
          </cell>
          <cell r="V41">
            <v>1.5299999999999999E-2</v>
          </cell>
          <cell r="W41">
            <v>0.27010000000000001</v>
          </cell>
          <cell r="X41">
            <v>0</v>
          </cell>
          <cell r="Y41">
            <v>2.8E-3</v>
          </cell>
          <cell r="Z41">
            <v>0</v>
          </cell>
          <cell r="AA41">
            <v>1.5E-3</v>
          </cell>
          <cell r="AB41">
            <v>4.6730000000000001E-3</v>
          </cell>
          <cell r="AC41">
            <v>1.4784946236559139E-3</v>
          </cell>
          <cell r="AD41">
            <v>3.3999999999999998E-3</v>
          </cell>
          <cell r="AE41">
            <v>0</v>
          </cell>
          <cell r="AF41">
            <v>9.7999999999999997E-3</v>
          </cell>
          <cell r="AG41">
            <v>6.4000000000000003E-3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1.7750694886455329E-3</v>
          </cell>
          <cell r="AN41">
            <v>9.4999999999999998E-3</v>
          </cell>
          <cell r="AO41">
            <v>1.6899999999999998E-2</v>
          </cell>
          <cell r="AP41">
            <v>0</v>
          </cell>
          <cell r="AQ41">
            <v>0</v>
          </cell>
          <cell r="AR41">
            <v>1.9E-2</v>
          </cell>
          <cell r="AS41">
            <v>0</v>
          </cell>
          <cell r="AT41">
            <v>6.0299999999999999E-2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1.4200000000000001E-2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9.9000000000000008E-3</v>
          </cell>
          <cell r="BT41">
            <v>2.1899999999999999E-2</v>
          </cell>
          <cell r="BU41">
            <v>0</v>
          </cell>
          <cell r="BV41">
            <v>0</v>
          </cell>
          <cell r="BW41">
            <v>6.4999999999999997E-3</v>
          </cell>
          <cell r="BX41">
            <v>1.67E-2</v>
          </cell>
          <cell r="BY41">
            <v>0</v>
          </cell>
          <cell r="BZ41">
            <v>0</v>
          </cell>
          <cell r="CA41">
            <v>0</v>
          </cell>
        </row>
        <row r="42">
          <cell r="A42" t="str">
            <v>DTECH</v>
          </cell>
          <cell r="B42">
            <v>5008</v>
          </cell>
          <cell r="C42" t="str">
            <v>ENERGY</v>
          </cell>
          <cell r="D42">
            <v>7.0000000000000001E-3</v>
          </cell>
          <cell r="E42">
            <v>1.49E-2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5.1864406112693984E-4</v>
          </cell>
          <cell r="L42">
            <v>1.1000000000000001E-3</v>
          </cell>
          <cell r="M42">
            <v>1.2999999999999999E-3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6.4000000000000003E-3</v>
          </cell>
          <cell r="T42">
            <v>0</v>
          </cell>
          <cell r="U42">
            <v>0</v>
          </cell>
          <cell r="V42">
            <v>1.32E-2</v>
          </cell>
          <cell r="W42">
            <v>0</v>
          </cell>
          <cell r="X42">
            <v>7.1222889944300659E-4</v>
          </cell>
          <cell r="Y42">
            <v>1.5E-3</v>
          </cell>
          <cell r="Z42">
            <v>0</v>
          </cell>
          <cell r="AA42">
            <v>5.9999999999999995E-4</v>
          </cell>
          <cell r="AB42">
            <v>5.3200000000000001E-3</v>
          </cell>
          <cell r="AC42">
            <v>2.5537634408602152E-3</v>
          </cell>
          <cell r="AD42">
            <v>2.0000000000000001E-4</v>
          </cell>
          <cell r="AE42">
            <v>0</v>
          </cell>
          <cell r="AF42">
            <v>0</v>
          </cell>
          <cell r="AG42">
            <v>0</v>
          </cell>
          <cell r="AH42">
            <v>1.1000000000000001E-3</v>
          </cell>
          <cell r="AI42">
            <v>1.6999999999999999E-3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5.1000000000000004E-3</v>
          </cell>
          <cell r="AO42">
            <v>9.1000000000000004E-3</v>
          </cell>
          <cell r="AP42">
            <v>0</v>
          </cell>
          <cell r="AQ42">
            <v>0</v>
          </cell>
          <cell r="AR42">
            <v>1.0200000000000001E-2</v>
          </cell>
          <cell r="AS42">
            <v>0</v>
          </cell>
          <cell r="AT42">
            <v>0</v>
          </cell>
          <cell r="AU42">
            <v>5.4199999999999998E-2</v>
          </cell>
          <cell r="AV42">
            <v>0</v>
          </cell>
          <cell r="AW42">
            <v>0</v>
          </cell>
          <cell r="AX42">
            <v>4.4499999999999998E-2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5.3E-3</v>
          </cell>
          <cell r="BT42">
            <v>1.17E-2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</row>
        <row r="43">
          <cell r="A43" t="str">
            <v>DTHERM</v>
          </cell>
          <cell r="B43">
            <v>8137</v>
          </cell>
          <cell r="C43" t="str">
            <v>ENERGY</v>
          </cell>
          <cell r="D43">
            <v>3.0999999999999999E-3</v>
          </cell>
          <cell r="E43">
            <v>6.7000000000000002E-3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1.4944959572485729E-3</v>
          </cell>
          <cell r="L43">
            <v>2.9999999999999997E-4</v>
          </cell>
          <cell r="M43">
            <v>2.9999999999999997E-4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2.8E-3</v>
          </cell>
          <cell r="T43">
            <v>0</v>
          </cell>
          <cell r="U43">
            <v>0</v>
          </cell>
          <cell r="V43">
            <v>5.7999999999999996E-3</v>
          </cell>
          <cell r="W43">
            <v>0</v>
          </cell>
          <cell r="X43">
            <v>9.4183146401768925E-4</v>
          </cell>
          <cell r="Y43">
            <v>1.1000000000000001E-3</v>
          </cell>
          <cell r="Z43">
            <v>0</v>
          </cell>
          <cell r="AA43">
            <v>8.0000000000000004E-4</v>
          </cell>
          <cell r="AB43">
            <v>1.8109999999999999E-3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1.6076102607228169E-2</v>
          </cell>
          <cell r="AN43">
            <v>3.7000000000000002E-3</v>
          </cell>
          <cell r="AO43">
            <v>0</v>
          </cell>
          <cell r="AP43">
            <v>0</v>
          </cell>
          <cell r="AQ43">
            <v>0</v>
          </cell>
          <cell r="AR43">
            <v>7.4000000000000003E-3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3.8999999999999998E-3</v>
          </cell>
          <cell r="BT43">
            <v>8.6E-3</v>
          </cell>
          <cell r="BU43">
            <v>0</v>
          </cell>
          <cell r="BV43">
            <v>0</v>
          </cell>
          <cell r="BW43">
            <v>5.9999999999999995E-4</v>
          </cell>
          <cell r="BX43">
            <v>1.5E-3</v>
          </cell>
          <cell r="BY43">
            <v>0</v>
          </cell>
          <cell r="BZ43">
            <v>0</v>
          </cell>
          <cell r="CA43">
            <v>0</v>
          </cell>
        </row>
        <row r="44">
          <cell r="A44" t="str">
            <v>DTROY</v>
          </cell>
          <cell r="B44">
            <v>8136</v>
          </cell>
          <cell r="C44" t="str">
            <v>ENERGY</v>
          </cell>
          <cell r="D44">
            <v>6.9999999999999999E-4</v>
          </cell>
          <cell r="E44">
            <v>1.4E-3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1.0137071515449391E-2</v>
          </cell>
          <cell r="L44">
            <v>2.0000000000000001E-4</v>
          </cell>
          <cell r="M44">
            <v>2.9999999999999997E-4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5.9999999999999995E-4</v>
          </cell>
          <cell r="T44">
            <v>0</v>
          </cell>
          <cell r="U44">
            <v>0</v>
          </cell>
          <cell r="V44">
            <v>1.1999999999999999E-3</v>
          </cell>
          <cell r="W44">
            <v>2.1299999999999999E-2</v>
          </cell>
          <cell r="X44">
            <v>1.0046202282855351E-3</v>
          </cell>
          <cell r="Y44">
            <v>5.9999999999999995E-4</v>
          </cell>
          <cell r="Z44">
            <v>0</v>
          </cell>
          <cell r="AA44">
            <v>2.5000000000000001E-3</v>
          </cell>
          <cell r="AB44">
            <v>2.2799999999999999E-3</v>
          </cell>
          <cell r="AC44">
            <v>1.3440860215053763E-4</v>
          </cell>
          <cell r="AD44">
            <v>3.8E-3</v>
          </cell>
          <cell r="AE44">
            <v>0</v>
          </cell>
          <cell r="AF44">
            <v>1.09E-2</v>
          </cell>
          <cell r="AG44">
            <v>7.1000000000000004E-3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2.0999999999999999E-3</v>
          </cell>
          <cell r="AO44">
            <v>3.7000000000000002E-3</v>
          </cell>
          <cell r="AP44">
            <v>0</v>
          </cell>
          <cell r="AQ44">
            <v>0</v>
          </cell>
          <cell r="AR44">
            <v>4.1999999999999997E-3</v>
          </cell>
          <cell r="AS44">
            <v>0</v>
          </cell>
          <cell r="AT44">
            <v>1.32E-2</v>
          </cell>
          <cell r="AU44">
            <v>0</v>
          </cell>
          <cell r="AV44">
            <v>0.3498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3.0999999999999999E-3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2.2000000000000001E-3</v>
          </cell>
          <cell r="BT44">
            <v>4.7999999999999996E-3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</row>
        <row r="45">
          <cell r="A45" t="str">
            <v>DTSI</v>
          </cell>
          <cell r="B45">
            <v>5002</v>
          </cell>
          <cell r="C45" t="str">
            <v>DEL-O</v>
          </cell>
          <cell r="D45">
            <v>7.1000000000000004E-3</v>
          </cell>
          <cell r="E45">
            <v>0</v>
          </cell>
          <cell r="F45">
            <v>0</v>
          </cell>
          <cell r="G45">
            <v>1.5599999999999999E-2</v>
          </cell>
          <cell r="H45">
            <v>0</v>
          </cell>
          <cell r="I45">
            <v>0</v>
          </cell>
          <cell r="J45">
            <v>0</v>
          </cell>
          <cell r="K45">
            <v>8.1098579140969351E-3</v>
          </cell>
          <cell r="L45">
            <v>2.5999999999999999E-3</v>
          </cell>
          <cell r="M45">
            <v>3.0000000000000001E-3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6.7000000000000002E-3</v>
          </cell>
          <cell r="T45">
            <v>0</v>
          </cell>
          <cell r="U45">
            <v>1.61E-2</v>
          </cell>
          <cell r="V45">
            <v>0</v>
          </cell>
          <cell r="W45">
            <v>0</v>
          </cell>
          <cell r="X45">
            <v>1.722627764000445E-2</v>
          </cell>
          <cell r="Y45">
            <v>3.8E-3</v>
          </cell>
          <cell r="Z45">
            <v>0</v>
          </cell>
          <cell r="AA45">
            <v>3.2800000000000003E-2</v>
          </cell>
          <cell r="AB45">
            <v>2.1981000000000001E-2</v>
          </cell>
          <cell r="AC45">
            <v>1.3440860215053763E-4</v>
          </cell>
          <cell r="AD45">
            <v>9.6000000000000002E-2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0.2036381939897976</v>
          </cell>
          <cell r="AN45">
            <v>1.29E-2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4.6800000000000001E-2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1.34E-2</v>
          </cell>
          <cell r="BT45">
            <v>0</v>
          </cell>
          <cell r="BU45">
            <v>0</v>
          </cell>
          <cell r="BV45">
            <v>0</v>
          </cell>
          <cell r="BW45">
            <v>2.5999999999999999E-3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</row>
        <row r="46">
          <cell r="A46" t="str">
            <v>EOG</v>
          </cell>
          <cell r="B46">
            <v>1001</v>
          </cell>
          <cell r="C46" t="str">
            <v>DEL-G</v>
          </cell>
          <cell r="D46">
            <v>0.1053</v>
          </cell>
          <cell r="E46">
            <v>0</v>
          </cell>
          <cell r="F46">
            <v>0</v>
          </cell>
          <cell r="G46">
            <v>0.23200000000000001</v>
          </cell>
          <cell r="H46">
            <v>0</v>
          </cell>
          <cell r="I46">
            <v>0.62322</v>
          </cell>
          <cell r="J46">
            <v>0</v>
          </cell>
          <cell r="K46">
            <v>3.1727240441667685E-2</v>
          </cell>
          <cell r="L46">
            <v>9.1300000000000006E-2</v>
          </cell>
          <cell r="M46">
            <v>0.1069</v>
          </cell>
          <cell r="N46">
            <v>0</v>
          </cell>
          <cell r="O46">
            <v>0</v>
          </cell>
          <cell r="P46">
            <v>0.37859999999999999</v>
          </cell>
          <cell r="Q46">
            <v>0.31448666510051382</v>
          </cell>
          <cell r="R46">
            <v>0.18659999999999999</v>
          </cell>
          <cell r="S46">
            <v>9.5500000000000002E-2</v>
          </cell>
          <cell r="T46">
            <v>0</v>
          </cell>
          <cell r="U46">
            <v>0.2303</v>
          </cell>
          <cell r="V46">
            <v>0</v>
          </cell>
          <cell r="W46">
            <v>0</v>
          </cell>
          <cell r="X46">
            <v>0.11508816976397769</v>
          </cell>
          <cell r="Y46">
            <v>0.20930000000000001</v>
          </cell>
          <cell r="Z46">
            <v>0.3024</v>
          </cell>
          <cell r="AA46">
            <v>0.14230000000000001</v>
          </cell>
          <cell r="AB46">
            <v>0.19928199999999999</v>
          </cell>
          <cell r="AC46">
            <v>0.15631720430107526</v>
          </cell>
          <cell r="AD46">
            <v>3.5999999999999997E-2</v>
          </cell>
          <cell r="AE46">
            <v>0</v>
          </cell>
          <cell r="AF46">
            <v>0</v>
          </cell>
          <cell r="AG46">
            <v>0</v>
          </cell>
          <cell r="AH46">
            <v>0.22719999999999999</v>
          </cell>
          <cell r="AI46">
            <v>0</v>
          </cell>
          <cell r="AJ46">
            <v>0.61219999999999997</v>
          </cell>
          <cell r="AK46">
            <v>0.26288182659672943</v>
          </cell>
          <cell r="AL46">
            <v>0.29306749396809778</v>
          </cell>
          <cell r="AM46">
            <v>0</v>
          </cell>
          <cell r="AN46">
            <v>0.08</v>
          </cell>
          <cell r="AO46">
            <v>0</v>
          </cell>
          <cell r="AP46">
            <v>0.45190000000000002</v>
          </cell>
          <cell r="AQ46">
            <v>0.13619999999999999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0.2903</v>
          </cell>
          <cell r="BB46">
            <v>0</v>
          </cell>
          <cell r="BC46">
            <v>0.70009999999999994</v>
          </cell>
          <cell r="BD46">
            <v>0.58640000000000003</v>
          </cell>
          <cell r="BE46">
            <v>0.30449999999999999</v>
          </cell>
          <cell r="BF46">
            <v>0</v>
          </cell>
          <cell r="BG46">
            <v>0</v>
          </cell>
          <cell r="BH46">
            <v>0.1191</v>
          </cell>
          <cell r="BI46">
            <v>0</v>
          </cell>
          <cell r="BJ46">
            <v>0</v>
          </cell>
          <cell r="BK46">
            <v>0.21859999999999999</v>
          </cell>
          <cell r="BL46">
            <v>0.33069999999999999</v>
          </cell>
          <cell r="BM46">
            <v>0.33119999999999999</v>
          </cell>
          <cell r="BN46">
            <v>0</v>
          </cell>
          <cell r="BO46">
            <v>0.46549999999999997</v>
          </cell>
          <cell r="BP46">
            <v>0.76970000000000005</v>
          </cell>
          <cell r="BQ46">
            <v>0</v>
          </cell>
          <cell r="BR46">
            <v>0</v>
          </cell>
          <cell r="BS46">
            <v>8.2900000000000001E-2</v>
          </cell>
          <cell r="BT46">
            <v>0</v>
          </cell>
          <cell r="BU46">
            <v>0.24579999999999999</v>
          </cell>
          <cell r="BV46">
            <v>0</v>
          </cell>
          <cell r="BW46">
            <v>4.1599999999999998E-2</v>
          </cell>
          <cell r="BX46">
            <v>0</v>
          </cell>
          <cell r="BY46">
            <v>0.58889999999999998</v>
          </cell>
          <cell r="BZ46">
            <v>0</v>
          </cell>
          <cell r="CA46">
            <v>0.1348</v>
          </cell>
        </row>
        <row r="47">
          <cell r="A47" t="str">
            <v>HOPE</v>
          </cell>
          <cell r="B47">
            <v>1003</v>
          </cell>
          <cell r="C47" t="str">
            <v>DEL-G</v>
          </cell>
          <cell r="D47">
            <v>0.02</v>
          </cell>
          <cell r="E47">
            <v>0</v>
          </cell>
          <cell r="F47">
            <v>0</v>
          </cell>
          <cell r="G47">
            <v>4.3999999999999997E-2</v>
          </cell>
          <cell r="H47">
            <v>0</v>
          </cell>
          <cell r="I47">
            <v>0.11826</v>
          </cell>
          <cell r="J47">
            <v>0</v>
          </cell>
          <cell r="K47">
            <v>9.774431869742424E-3</v>
          </cell>
          <cell r="L47">
            <v>9.7000000000000003E-3</v>
          </cell>
          <cell r="M47">
            <v>1.14E-2</v>
          </cell>
          <cell r="N47">
            <v>0</v>
          </cell>
          <cell r="O47">
            <v>0</v>
          </cell>
          <cell r="P47">
            <v>4.0399999999999998E-2</v>
          </cell>
          <cell r="Q47">
            <v>3.0106929814652759E-2</v>
          </cell>
          <cell r="R47">
            <v>1.77E-2</v>
          </cell>
          <cell r="S47">
            <v>1.8200000000000001E-2</v>
          </cell>
          <cell r="T47">
            <v>0</v>
          </cell>
          <cell r="U47">
            <v>4.3999999999999997E-2</v>
          </cell>
          <cell r="V47">
            <v>0</v>
          </cell>
          <cell r="W47">
            <v>0</v>
          </cell>
          <cell r="X47">
            <v>1.4613570869527869E-2</v>
          </cell>
          <cell r="Y47">
            <v>1.8100000000000002E-2</v>
          </cell>
          <cell r="Z47">
            <v>3.2599999999999997E-2</v>
          </cell>
          <cell r="AA47">
            <v>1.2E-2</v>
          </cell>
          <cell r="AB47">
            <v>1.4603E-2</v>
          </cell>
          <cell r="AC47">
            <v>4.1397849462365591E-2</v>
          </cell>
          <cell r="AD47">
            <v>4.1999999999999997E-3</v>
          </cell>
          <cell r="AE47">
            <v>0</v>
          </cell>
          <cell r="AF47">
            <v>0</v>
          </cell>
          <cell r="AG47">
            <v>0</v>
          </cell>
          <cell r="AH47">
            <v>2.6599999999999999E-2</v>
          </cell>
          <cell r="AI47">
            <v>0</v>
          </cell>
          <cell r="AJ47">
            <v>0.10829999999999999</v>
          </cell>
          <cell r="AK47">
            <v>6.1709348966368406E-3</v>
          </cell>
          <cell r="AL47">
            <v>4.1362076336615178E-2</v>
          </cell>
          <cell r="AM47">
            <v>0</v>
          </cell>
          <cell r="AN47">
            <v>1.03E-2</v>
          </cell>
          <cell r="AO47">
            <v>0</v>
          </cell>
          <cell r="AP47">
            <v>5.8400000000000001E-2</v>
          </cell>
          <cell r="AQ47">
            <v>1.7600000000000001E-2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3.7499999999999999E-2</v>
          </cell>
          <cell r="BB47">
            <v>0</v>
          </cell>
          <cell r="BC47">
            <v>9.0499999999999997E-2</v>
          </cell>
          <cell r="BD47">
            <v>7.5800000000000006E-2</v>
          </cell>
          <cell r="BE47">
            <v>3.9399999999999998E-2</v>
          </cell>
          <cell r="BF47">
            <v>0</v>
          </cell>
          <cell r="BG47">
            <v>0</v>
          </cell>
          <cell r="BH47">
            <v>1.54E-2</v>
          </cell>
          <cell r="BI47">
            <v>0</v>
          </cell>
          <cell r="BJ47">
            <v>0</v>
          </cell>
          <cell r="BK47">
            <v>2.8199999999999999E-2</v>
          </cell>
          <cell r="BL47">
            <v>0</v>
          </cell>
          <cell r="BM47">
            <v>0</v>
          </cell>
          <cell r="BN47">
            <v>0.15210000000000001</v>
          </cell>
          <cell r="BO47">
            <v>6.0100000000000001E-2</v>
          </cell>
          <cell r="BP47">
            <v>0</v>
          </cell>
          <cell r="BQ47">
            <v>0</v>
          </cell>
          <cell r="BR47">
            <v>0</v>
          </cell>
          <cell r="BS47">
            <v>1.0699999999999999E-2</v>
          </cell>
          <cell r="BT47">
            <v>0</v>
          </cell>
          <cell r="BU47">
            <v>3.1800000000000002E-2</v>
          </cell>
          <cell r="BV47">
            <v>0</v>
          </cell>
          <cell r="BW47">
            <v>6.0000000000000001E-3</v>
          </cell>
          <cell r="BX47">
            <v>0</v>
          </cell>
          <cell r="BY47">
            <v>8.5199999999999998E-2</v>
          </cell>
          <cell r="BZ47">
            <v>0</v>
          </cell>
          <cell r="CA47">
            <v>1.95E-2</v>
          </cell>
        </row>
        <row r="48">
          <cell r="A48" t="str">
            <v>PNG</v>
          </cell>
          <cell r="B48">
            <v>1002</v>
          </cell>
          <cell r="C48" t="str">
            <v>DEL-G</v>
          </cell>
          <cell r="D48">
            <v>4.3700000000000003E-2</v>
          </cell>
          <cell r="E48">
            <v>0</v>
          </cell>
          <cell r="F48">
            <v>0</v>
          </cell>
          <cell r="G48">
            <v>9.6199999999999994E-2</v>
          </cell>
          <cell r="H48">
            <v>0</v>
          </cell>
          <cell r="I48">
            <v>0.25852000000000003</v>
          </cell>
          <cell r="J48">
            <v>0</v>
          </cell>
          <cell r="K48">
            <v>1.6744397134451704E-2</v>
          </cell>
          <cell r="L48">
            <v>3.2899999999999999E-2</v>
          </cell>
          <cell r="M48">
            <v>3.8600000000000002E-2</v>
          </cell>
          <cell r="N48">
            <v>0</v>
          </cell>
          <cell r="O48">
            <v>0</v>
          </cell>
          <cell r="P48">
            <v>0.13639999999999999</v>
          </cell>
          <cell r="Q48">
            <v>9.158854986168366E-2</v>
          </cell>
          <cell r="R48">
            <v>5.4199999999999998E-2</v>
          </cell>
          <cell r="S48">
            <v>4.1599999999999998E-2</v>
          </cell>
          <cell r="T48">
            <v>0</v>
          </cell>
          <cell r="U48">
            <v>0.1003</v>
          </cell>
          <cell r="V48">
            <v>0</v>
          </cell>
          <cell r="W48">
            <v>0</v>
          </cell>
          <cell r="X48">
            <v>3.94779698843278E-2</v>
          </cell>
          <cell r="Y48">
            <v>5.45E-2</v>
          </cell>
          <cell r="Z48">
            <v>0.1004</v>
          </cell>
          <cell r="AA48">
            <v>8.9800000000000005E-2</v>
          </cell>
          <cell r="AB48">
            <v>7.9502000000000003E-2</v>
          </cell>
          <cell r="AC48">
            <v>8.5349462365591391E-2</v>
          </cell>
          <cell r="AD48">
            <v>1.9800000000000002E-2</v>
          </cell>
          <cell r="AE48">
            <v>0</v>
          </cell>
          <cell r="AF48">
            <v>0</v>
          </cell>
          <cell r="AG48">
            <v>0</v>
          </cell>
          <cell r="AH48">
            <v>0.12509999999999999</v>
          </cell>
          <cell r="AI48">
            <v>0</v>
          </cell>
          <cell r="AJ48">
            <v>0.27950000000000003</v>
          </cell>
          <cell r="AK48">
            <v>0.16877506942301759</v>
          </cell>
          <cell r="AL48">
            <v>0.11909949766188586</v>
          </cell>
          <cell r="AM48">
            <v>0</v>
          </cell>
          <cell r="AN48">
            <v>2.3900000000000001E-2</v>
          </cell>
          <cell r="AO48">
            <v>0</v>
          </cell>
          <cell r="AP48">
            <v>0.13519999999999999</v>
          </cell>
          <cell r="AQ48">
            <v>4.07E-2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8.6800000000000002E-2</v>
          </cell>
          <cell r="BB48">
            <v>0</v>
          </cell>
          <cell r="BC48">
            <v>0.2094</v>
          </cell>
          <cell r="BD48">
            <v>0.1754</v>
          </cell>
          <cell r="BE48">
            <v>9.11E-2</v>
          </cell>
          <cell r="BF48">
            <v>0</v>
          </cell>
          <cell r="BG48">
            <v>0</v>
          </cell>
          <cell r="BH48">
            <v>3.56E-2</v>
          </cell>
          <cell r="BI48">
            <v>0</v>
          </cell>
          <cell r="BJ48">
            <v>0</v>
          </cell>
          <cell r="BK48">
            <v>6.54E-2</v>
          </cell>
          <cell r="BL48">
            <v>0</v>
          </cell>
          <cell r="BM48">
            <v>0</v>
          </cell>
          <cell r="BN48">
            <v>0</v>
          </cell>
          <cell r="BO48">
            <v>0.13919999999999999</v>
          </cell>
          <cell r="BP48">
            <v>0.2303</v>
          </cell>
          <cell r="BQ48">
            <v>0</v>
          </cell>
          <cell r="BR48">
            <v>0</v>
          </cell>
          <cell r="BS48">
            <v>2.4799999999999999E-2</v>
          </cell>
          <cell r="BT48">
            <v>0</v>
          </cell>
          <cell r="BU48">
            <v>7.3499999999999996E-2</v>
          </cell>
          <cell r="BV48">
            <v>0</v>
          </cell>
          <cell r="BW48">
            <v>2.3E-2</v>
          </cell>
          <cell r="BX48">
            <v>0</v>
          </cell>
          <cell r="BY48">
            <v>0.32590000000000002</v>
          </cell>
          <cell r="BZ48">
            <v>0</v>
          </cell>
          <cell r="CA48">
            <v>7.46E-2</v>
          </cell>
        </row>
        <row r="49">
          <cell r="A49" t="str">
            <v>TIOGA</v>
          </cell>
          <cell r="B49">
            <v>8151</v>
          </cell>
          <cell r="C49" t="str">
            <v>ENERGY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1E-4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2.0000000000000001E-4</v>
          </cell>
          <cell r="AO49">
            <v>2.9999999999999997E-4</v>
          </cell>
          <cell r="AP49">
            <v>0</v>
          </cell>
          <cell r="AQ49">
            <v>2.9999999999999997E-4</v>
          </cell>
          <cell r="AR49">
            <v>2.9999999999999997E-4</v>
          </cell>
          <cell r="AS49">
            <v>0</v>
          </cell>
          <cell r="AT49">
            <v>0</v>
          </cell>
          <cell r="AU49">
            <v>1.8E-3</v>
          </cell>
          <cell r="AV49">
            <v>0</v>
          </cell>
          <cell r="AW49">
            <v>0</v>
          </cell>
          <cell r="AX49">
            <v>1.5E-3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5.0000000000000001E-4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4.0000000000000002E-4</v>
          </cell>
          <cell r="BU49">
            <v>0</v>
          </cell>
          <cell r="BV49">
            <v>0</v>
          </cell>
          <cell r="BW49">
            <v>1E-4</v>
          </cell>
          <cell r="BX49">
            <v>2.9999999999999997E-4</v>
          </cell>
          <cell r="BY49">
            <v>0</v>
          </cell>
          <cell r="BZ49">
            <v>0</v>
          </cell>
          <cell r="CA49">
            <v>2.9999999999999997E-4</v>
          </cell>
        </row>
        <row r="50">
          <cell r="A50" t="str">
            <v>TWPG</v>
          </cell>
          <cell r="B50">
            <v>4100</v>
          </cell>
          <cell r="C50" t="str">
            <v>ENERGY</v>
          </cell>
          <cell r="D50">
            <v>2.8999999999999998E-3</v>
          </cell>
          <cell r="E50">
            <v>6.1999999999999998E-3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5.4999999999999997E-3</v>
          </cell>
          <cell r="K50">
            <v>1.636811801486192E-3</v>
          </cell>
          <cell r="L50">
            <v>8.3999999999999995E-3</v>
          </cell>
          <cell r="M50">
            <v>9.7999999999999997E-3</v>
          </cell>
          <cell r="N50">
            <v>0</v>
          </cell>
          <cell r="O50">
            <v>1.8700000000000001E-2</v>
          </cell>
          <cell r="P50">
            <v>0</v>
          </cell>
          <cell r="Q50">
            <v>0</v>
          </cell>
          <cell r="R50">
            <v>0</v>
          </cell>
          <cell r="S50">
            <v>3.5000000000000001E-3</v>
          </cell>
          <cell r="T50">
            <v>0</v>
          </cell>
          <cell r="U50">
            <v>0</v>
          </cell>
          <cell r="V50">
            <v>7.1000000000000004E-3</v>
          </cell>
          <cell r="W50">
            <v>0</v>
          </cell>
          <cell r="X50">
            <v>1.1068759122251068E-2</v>
          </cell>
          <cell r="Y50">
            <v>1.46E-2</v>
          </cell>
          <cell r="Z50">
            <v>0</v>
          </cell>
          <cell r="AA50">
            <v>8.6E-3</v>
          </cell>
          <cell r="AB50">
            <v>6.6930000000000002E-3</v>
          </cell>
          <cell r="AC50">
            <v>0</v>
          </cell>
          <cell r="AD50">
            <v>3.2000000000000002E-3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2.8475128136047755E-3</v>
          </cell>
          <cell r="AN50">
            <v>2.8E-3</v>
          </cell>
          <cell r="AO50">
            <v>4.8999999999999998E-3</v>
          </cell>
          <cell r="AP50">
            <v>0</v>
          </cell>
          <cell r="AQ50">
            <v>4.7000000000000002E-3</v>
          </cell>
          <cell r="AR50">
            <v>5.4999999999999997E-3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0.245</v>
          </cell>
          <cell r="AX50">
            <v>2.4199999999999999E-2</v>
          </cell>
          <cell r="AY50">
            <v>0</v>
          </cell>
          <cell r="AZ50">
            <v>1.04E-2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4.1000000000000003E-3</v>
          </cell>
          <cell r="BI50">
            <v>6.7000000000000002E-3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2.93E-2</v>
          </cell>
          <cell r="BS50">
            <v>2.8999999999999998E-3</v>
          </cell>
          <cell r="BT50">
            <v>6.4000000000000003E-3</v>
          </cell>
          <cell r="BU50">
            <v>0</v>
          </cell>
          <cell r="BV50">
            <v>0</v>
          </cell>
          <cell r="BW50">
            <v>8.0999999999999996E-3</v>
          </cell>
          <cell r="BX50">
            <v>2.07E-2</v>
          </cell>
          <cell r="BY50">
            <v>0</v>
          </cell>
          <cell r="BZ50">
            <v>0</v>
          </cell>
          <cell r="CA50">
            <v>0</v>
          </cell>
        </row>
        <row r="51">
          <cell r="A51" t="str">
            <v>VPCT</v>
          </cell>
          <cell r="B51">
            <v>2000</v>
          </cell>
          <cell r="C51" t="str">
            <v>OTHER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</row>
        <row r="52">
          <cell r="A52" t="str">
            <v>VPCUST</v>
          </cell>
          <cell r="B52">
            <v>1000</v>
          </cell>
          <cell r="C52" t="str">
            <v>DEL-E</v>
          </cell>
          <cell r="D52">
            <v>3.4000000000000002E-2</v>
          </cell>
          <cell r="E52">
            <v>0</v>
          </cell>
          <cell r="F52">
            <v>0</v>
          </cell>
          <cell r="G52">
            <v>7.4800000000000005E-2</v>
          </cell>
          <cell r="H52">
            <v>0.12221</v>
          </cell>
          <cell r="I52">
            <v>0</v>
          </cell>
          <cell r="J52">
            <v>6.4100000000000004E-2</v>
          </cell>
          <cell r="K52">
            <v>6.7275647907027595E-3</v>
          </cell>
          <cell r="L52">
            <v>2.3599999999999999E-2</v>
          </cell>
          <cell r="M52">
            <v>2.76E-2</v>
          </cell>
          <cell r="N52">
            <v>0</v>
          </cell>
          <cell r="O52">
            <v>5.2600000000000001E-2</v>
          </cell>
          <cell r="P52">
            <v>0</v>
          </cell>
          <cell r="Q52">
            <v>0.56381785522314976</v>
          </cell>
          <cell r="R52">
            <v>0.49429999999999996</v>
          </cell>
          <cell r="S52">
            <v>3.1600000000000003E-2</v>
          </cell>
          <cell r="T52">
            <v>0</v>
          </cell>
          <cell r="U52">
            <v>7.6200000000000004E-2</v>
          </cell>
          <cell r="V52">
            <v>0</v>
          </cell>
          <cell r="W52">
            <v>0</v>
          </cell>
          <cell r="X52">
            <v>2.8717666791147189E-2</v>
          </cell>
          <cell r="Y52">
            <v>7.0099999999999996E-2</v>
          </cell>
          <cell r="Z52">
            <v>0.55969999999999998</v>
          </cell>
          <cell r="AA52">
            <v>2.3699999999999999E-2</v>
          </cell>
          <cell r="AB52">
            <v>2.4818753858967264E-2</v>
          </cell>
          <cell r="AC52">
            <v>1.6129032258064516E-3</v>
          </cell>
          <cell r="AD52">
            <v>8.8999999999999999E-3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2.3311787898278183E-3</v>
          </cell>
          <cell r="AN52">
            <v>2.2100000000000002E-2</v>
          </cell>
          <cell r="AO52">
            <v>3.9300000000000002E-2</v>
          </cell>
          <cell r="AP52">
            <v>0</v>
          </cell>
          <cell r="AQ52">
            <v>3.7699999999999997E-2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8.0399999999999999E-2</v>
          </cell>
          <cell r="BB52">
            <v>0.1492</v>
          </cell>
          <cell r="BC52">
            <v>0</v>
          </cell>
          <cell r="BD52">
            <v>0.16239999999999999</v>
          </cell>
          <cell r="BE52">
            <v>8.43E-2</v>
          </cell>
          <cell r="BF52">
            <v>0</v>
          </cell>
          <cell r="BG52">
            <v>0</v>
          </cell>
          <cell r="BH52">
            <v>0</v>
          </cell>
          <cell r="BI52">
            <v>5.33E-2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2.3E-2</v>
          </cell>
          <cell r="BT52">
            <v>0</v>
          </cell>
          <cell r="BU52">
            <v>6.8099999999999994E-2</v>
          </cell>
          <cell r="BV52">
            <v>0</v>
          </cell>
          <cell r="BW52">
            <v>1.83E-2</v>
          </cell>
          <cell r="BX52">
            <v>0</v>
          </cell>
          <cell r="BY52">
            <v>0</v>
          </cell>
          <cell r="BZ52">
            <v>2.2800000000000001E-2</v>
          </cell>
          <cell r="CA52">
            <v>0</v>
          </cell>
        </row>
        <row r="53">
          <cell r="A53" t="str">
            <v>VPD</v>
          </cell>
          <cell r="B53">
            <v>1000</v>
          </cell>
          <cell r="C53" t="str">
            <v>DEL-E</v>
          </cell>
          <cell r="D53">
            <v>0.1968</v>
          </cell>
          <cell r="E53">
            <v>0</v>
          </cell>
          <cell r="F53">
            <v>0</v>
          </cell>
          <cell r="G53">
            <v>0.43319999999999997</v>
          </cell>
          <cell r="H53">
            <v>0.70759000000000005</v>
          </cell>
          <cell r="I53">
            <v>0</v>
          </cell>
          <cell r="J53">
            <v>0.37119999999999997</v>
          </cell>
          <cell r="K53">
            <v>5.5307245658079186E-2</v>
          </cell>
          <cell r="L53">
            <v>0.1208</v>
          </cell>
          <cell r="M53">
            <v>0.1414</v>
          </cell>
          <cell r="N53">
            <v>0</v>
          </cell>
          <cell r="O53">
            <v>0.26900000000000002</v>
          </cell>
          <cell r="P53">
            <v>0</v>
          </cell>
          <cell r="Q53">
            <v>0</v>
          </cell>
          <cell r="R53">
            <v>7.7799999999999994E-2</v>
          </cell>
          <cell r="S53">
            <v>0.17760000000000001</v>
          </cell>
          <cell r="T53">
            <v>0</v>
          </cell>
          <cell r="U53">
            <v>0.42930000000000001</v>
          </cell>
          <cell r="V53">
            <v>0</v>
          </cell>
          <cell r="W53">
            <v>0</v>
          </cell>
          <cell r="X53">
            <v>0.27615911264966381</v>
          </cell>
          <cell r="Y53">
            <v>0.35900000000000004</v>
          </cell>
          <cell r="Z53">
            <v>0</v>
          </cell>
          <cell r="AA53">
            <v>0.1212</v>
          </cell>
          <cell r="AB53">
            <v>0.12697514315507874</v>
          </cell>
          <cell r="AC53">
            <v>0.35416666666666669</v>
          </cell>
          <cell r="AD53">
            <v>7.0999999999999994E-2</v>
          </cell>
          <cell r="AE53">
            <v>0</v>
          </cell>
          <cell r="AF53">
            <v>0</v>
          </cell>
          <cell r="AG53">
            <v>0</v>
          </cell>
          <cell r="AH53">
            <v>0.44790000000000002</v>
          </cell>
          <cell r="AI53">
            <v>0.72119999999999995</v>
          </cell>
          <cell r="AJ53">
            <v>0</v>
          </cell>
          <cell r="AK53">
            <v>0</v>
          </cell>
          <cell r="AL53">
            <v>0</v>
          </cell>
          <cell r="AM53">
            <v>0.30765780366193074</v>
          </cell>
          <cell r="AN53">
            <v>0.1133</v>
          </cell>
          <cell r="AO53">
            <v>0.20080000000000001</v>
          </cell>
          <cell r="AP53">
            <v>0</v>
          </cell>
          <cell r="AQ53">
            <v>0.19289999999999999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0.41120000000000001</v>
          </cell>
          <cell r="BB53">
            <v>0.76359999999999995</v>
          </cell>
          <cell r="BC53">
            <v>0</v>
          </cell>
          <cell r="BD53">
            <v>0</v>
          </cell>
          <cell r="BE53">
            <v>0.43140000000000001</v>
          </cell>
          <cell r="BF53">
            <v>0</v>
          </cell>
          <cell r="BG53">
            <v>0</v>
          </cell>
          <cell r="BH53">
            <v>0</v>
          </cell>
          <cell r="BI53">
            <v>0.27279999999999999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0.81259999999999999</v>
          </cell>
          <cell r="BR53">
            <v>0</v>
          </cell>
          <cell r="BS53">
            <v>0.11749999999999999</v>
          </cell>
          <cell r="BT53">
            <v>0</v>
          </cell>
          <cell r="BU53">
            <v>0.34820000000000001</v>
          </cell>
          <cell r="BV53">
            <v>0</v>
          </cell>
          <cell r="BW53">
            <v>9.3399999999999997E-2</v>
          </cell>
          <cell r="BX53">
            <v>0</v>
          </cell>
          <cell r="BY53">
            <v>0</v>
          </cell>
          <cell r="BZ53">
            <v>5.16E-2</v>
          </cell>
          <cell r="CA53">
            <v>0</v>
          </cell>
        </row>
        <row r="54">
          <cell r="A54" t="str">
            <v>VPEM</v>
          </cell>
          <cell r="B54">
            <v>6200</v>
          </cell>
          <cell r="C54" t="str">
            <v>ENERGY</v>
          </cell>
          <cell r="D54">
            <v>6.4000000000000003E-3</v>
          </cell>
          <cell r="E54">
            <v>1.37E-2</v>
          </cell>
          <cell r="F54">
            <v>0.47050000000000003</v>
          </cell>
          <cell r="G54">
            <v>0</v>
          </cell>
          <cell r="H54">
            <v>0</v>
          </cell>
          <cell r="I54">
            <v>0</v>
          </cell>
          <cell r="J54">
            <v>1.21E-2</v>
          </cell>
          <cell r="K54">
            <v>4.1968675273001644E-3</v>
          </cell>
          <cell r="L54">
            <v>4.1999999999999997E-3</v>
          </cell>
          <cell r="M54">
            <v>4.8999999999999998E-3</v>
          </cell>
          <cell r="N54">
            <v>0</v>
          </cell>
          <cell r="O54">
            <v>9.4000000000000004E-3</v>
          </cell>
          <cell r="P54">
            <v>0</v>
          </cell>
          <cell r="Q54">
            <v>0</v>
          </cell>
          <cell r="R54">
            <v>0</v>
          </cell>
          <cell r="S54">
            <v>5.7999999999999996E-3</v>
          </cell>
          <cell r="T54">
            <v>0</v>
          </cell>
          <cell r="U54">
            <v>0</v>
          </cell>
          <cell r="V54">
            <v>1.18E-2</v>
          </cell>
          <cell r="W54">
            <v>0</v>
          </cell>
          <cell r="X54">
            <v>4.6055851995905513E-3</v>
          </cell>
          <cell r="Y54">
            <v>5.8999999999999999E-3</v>
          </cell>
          <cell r="Z54">
            <v>0</v>
          </cell>
          <cell r="AA54">
            <v>1.77E-2</v>
          </cell>
          <cell r="AB54">
            <v>2.405E-3</v>
          </cell>
          <cell r="AC54">
            <v>0</v>
          </cell>
          <cell r="AD54">
            <v>5.0000000000000001E-4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5.0000000000000001E-3</v>
          </cell>
          <cell r="AO54">
            <v>0</v>
          </cell>
          <cell r="AP54">
            <v>0</v>
          </cell>
          <cell r="AQ54">
            <v>0</v>
          </cell>
          <cell r="AR54">
            <v>0.01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0.44080000000000003</v>
          </cell>
          <cell r="AX54">
            <v>4.3499999999999997E-2</v>
          </cell>
          <cell r="AY54">
            <v>0.49399999999999999</v>
          </cell>
          <cell r="AZ54">
            <v>1.8700000000000001E-2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7.4999999999999997E-3</v>
          </cell>
          <cell r="BI54">
            <v>1.21E-2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5.2600000000000001E-2</v>
          </cell>
          <cell r="BS54">
            <v>5.1999999999999998E-3</v>
          </cell>
          <cell r="BT54">
            <v>1.15E-2</v>
          </cell>
          <cell r="BU54">
            <v>0</v>
          </cell>
          <cell r="BV54">
            <v>0</v>
          </cell>
          <cell r="BW54">
            <v>9.9000000000000008E-3</v>
          </cell>
          <cell r="BX54">
            <v>2.5399999999999999E-2</v>
          </cell>
          <cell r="BY54">
            <v>0</v>
          </cell>
          <cell r="BZ54">
            <v>0.26379999999999998</v>
          </cell>
          <cell r="CA54">
            <v>0</v>
          </cell>
        </row>
        <row r="55">
          <cell r="A55" t="str">
            <v>VPET</v>
          </cell>
          <cell r="B55">
            <v>1000</v>
          </cell>
          <cell r="C55" t="str">
            <v>ENERGY</v>
          </cell>
          <cell r="D55">
            <v>1.14E-2</v>
          </cell>
          <cell r="E55">
            <v>2.4400000000000002E-2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2.1600000000000001E-2</v>
          </cell>
          <cell r="K55">
            <v>3.952272000243616E-2</v>
          </cell>
          <cell r="L55">
            <v>2.7900000000000001E-2</v>
          </cell>
          <cell r="M55">
            <v>3.2599999999999997E-2</v>
          </cell>
          <cell r="N55">
            <v>0</v>
          </cell>
          <cell r="O55">
            <v>6.2E-2</v>
          </cell>
          <cell r="P55">
            <v>0</v>
          </cell>
          <cell r="Q55">
            <v>0</v>
          </cell>
          <cell r="R55">
            <v>2.3999999999999998E-3</v>
          </cell>
          <cell r="S55">
            <v>1.03E-2</v>
          </cell>
          <cell r="T55">
            <v>0</v>
          </cell>
          <cell r="U55">
            <v>0</v>
          </cell>
          <cell r="V55">
            <v>2.1100000000000001E-2</v>
          </cell>
          <cell r="W55">
            <v>0</v>
          </cell>
          <cell r="X55">
            <v>2.5826311271668011E-3</v>
          </cell>
          <cell r="Y55">
            <v>8.3999999999999995E-3</v>
          </cell>
          <cell r="Z55">
            <v>0</v>
          </cell>
          <cell r="AA55">
            <v>2.7949999999999999E-2</v>
          </cell>
          <cell r="AB55">
            <v>2.9286849402871757E-2</v>
          </cell>
          <cell r="AC55">
            <v>1.8817204301075269E-2</v>
          </cell>
          <cell r="AD55">
            <v>2.64E-2</v>
          </cell>
          <cell r="AE55">
            <v>0</v>
          </cell>
          <cell r="AF55">
            <v>0</v>
          </cell>
          <cell r="AG55">
            <v>0</v>
          </cell>
          <cell r="AH55">
            <v>0.16639999999999999</v>
          </cell>
          <cell r="AI55">
            <v>0.26790000000000003</v>
          </cell>
          <cell r="AJ55">
            <v>0</v>
          </cell>
          <cell r="AK55">
            <v>0</v>
          </cell>
          <cell r="AL55">
            <v>0</v>
          </cell>
          <cell r="AM55">
            <v>1.9016063942969022E-2</v>
          </cell>
          <cell r="AN55">
            <v>2.6100000000000002E-2</v>
          </cell>
          <cell r="AO55">
            <v>4.6300000000000001E-2</v>
          </cell>
          <cell r="AP55">
            <v>0</v>
          </cell>
          <cell r="AQ55">
            <v>4.4499999999999998E-2</v>
          </cell>
          <cell r="AR55">
            <v>5.21E-2</v>
          </cell>
          <cell r="AS55">
            <v>0</v>
          </cell>
          <cell r="AT55">
            <v>0</v>
          </cell>
          <cell r="AU55">
            <v>0.27679999999999999</v>
          </cell>
          <cell r="AV55">
            <v>0</v>
          </cell>
          <cell r="AW55">
            <v>0</v>
          </cell>
          <cell r="AX55">
            <v>0.2271</v>
          </cell>
          <cell r="AY55">
            <v>0</v>
          </cell>
          <cell r="AZ55">
            <v>9.7900000000000001E-2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6.2899999999999998E-2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0.18740000000000001</v>
          </cell>
          <cell r="BR55">
            <v>0.27479999999999999</v>
          </cell>
          <cell r="BS55">
            <v>2.7099999999999999E-2</v>
          </cell>
          <cell r="BT55">
            <v>0.06</v>
          </cell>
          <cell r="BU55">
            <v>0</v>
          </cell>
          <cell r="BV55">
            <v>0</v>
          </cell>
          <cell r="BW55">
            <v>2.1499999999999998E-2</v>
          </cell>
          <cell r="BX55">
            <v>5.5100000000000003E-2</v>
          </cell>
          <cell r="BY55">
            <v>0</v>
          </cell>
          <cell r="BZ55">
            <v>2.81E-2</v>
          </cell>
          <cell r="CA55">
            <v>0</v>
          </cell>
        </row>
        <row r="56">
          <cell r="A56" t="str">
            <v>VPFOS</v>
          </cell>
          <cell r="B56">
            <v>1000</v>
          </cell>
          <cell r="C56" t="str">
            <v>ENERGY</v>
          </cell>
          <cell r="D56">
            <v>9.1499999999999998E-2</v>
          </cell>
          <cell r="E56">
            <v>0.1953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0.17269999999999999</v>
          </cell>
          <cell r="K56">
            <v>0.14695922414081986</v>
          </cell>
          <cell r="L56">
            <v>0.12529999999999999</v>
          </cell>
          <cell r="M56">
            <v>0.14680000000000001</v>
          </cell>
          <cell r="N56">
            <v>0</v>
          </cell>
          <cell r="O56">
            <v>0.2792</v>
          </cell>
          <cell r="P56">
            <v>0</v>
          </cell>
          <cell r="Q56">
            <v>0</v>
          </cell>
          <cell r="R56">
            <v>3.2000000000000002E-3</v>
          </cell>
          <cell r="S56">
            <v>8.43E-2</v>
          </cell>
          <cell r="T56">
            <v>0</v>
          </cell>
          <cell r="U56">
            <v>0</v>
          </cell>
          <cell r="V56">
            <v>0.17280000000000001</v>
          </cell>
          <cell r="W56">
            <v>0</v>
          </cell>
          <cell r="X56">
            <v>9.2560781852117913E-2</v>
          </cell>
          <cell r="Y56">
            <v>3.7900000000000003E-2</v>
          </cell>
          <cell r="Z56">
            <v>0</v>
          </cell>
          <cell r="AA56">
            <v>0.12570000000000001</v>
          </cell>
          <cell r="AB56">
            <v>0.13175367465259274</v>
          </cell>
          <cell r="AC56">
            <v>5.6854838709677419E-2</v>
          </cell>
          <cell r="AD56">
            <v>0.25340000000000001</v>
          </cell>
          <cell r="AE56">
            <v>0</v>
          </cell>
          <cell r="AF56">
            <v>0.73350000000000004</v>
          </cell>
          <cell r="AG56">
            <v>0.47699999999999998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0.20152084443223733</v>
          </cell>
          <cell r="AN56">
            <v>0.1181</v>
          </cell>
          <cell r="AO56">
            <v>0.20860000000000001</v>
          </cell>
          <cell r="AP56">
            <v>0</v>
          </cell>
          <cell r="AQ56">
            <v>0.20029999999999998</v>
          </cell>
          <cell r="AR56">
            <v>0.23419999999999999</v>
          </cell>
          <cell r="AS56">
            <v>0</v>
          </cell>
          <cell r="AT56">
            <v>0.74219999999999997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0.44040000000000001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0.17519999999999999</v>
          </cell>
          <cell r="BI56">
            <v>0.2828</v>
          </cell>
          <cell r="BJ56">
            <v>0.50680000000000003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0.12189999999999999</v>
          </cell>
          <cell r="BT56">
            <v>0.2697</v>
          </cell>
          <cell r="BU56">
            <v>0</v>
          </cell>
          <cell r="BV56">
            <v>0</v>
          </cell>
          <cell r="BW56">
            <v>9.69E-2</v>
          </cell>
          <cell r="BX56">
            <v>0.2477</v>
          </cell>
          <cell r="BY56">
            <v>0</v>
          </cell>
          <cell r="BZ56">
            <v>6.0900000000000003E-2</v>
          </cell>
          <cell r="CA56">
            <v>0</v>
          </cell>
        </row>
        <row r="57">
          <cell r="A57" t="str">
            <v>VPM</v>
          </cell>
          <cell r="B57">
            <v>1000</v>
          </cell>
          <cell r="C57" t="str">
            <v>DEL-E</v>
          </cell>
          <cell r="D57">
            <v>4.7300000000000002E-2</v>
          </cell>
          <cell r="E57">
            <v>0</v>
          </cell>
          <cell r="F57">
            <v>0</v>
          </cell>
          <cell r="G57">
            <v>0.1042</v>
          </cell>
          <cell r="H57">
            <v>0.17019999999999999</v>
          </cell>
          <cell r="I57">
            <v>0</v>
          </cell>
          <cell r="J57">
            <v>8.9300000000000004E-2</v>
          </cell>
          <cell r="K57">
            <v>6.0843981343009813E-3</v>
          </cell>
          <cell r="L57">
            <v>1.38E-2</v>
          </cell>
          <cell r="M57">
            <v>1.6199999999999999E-2</v>
          </cell>
          <cell r="N57">
            <v>0</v>
          </cell>
          <cell r="O57">
            <v>3.0700000000000002E-2</v>
          </cell>
          <cell r="P57">
            <v>0</v>
          </cell>
          <cell r="Q57">
            <v>0</v>
          </cell>
          <cell r="R57">
            <v>6.4000000000000003E-3</v>
          </cell>
          <cell r="S57">
            <v>4.2999999999999997E-2</v>
          </cell>
          <cell r="T57">
            <v>0</v>
          </cell>
          <cell r="U57">
            <v>0.1038</v>
          </cell>
          <cell r="V57">
            <v>0</v>
          </cell>
          <cell r="W57">
            <v>0</v>
          </cell>
          <cell r="X57">
            <v>3.6914606336497312E-2</v>
          </cell>
          <cell r="Y57">
            <v>4.1000000000000002E-2</v>
          </cell>
          <cell r="Z57">
            <v>0</v>
          </cell>
          <cell r="AA57">
            <v>1.38E-2</v>
          </cell>
          <cell r="AB57">
            <v>1.4502952860530443E-2</v>
          </cell>
          <cell r="AC57">
            <v>6.3440860215053768E-2</v>
          </cell>
          <cell r="AD57">
            <v>8.9999999999999998E-4</v>
          </cell>
          <cell r="AE57">
            <v>0</v>
          </cell>
          <cell r="AF57">
            <v>0</v>
          </cell>
          <cell r="AG57">
            <v>0</v>
          </cell>
          <cell r="AH57">
            <v>5.7000000000000002E-3</v>
          </cell>
          <cell r="AI57">
            <v>9.1999999999999998E-3</v>
          </cell>
          <cell r="AJ57">
            <v>0</v>
          </cell>
          <cell r="AK57">
            <v>0</v>
          </cell>
          <cell r="AL57">
            <v>0</v>
          </cell>
          <cell r="AM57">
            <v>2.9419911402812277E-2</v>
          </cell>
          <cell r="AN57">
            <v>1.29E-2</v>
          </cell>
          <cell r="AO57">
            <v>2.29E-2</v>
          </cell>
          <cell r="AP57">
            <v>0</v>
          </cell>
          <cell r="AQ57">
            <v>2.1999999999999999E-2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4.7E-2</v>
          </cell>
          <cell r="BB57">
            <v>8.72E-2</v>
          </cell>
          <cell r="BC57">
            <v>0</v>
          </cell>
          <cell r="BD57">
            <v>0</v>
          </cell>
          <cell r="BE57">
            <v>4.9299999999999997E-2</v>
          </cell>
          <cell r="BF57">
            <v>0</v>
          </cell>
          <cell r="BG57">
            <v>0</v>
          </cell>
          <cell r="BH57">
            <v>0</v>
          </cell>
          <cell r="BI57">
            <v>3.1199999999999999E-2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1.34E-2</v>
          </cell>
          <cell r="BT57">
            <v>0</v>
          </cell>
          <cell r="BU57">
            <v>3.9800000000000002E-2</v>
          </cell>
          <cell r="BV57">
            <v>0</v>
          </cell>
          <cell r="BW57">
            <v>1.0699999999999999E-2</v>
          </cell>
          <cell r="BX57">
            <v>0</v>
          </cell>
          <cell r="BY57">
            <v>0</v>
          </cell>
          <cell r="BZ57">
            <v>0.2737</v>
          </cell>
          <cell r="CA57">
            <v>0</v>
          </cell>
        </row>
        <row r="58">
          <cell r="A58" t="str">
            <v>VPNS</v>
          </cell>
          <cell r="B58">
            <v>6100</v>
          </cell>
          <cell r="C58" t="str">
            <v>ENERGY</v>
          </cell>
          <cell r="D58">
            <v>1E-4</v>
          </cell>
          <cell r="E58">
            <v>2.9999999999999997E-4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2.9999999999999997E-4</v>
          </cell>
          <cell r="K58">
            <v>4.8124613125527049E-5</v>
          </cell>
          <cell r="L58">
            <v>1E-4</v>
          </cell>
          <cell r="M58">
            <v>1E-4</v>
          </cell>
          <cell r="N58">
            <v>0</v>
          </cell>
          <cell r="O58">
            <v>1E-4</v>
          </cell>
          <cell r="P58">
            <v>0</v>
          </cell>
          <cell r="Q58">
            <v>0</v>
          </cell>
          <cell r="R58">
            <v>0</v>
          </cell>
          <cell r="S58">
            <v>2E-3</v>
          </cell>
          <cell r="T58">
            <v>0</v>
          </cell>
          <cell r="U58">
            <v>0</v>
          </cell>
          <cell r="V58">
            <v>4.0000000000000001E-3</v>
          </cell>
          <cell r="W58">
            <v>0</v>
          </cell>
          <cell r="X58">
            <v>1.674758254396564E-4</v>
          </cell>
          <cell r="Y58">
            <v>2.0000000000000001E-4</v>
          </cell>
          <cell r="Z58">
            <v>0</v>
          </cell>
          <cell r="AA58">
            <v>4.0000000000000002E-4</v>
          </cell>
          <cell r="AB58">
            <v>2.3499999999999999E-4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1E-4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1E-4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1E-4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1E-4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</row>
        <row r="59">
          <cell r="A59" t="str">
            <v>VPNUC</v>
          </cell>
          <cell r="B59">
            <v>1000</v>
          </cell>
          <cell r="C59" t="str">
            <v>ENERGY</v>
          </cell>
          <cell r="D59">
            <v>0.13950000000000001</v>
          </cell>
          <cell r="E59">
            <v>0.29770000000000002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0.26319999999999999</v>
          </cell>
          <cell r="K59">
            <v>3.6809418199909703E-2</v>
          </cell>
          <cell r="L59">
            <v>0.122</v>
          </cell>
          <cell r="M59">
            <v>0.1429</v>
          </cell>
          <cell r="N59">
            <v>0</v>
          </cell>
          <cell r="O59">
            <v>0.2717</v>
          </cell>
          <cell r="P59">
            <v>0</v>
          </cell>
          <cell r="Q59">
            <v>0</v>
          </cell>
          <cell r="R59">
            <v>5.7799999999999997E-2</v>
          </cell>
          <cell r="S59">
            <v>0.13400000000000001</v>
          </cell>
          <cell r="T59">
            <v>0.53349999999999997</v>
          </cell>
          <cell r="U59">
            <v>0</v>
          </cell>
          <cell r="V59">
            <v>0.27499999999999997</v>
          </cell>
          <cell r="W59">
            <v>0</v>
          </cell>
          <cell r="X59">
            <v>0.12681474181519611</v>
          </cell>
          <cell r="Y59">
            <v>3.6900000000000002E-2</v>
          </cell>
          <cell r="Z59">
            <v>0</v>
          </cell>
          <cell r="AA59">
            <v>0.12239999999999999</v>
          </cell>
          <cell r="AB59">
            <v>0.12823754289503053</v>
          </cell>
          <cell r="AC59">
            <v>3.0376344086021505E-2</v>
          </cell>
          <cell r="AD59">
            <v>0.12180000000000001</v>
          </cell>
          <cell r="AE59">
            <v>0.65669999999999995</v>
          </cell>
          <cell r="AF59">
            <v>0</v>
          </cell>
          <cell r="AG59">
            <v>0.22969999999999999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0.10491150318351999</v>
          </cell>
          <cell r="AN59">
            <v>0.1144</v>
          </cell>
          <cell r="AO59">
            <v>0.20280000000000001</v>
          </cell>
          <cell r="AP59">
            <v>0</v>
          </cell>
          <cell r="AQ59">
            <v>0.1948</v>
          </cell>
          <cell r="AR59">
            <v>0.22800000000000001</v>
          </cell>
          <cell r="AS59">
            <v>0.51549999999999996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0.42859999999999998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0.27550000000000002</v>
          </cell>
          <cell r="BJ59">
            <v>0.49320000000000003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0.1186</v>
          </cell>
          <cell r="BT59">
            <v>0.26250000000000001</v>
          </cell>
          <cell r="BU59">
            <v>0</v>
          </cell>
          <cell r="BV59">
            <v>0</v>
          </cell>
          <cell r="BW59">
            <v>9.4299999999999995E-2</v>
          </cell>
          <cell r="BX59">
            <v>0.2412</v>
          </cell>
          <cell r="BY59">
            <v>0</v>
          </cell>
          <cell r="BZ59">
            <v>3.0099999999999998E-2</v>
          </cell>
          <cell r="CA59">
            <v>0</v>
          </cell>
        </row>
        <row r="60">
          <cell r="A60" t="str">
            <v>VPOG</v>
          </cell>
          <cell r="B60">
            <v>1000</v>
          </cell>
          <cell r="C60" t="str">
            <v>ENERGY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9.5646556899226843E-4</v>
          </cell>
          <cell r="L60">
            <v>8.9999999999999998E-4</v>
          </cell>
          <cell r="M60">
            <v>1.1000000000000001E-3</v>
          </cell>
          <cell r="N60">
            <v>0</v>
          </cell>
          <cell r="O60">
            <v>2E-3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2.9999999999999997E-4</v>
          </cell>
          <cell r="Z60">
            <v>0</v>
          </cell>
          <cell r="AA60">
            <v>8.9999999999999998E-4</v>
          </cell>
          <cell r="AB60">
            <v>9.5908317492852154E-4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6.200623343290042E-3</v>
          </cell>
          <cell r="AN60">
            <v>8.9999999999999998E-4</v>
          </cell>
          <cell r="AO60">
            <v>1.5E-3</v>
          </cell>
          <cell r="AP60">
            <v>0</v>
          </cell>
          <cell r="AQ60">
            <v>1.5E-3</v>
          </cell>
          <cell r="AR60">
            <v>1.6999999999999999E-3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3.2000000000000002E-3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2.0999999999999999E-3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8.9999999999999998E-4</v>
          </cell>
          <cell r="BT60">
            <v>0</v>
          </cell>
          <cell r="BU60">
            <v>0</v>
          </cell>
          <cell r="BV60">
            <v>0</v>
          </cell>
          <cell r="BW60">
            <v>6.9999999999999999E-4</v>
          </cell>
          <cell r="BX60">
            <v>1.8E-3</v>
          </cell>
          <cell r="BY60">
            <v>0</v>
          </cell>
          <cell r="BZ60">
            <v>0.26640000000000003</v>
          </cell>
          <cell r="CA60">
            <v>0</v>
          </cell>
        </row>
        <row r="61">
          <cell r="A61" t="str">
            <v>VPP</v>
          </cell>
          <cell r="B61">
            <v>6500</v>
          </cell>
          <cell r="C61" t="str">
            <v>ENERGY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1E-4</v>
          </cell>
          <cell r="AO61">
            <v>1E-4</v>
          </cell>
          <cell r="AP61">
            <v>0</v>
          </cell>
          <cell r="AQ61">
            <v>0</v>
          </cell>
          <cell r="AR61">
            <v>1E-4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2.0000000000000001E-4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2.0000000000000001E-4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1E-4</v>
          </cell>
          <cell r="BT61">
            <v>0</v>
          </cell>
          <cell r="BU61">
            <v>0</v>
          </cell>
          <cell r="BV61">
            <v>0</v>
          </cell>
          <cell r="BW61">
            <v>2.0000000000000001E-4</v>
          </cell>
          <cell r="BX61">
            <v>4.0000000000000002E-4</v>
          </cell>
          <cell r="BY61">
            <v>0</v>
          </cell>
          <cell r="BZ61">
            <v>2E-3</v>
          </cell>
          <cell r="CA61">
            <v>0</v>
          </cell>
        </row>
        <row r="62">
          <cell r="A62" t="str">
            <v>VPS</v>
          </cell>
          <cell r="B62">
            <v>6000</v>
          </cell>
          <cell r="C62" t="str">
            <v>ENERGY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6.9999999999999999E-4</v>
          </cell>
          <cell r="M62">
            <v>8.0000000000000004E-4</v>
          </cell>
          <cell r="N62">
            <v>0</v>
          </cell>
          <cell r="O62">
            <v>1.5E-3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1E-4</v>
          </cell>
          <cell r="AO62">
            <v>0</v>
          </cell>
          <cell r="AP62">
            <v>0</v>
          </cell>
          <cell r="AQ62">
            <v>0</v>
          </cell>
          <cell r="AR62">
            <v>2.9999999999999997E-4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5.0000000000000001E-4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2.9999999999999997E-4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1E-4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1E-4</v>
          </cell>
          <cell r="BY62">
            <v>0</v>
          </cell>
          <cell r="BZ62">
            <v>5.0000000000000001E-4</v>
          </cell>
          <cell r="CA62">
            <v>0</v>
          </cell>
        </row>
        <row r="63">
          <cell r="A63" t="str">
            <v>VPSE</v>
          </cell>
          <cell r="B63">
            <v>6300</v>
          </cell>
          <cell r="C63" t="str">
            <v>ENERGY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9.4271767910456759E-5</v>
          </cell>
          <cell r="L63">
            <v>1.4E-3</v>
          </cell>
          <cell r="M63">
            <v>1.6000000000000001E-3</v>
          </cell>
          <cell r="N63">
            <v>0</v>
          </cell>
          <cell r="O63">
            <v>3.0999999999999999E-3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3.2000000000000002E-3</v>
          </cell>
          <cell r="AB63">
            <v>0</v>
          </cell>
          <cell r="AC63">
            <v>0</v>
          </cell>
          <cell r="AD63">
            <v>5.9999999999999995E-4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2.0999999999999999E-3</v>
          </cell>
          <cell r="BX63">
            <v>5.4000000000000003E-3</v>
          </cell>
          <cell r="BY63">
            <v>0</v>
          </cell>
          <cell r="BZ63">
            <v>1E-4</v>
          </cell>
          <cell r="CA63">
            <v>0</v>
          </cell>
        </row>
        <row r="64">
          <cell r="A64" t="str">
            <v>VPTCAP</v>
          </cell>
          <cell r="B64">
            <v>1000</v>
          </cell>
          <cell r="C64" t="str">
            <v>DEL-O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1.7205338840386643E-3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ct_Cap_Exp"/>
      <sheetName val="summary"/>
      <sheetName val="graph"/>
      <sheetName val="Sheet1"/>
    </sheetNames>
    <sheetDataSet>
      <sheetData sheetId="0"/>
      <sheetData sheetId="1"/>
      <sheetData sheetId="2">
        <row r="2">
          <cell r="A2">
            <v>3</v>
          </cell>
          <cell r="B2">
            <v>80</v>
          </cell>
          <cell r="G2">
            <v>1784921.04</v>
          </cell>
        </row>
        <row r="3">
          <cell r="A3">
            <v>3</v>
          </cell>
          <cell r="B3">
            <v>180</v>
          </cell>
          <cell r="G3">
            <v>416597.05</v>
          </cell>
        </row>
        <row r="4">
          <cell r="A4">
            <v>4</v>
          </cell>
          <cell r="B4">
            <v>80</v>
          </cell>
          <cell r="G4">
            <v>244284.62</v>
          </cell>
        </row>
        <row r="5">
          <cell r="A5">
            <v>4</v>
          </cell>
          <cell r="B5">
            <v>180</v>
          </cell>
          <cell r="G5">
            <v>110148.99</v>
          </cell>
        </row>
        <row r="6">
          <cell r="A6">
            <v>5</v>
          </cell>
          <cell r="B6">
            <v>80</v>
          </cell>
          <cell r="G6">
            <v>244284.64</v>
          </cell>
        </row>
        <row r="7">
          <cell r="A7">
            <v>5</v>
          </cell>
          <cell r="B7">
            <v>180</v>
          </cell>
          <cell r="G7">
            <v>110148.99</v>
          </cell>
        </row>
        <row r="8">
          <cell r="A8">
            <v>1</v>
          </cell>
          <cell r="B8">
            <v>20</v>
          </cell>
        </row>
        <row r="9">
          <cell r="A9">
            <v>1</v>
          </cell>
          <cell r="B9">
            <v>30</v>
          </cell>
        </row>
        <row r="10">
          <cell r="A10">
            <v>1</v>
          </cell>
          <cell r="B10">
            <v>40</v>
          </cell>
        </row>
        <row r="11">
          <cell r="A11">
            <v>1</v>
          </cell>
          <cell r="B11">
            <v>50</v>
          </cell>
        </row>
        <row r="12">
          <cell r="A12">
            <v>1</v>
          </cell>
          <cell r="B12">
            <v>60</v>
          </cell>
        </row>
        <row r="13">
          <cell r="A13">
            <v>1</v>
          </cell>
          <cell r="B13">
            <v>70</v>
          </cell>
        </row>
        <row r="14">
          <cell r="A14">
            <v>1</v>
          </cell>
          <cell r="B14">
            <v>80</v>
          </cell>
        </row>
        <row r="15">
          <cell r="A15">
            <v>1</v>
          </cell>
          <cell r="B15">
            <v>80</v>
          </cell>
        </row>
        <row r="16">
          <cell r="A16">
            <v>1</v>
          </cell>
          <cell r="B16">
            <v>80</v>
          </cell>
        </row>
        <row r="17">
          <cell r="A17">
            <v>1</v>
          </cell>
          <cell r="B17">
            <v>80</v>
          </cell>
        </row>
        <row r="18">
          <cell r="A18">
            <v>1</v>
          </cell>
          <cell r="B18">
            <v>180</v>
          </cell>
        </row>
        <row r="19">
          <cell r="A19">
            <v>1</v>
          </cell>
          <cell r="B19">
            <v>180</v>
          </cell>
        </row>
        <row r="20">
          <cell r="A20">
            <v>1</v>
          </cell>
          <cell r="B20">
            <v>180</v>
          </cell>
        </row>
        <row r="21">
          <cell r="A21">
            <v>1</v>
          </cell>
          <cell r="B21">
            <v>212</v>
          </cell>
        </row>
        <row r="22">
          <cell r="A22">
            <v>1</v>
          </cell>
          <cell r="B22">
            <v>221</v>
          </cell>
        </row>
        <row r="23">
          <cell r="A23">
            <v>1</v>
          </cell>
          <cell r="B23">
            <v>232</v>
          </cell>
        </row>
        <row r="24">
          <cell r="A24">
            <v>1</v>
          </cell>
          <cell r="B24">
            <v>233</v>
          </cell>
        </row>
        <row r="25">
          <cell r="A25">
            <v>1</v>
          </cell>
          <cell r="B25">
            <v>234</v>
          </cell>
        </row>
        <row r="26">
          <cell r="A26">
            <v>1</v>
          </cell>
          <cell r="B26">
            <v>303</v>
          </cell>
        </row>
        <row r="27">
          <cell r="A27">
            <v>2</v>
          </cell>
          <cell r="B27">
            <v>20</v>
          </cell>
        </row>
        <row r="28">
          <cell r="A28">
            <v>2</v>
          </cell>
          <cell r="B28">
            <v>30</v>
          </cell>
        </row>
        <row r="29">
          <cell r="A29">
            <v>2</v>
          </cell>
          <cell r="B29">
            <v>40</v>
          </cell>
        </row>
        <row r="30">
          <cell r="A30">
            <v>2</v>
          </cell>
          <cell r="B30">
            <v>50</v>
          </cell>
        </row>
        <row r="31">
          <cell r="A31">
            <v>2</v>
          </cell>
          <cell r="B31">
            <v>60</v>
          </cell>
        </row>
        <row r="32">
          <cell r="A32">
            <v>2</v>
          </cell>
          <cell r="B32">
            <v>70</v>
          </cell>
        </row>
        <row r="33">
          <cell r="A33">
            <v>2</v>
          </cell>
          <cell r="B33">
            <v>80</v>
          </cell>
        </row>
        <row r="34">
          <cell r="A34">
            <v>2</v>
          </cell>
          <cell r="B34">
            <v>80</v>
          </cell>
        </row>
        <row r="35">
          <cell r="A35">
            <v>2</v>
          </cell>
          <cell r="B35">
            <v>80</v>
          </cell>
        </row>
        <row r="36">
          <cell r="A36">
            <v>2</v>
          </cell>
          <cell r="B36">
            <v>80</v>
          </cell>
        </row>
        <row r="37">
          <cell r="A37">
            <v>2</v>
          </cell>
          <cell r="B37">
            <v>180</v>
          </cell>
        </row>
        <row r="38">
          <cell r="A38">
            <v>2</v>
          </cell>
          <cell r="B38">
            <v>180</v>
          </cell>
        </row>
        <row r="39">
          <cell r="A39">
            <v>2</v>
          </cell>
          <cell r="B39">
            <v>180</v>
          </cell>
        </row>
        <row r="40">
          <cell r="A40">
            <v>2</v>
          </cell>
          <cell r="B40">
            <v>212</v>
          </cell>
        </row>
        <row r="41">
          <cell r="A41">
            <v>2</v>
          </cell>
          <cell r="B41">
            <v>221</v>
          </cell>
        </row>
        <row r="42">
          <cell r="A42">
            <v>2</v>
          </cell>
          <cell r="B42">
            <v>232</v>
          </cell>
        </row>
        <row r="43">
          <cell r="A43">
            <v>2</v>
          </cell>
          <cell r="B43">
            <v>233</v>
          </cell>
        </row>
        <row r="44">
          <cell r="A44">
            <v>2</v>
          </cell>
          <cell r="B44">
            <v>234</v>
          </cell>
        </row>
        <row r="45">
          <cell r="A45">
            <v>2</v>
          </cell>
          <cell r="B45">
            <v>303</v>
          </cell>
        </row>
        <row r="46">
          <cell r="A46">
            <v>3</v>
          </cell>
          <cell r="B46">
            <v>20</v>
          </cell>
        </row>
        <row r="47">
          <cell r="A47">
            <v>3</v>
          </cell>
          <cell r="B47">
            <v>30</v>
          </cell>
        </row>
        <row r="48">
          <cell r="A48">
            <v>3</v>
          </cell>
          <cell r="B48">
            <v>40</v>
          </cell>
        </row>
        <row r="49">
          <cell r="A49">
            <v>3</v>
          </cell>
          <cell r="B49">
            <v>50</v>
          </cell>
        </row>
        <row r="50">
          <cell r="A50">
            <v>3</v>
          </cell>
          <cell r="B50">
            <v>60</v>
          </cell>
        </row>
        <row r="51">
          <cell r="A51">
            <v>3</v>
          </cell>
          <cell r="B51">
            <v>70</v>
          </cell>
        </row>
        <row r="52">
          <cell r="A52">
            <v>3</v>
          </cell>
          <cell r="B52">
            <v>80</v>
          </cell>
        </row>
        <row r="53">
          <cell r="A53">
            <v>3</v>
          </cell>
          <cell r="B53">
            <v>80</v>
          </cell>
        </row>
        <row r="54">
          <cell r="A54">
            <v>3</v>
          </cell>
          <cell r="B54">
            <v>80</v>
          </cell>
        </row>
        <row r="55">
          <cell r="A55">
            <v>3</v>
          </cell>
          <cell r="B55">
            <v>80</v>
          </cell>
        </row>
        <row r="56">
          <cell r="A56">
            <v>3</v>
          </cell>
          <cell r="B56">
            <v>180</v>
          </cell>
        </row>
        <row r="57">
          <cell r="A57">
            <v>3</v>
          </cell>
          <cell r="B57">
            <v>180</v>
          </cell>
        </row>
        <row r="58">
          <cell r="A58">
            <v>3</v>
          </cell>
          <cell r="B58">
            <v>180</v>
          </cell>
        </row>
        <row r="59">
          <cell r="A59">
            <v>3</v>
          </cell>
          <cell r="B59">
            <v>212</v>
          </cell>
        </row>
        <row r="60">
          <cell r="A60">
            <v>3</v>
          </cell>
          <cell r="B60">
            <v>221</v>
          </cell>
        </row>
        <row r="61">
          <cell r="A61">
            <v>3</v>
          </cell>
          <cell r="B61">
            <v>232</v>
          </cell>
        </row>
        <row r="62">
          <cell r="A62">
            <v>3</v>
          </cell>
          <cell r="B62">
            <v>233</v>
          </cell>
        </row>
        <row r="63">
          <cell r="A63">
            <v>3</v>
          </cell>
          <cell r="B63">
            <v>234</v>
          </cell>
        </row>
        <row r="64">
          <cell r="A64">
            <v>3</v>
          </cell>
          <cell r="B64">
            <v>303</v>
          </cell>
        </row>
        <row r="65">
          <cell r="A65">
            <v>4</v>
          </cell>
          <cell r="B65">
            <v>20</v>
          </cell>
        </row>
        <row r="66">
          <cell r="A66">
            <v>4</v>
          </cell>
          <cell r="B66">
            <v>30</v>
          </cell>
        </row>
        <row r="67">
          <cell r="A67">
            <v>4</v>
          </cell>
          <cell r="B67">
            <v>40</v>
          </cell>
        </row>
        <row r="68">
          <cell r="A68">
            <v>4</v>
          </cell>
          <cell r="B68">
            <v>50</v>
          </cell>
        </row>
        <row r="69">
          <cell r="A69">
            <v>4</v>
          </cell>
          <cell r="B69">
            <v>60</v>
          </cell>
        </row>
        <row r="70">
          <cell r="A70">
            <v>4</v>
          </cell>
          <cell r="B70">
            <v>70</v>
          </cell>
        </row>
        <row r="71">
          <cell r="A71">
            <v>4</v>
          </cell>
          <cell r="B71">
            <v>80</v>
          </cell>
        </row>
        <row r="72">
          <cell r="A72">
            <v>4</v>
          </cell>
          <cell r="B72">
            <v>80</v>
          </cell>
        </row>
        <row r="73">
          <cell r="A73">
            <v>4</v>
          </cell>
          <cell r="B73">
            <v>80</v>
          </cell>
        </row>
        <row r="74">
          <cell r="A74">
            <v>4</v>
          </cell>
          <cell r="B74">
            <v>80</v>
          </cell>
        </row>
        <row r="75">
          <cell r="A75">
            <v>4</v>
          </cell>
          <cell r="B75">
            <v>180</v>
          </cell>
        </row>
        <row r="76">
          <cell r="A76">
            <v>4</v>
          </cell>
          <cell r="B76">
            <v>180</v>
          </cell>
        </row>
        <row r="77">
          <cell r="A77">
            <v>4</v>
          </cell>
          <cell r="B77">
            <v>180</v>
          </cell>
        </row>
        <row r="78">
          <cell r="A78">
            <v>4</v>
          </cell>
          <cell r="B78">
            <v>212</v>
          </cell>
        </row>
        <row r="79">
          <cell r="A79">
            <v>4</v>
          </cell>
          <cell r="B79">
            <v>221</v>
          </cell>
        </row>
        <row r="80">
          <cell r="A80">
            <v>4</v>
          </cell>
          <cell r="B80">
            <v>232</v>
          </cell>
        </row>
        <row r="81">
          <cell r="A81">
            <v>4</v>
          </cell>
          <cell r="B81">
            <v>233</v>
          </cell>
        </row>
        <row r="82">
          <cell r="A82">
            <v>4</v>
          </cell>
          <cell r="B82">
            <v>234</v>
          </cell>
        </row>
        <row r="83">
          <cell r="A83">
            <v>4</v>
          </cell>
          <cell r="B83">
            <v>303</v>
          </cell>
        </row>
        <row r="84">
          <cell r="A84">
            <v>5</v>
          </cell>
          <cell r="B84">
            <v>20</v>
          </cell>
        </row>
        <row r="85">
          <cell r="A85">
            <v>5</v>
          </cell>
          <cell r="B85">
            <v>30</v>
          </cell>
        </row>
        <row r="86">
          <cell r="A86">
            <v>5</v>
          </cell>
          <cell r="B86">
            <v>40</v>
          </cell>
        </row>
        <row r="87">
          <cell r="A87">
            <v>5</v>
          </cell>
          <cell r="B87">
            <v>50</v>
          </cell>
        </row>
        <row r="88">
          <cell r="A88">
            <v>5</v>
          </cell>
          <cell r="B88">
            <v>60</v>
          </cell>
        </row>
        <row r="89">
          <cell r="A89">
            <v>5</v>
          </cell>
          <cell r="B89">
            <v>70</v>
          </cell>
        </row>
        <row r="90">
          <cell r="A90">
            <v>5</v>
          </cell>
          <cell r="B90">
            <v>80</v>
          </cell>
        </row>
        <row r="91">
          <cell r="A91">
            <v>5</v>
          </cell>
          <cell r="B91">
            <v>80</v>
          </cell>
        </row>
        <row r="92">
          <cell r="A92">
            <v>5</v>
          </cell>
          <cell r="B92">
            <v>80</v>
          </cell>
        </row>
        <row r="93">
          <cell r="A93">
            <v>5</v>
          </cell>
          <cell r="B93">
            <v>80</v>
          </cell>
        </row>
        <row r="94">
          <cell r="A94">
            <v>5</v>
          </cell>
          <cell r="B94">
            <v>180</v>
          </cell>
        </row>
        <row r="95">
          <cell r="A95">
            <v>5</v>
          </cell>
          <cell r="B95">
            <v>180</v>
          </cell>
        </row>
        <row r="96">
          <cell r="A96">
            <v>5</v>
          </cell>
          <cell r="B96">
            <v>180</v>
          </cell>
        </row>
        <row r="97">
          <cell r="A97">
            <v>5</v>
          </cell>
          <cell r="B97">
            <v>212</v>
          </cell>
        </row>
        <row r="98">
          <cell r="A98">
            <v>5</v>
          </cell>
          <cell r="B98">
            <v>221</v>
          </cell>
        </row>
        <row r="99">
          <cell r="A99">
            <v>5</v>
          </cell>
          <cell r="B99">
            <v>232</v>
          </cell>
        </row>
        <row r="100">
          <cell r="A100">
            <v>5</v>
          </cell>
          <cell r="B100">
            <v>233</v>
          </cell>
        </row>
        <row r="101">
          <cell r="A101">
            <v>5</v>
          </cell>
          <cell r="B101">
            <v>234</v>
          </cell>
        </row>
        <row r="102">
          <cell r="A102">
            <v>5</v>
          </cell>
          <cell r="B102">
            <v>303</v>
          </cell>
        </row>
        <row r="103">
          <cell r="A103">
            <v>1</v>
          </cell>
          <cell r="B103">
            <v>301</v>
          </cell>
          <cell r="G103">
            <v>166.68</v>
          </cell>
        </row>
        <row r="104">
          <cell r="A104">
            <v>4</v>
          </cell>
          <cell r="B104">
            <v>301</v>
          </cell>
          <cell r="G104">
            <v>166.68</v>
          </cell>
        </row>
        <row r="105">
          <cell r="A105">
            <v>5</v>
          </cell>
          <cell r="B105">
            <v>301</v>
          </cell>
          <cell r="G105">
            <v>166.68</v>
          </cell>
        </row>
        <row r="106">
          <cell r="A106">
            <v>1</v>
          </cell>
          <cell r="B106">
            <v>20</v>
          </cell>
          <cell r="G106">
            <v>0</v>
          </cell>
        </row>
        <row r="107">
          <cell r="A107">
            <v>1</v>
          </cell>
          <cell r="B107">
            <v>20</v>
          </cell>
          <cell r="G107">
            <v>2.2737367544323201E-13</v>
          </cell>
        </row>
        <row r="108">
          <cell r="A108">
            <v>1</v>
          </cell>
          <cell r="B108">
            <v>30</v>
          </cell>
          <cell r="G108">
            <v>-7.2759576141834308E-12</v>
          </cell>
        </row>
        <row r="109">
          <cell r="A109">
            <v>1</v>
          </cell>
          <cell r="B109">
            <v>30</v>
          </cell>
          <cell r="G109">
            <v>6742.97</v>
          </cell>
        </row>
        <row r="110">
          <cell r="A110">
            <v>1</v>
          </cell>
          <cell r="B110">
            <v>50</v>
          </cell>
          <cell r="G110">
            <v>-4.1836756281554699E-11</v>
          </cell>
        </row>
        <row r="111">
          <cell r="A111">
            <v>1</v>
          </cell>
          <cell r="B111">
            <v>50</v>
          </cell>
          <cell r="G111">
            <v>0</v>
          </cell>
        </row>
        <row r="112">
          <cell r="A112">
            <v>1</v>
          </cell>
          <cell r="B112">
            <v>50</v>
          </cell>
          <cell r="G112">
            <v>1.7053025658242399E-13</v>
          </cell>
        </row>
        <row r="113">
          <cell r="A113">
            <v>1</v>
          </cell>
          <cell r="B113">
            <v>60</v>
          </cell>
          <cell r="G113">
            <v>0</v>
          </cell>
        </row>
        <row r="114">
          <cell r="A114">
            <v>2</v>
          </cell>
          <cell r="B114">
            <v>20</v>
          </cell>
          <cell r="G114">
            <v>-2.91038304567337E-11</v>
          </cell>
        </row>
        <row r="115">
          <cell r="A115">
            <v>2</v>
          </cell>
          <cell r="B115">
            <v>20</v>
          </cell>
          <cell r="G115">
            <v>0</v>
          </cell>
        </row>
        <row r="116">
          <cell r="A116">
            <v>2</v>
          </cell>
          <cell r="B116">
            <v>30</v>
          </cell>
          <cell r="G116">
            <v>3.6379788070917097E-11</v>
          </cell>
        </row>
        <row r="117">
          <cell r="A117">
            <v>2</v>
          </cell>
          <cell r="B117">
            <v>30</v>
          </cell>
          <cell r="G117">
            <v>1.06581410364015E-14</v>
          </cell>
        </row>
        <row r="118">
          <cell r="A118">
            <v>2</v>
          </cell>
          <cell r="B118">
            <v>50</v>
          </cell>
          <cell r="G118">
            <v>3.6379788070917097E-11</v>
          </cell>
        </row>
        <row r="119">
          <cell r="A119">
            <v>2</v>
          </cell>
          <cell r="B119">
            <v>50</v>
          </cell>
          <cell r="G119">
            <v>-4.2632564145605999E-14</v>
          </cell>
        </row>
        <row r="120">
          <cell r="A120">
            <v>2</v>
          </cell>
          <cell r="B120">
            <v>50</v>
          </cell>
          <cell r="G120">
            <v>1.9895196601282801E-12</v>
          </cell>
        </row>
        <row r="121">
          <cell r="A121">
            <v>2</v>
          </cell>
          <cell r="B121">
            <v>60</v>
          </cell>
          <cell r="G121">
            <v>0</v>
          </cell>
        </row>
        <row r="122">
          <cell r="A122">
            <v>3</v>
          </cell>
          <cell r="B122">
            <v>20</v>
          </cell>
          <cell r="G122">
            <v>-7.2759576141834308E-12</v>
          </cell>
        </row>
        <row r="123">
          <cell r="A123">
            <v>3</v>
          </cell>
          <cell r="B123">
            <v>20</v>
          </cell>
          <cell r="G123">
            <v>2.2737367544323201E-13</v>
          </cell>
        </row>
        <row r="124">
          <cell r="A124">
            <v>3</v>
          </cell>
          <cell r="B124">
            <v>30</v>
          </cell>
          <cell r="G124">
            <v>2.91038304567337E-11</v>
          </cell>
        </row>
        <row r="125">
          <cell r="A125">
            <v>3</v>
          </cell>
          <cell r="B125">
            <v>30</v>
          </cell>
          <cell r="G125">
            <v>0</v>
          </cell>
        </row>
        <row r="126">
          <cell r="A126">
            <v>3</v>
          </cell>
          <cell r="B126">
            <v>50</v>
          </cell>
          <cell r="G126">
            <v>2.0918378140777301E-11</v>
          </cell>
        </row>
        <row r="127">
          <cell r="A127">
            <v>3</v>
          </cell>
          <cell r="B127">
            <v>50</v>
          </cell>
          <cell r="G127">
            <v>0</v>
          </cell>
        </row>
        <row r="128">
          <cell r="A128">
            <v>3</v>
          </cell>
          <cell r="B128">
            <v>50</v>
          </cell>
          <cell r="G128">
            <v>1.7053025658242399E-13</v>
          </cell>
        </row>
        <row r="129">
          <cell r="A129">
            <v>3</v>
          </cell>
          <cell r="B129">
            <v>60</v>
          </cell>
          <cell r="G129">
            <v>1.45519152283669E-11</v>
          </cell>
        </row>
        <row r="130">
          <cell r="A130">
            <v>4</v>
          </cell>
          <cell r="B130">
            <v>20</v>
          </cell>
          <cell r="G130">
            <v>-4.5474735088646402E-13</v>
          </cell>
        </row>
        <row r="131">
          <cell r="A131">
            <v>4</v>
          </cell>
          <cell r="B131">
            <v>20</v>
          </cell>
          <cell r="G131">
            <v>0</v>
          </cell>
        </row>
        <row r="132">
          <cell r="A132">
            <v>4</v>
          </cell>
          <cell r="B132">
            <v>30</v>
          </cell>
          <cell r="G132">
            <v>-9.0949470177292804E-13</v>
          </cell>
        </row>
        <row r="133">
          <cell r="A133">
            <v>4</v>
          </cell>
          <cell r="B133">
            <v>30</v>
          </cell>
          <cell r="G133">
            <v>-6742.97</v>
          </cell>
        </row>
        <row r="134">
          <cell r="A134">
            <v>4</v>
          </cell>
          <cell r="B134">
            <v>50</v>
          </cell>
          <cell r="G134">
            <v>1.02318153949454E-12</v>
          </cell>
        </row>
        <row r="135">
          <cell r="A135">
            <v>4</v>
          </cell>
          <cell r="B135">
            <v>50</v>
          </cell>
          <cell r="G135">
            <v>1.7053025658242399E-13</v>
          </cell>
        </row>
        <row r="136">
          <cell r="A136">
            <v>4</v>
          </cell>
          <cell r="B136">
            <v>60</v>
          </cell>
          <cell r="G136">
            <v>3.6379788070917101E-12</v>
          </cell>
        </row>
        <row r="137">
          <cell r="A137">
            <v>5</v>
          </cell>
          <cell r="B137">
            <v>20</v>
          </cell>
          <cell r="G137">
            <v>0</v>
          </cell>
        </row>
        <row r="138">
          <cell r="A138">
            <v>5</v>
          </cell>
          <cell r="B138">
            <v>30</v>
          </cell>
          <cell r="G138">
            <v>4.0927261579781803E-12</v>
          </cell>
        </row>
        <row r="139">
          <cell r="A139">
            <v>5</v>
          </cell>
          <cell r="B139">
            <v>30</v>
          </cell>
          <cell r="G139">
            <v>0</v>
          </cell>
        </row>
        <row r="140">
          <cell r="A140">
            <v>5</v>
          </cell>
          <cell r="B140">
            <v>50</v>
          </cell>
          <cell r="G140">
            <v>1.8189894035458601E-12</v>
          </cell>
        </row>
        <row r="141">
          <cell r="A141">
            <v>5</v>
          </cell>
          <cell r="B141">
            <v>50</v>
          </cell>
          <cell r="G141">
            <v>1.7053025658242399E-13</v>
          </cell>
        </row>
        <row r="142">
          <cell r="A142">
            <v>5</v>
          </cell>
          <cell r="B142">
            <v>60</v>
          </cell>
          <cell r="G142">
            <v>-2.0463630789890902E-12</v>
          </cell>
        </row>
        <row r="143">
          <cell r="A143">
            <v>1</v>
          </cell>
          <cell r="B143">
            <v>50</v>
          </cell>
          <cell r="G143">
            <v>3651.35</v>
          </cell>
        </row>
        <row r="144">
          <cell r="A144">
            <v>2</v>
          </cell>
          <cell r="B144">
            <v>50</v>
          </cell>
          <cell r="G144">
            <v>3651.35</v>
          </cell>
        </row>
        <row r="145">
          <cell r="A145">
            <v>3</v>
          </cell>
          <cell r="B145">
            <v>50</v>
          </cell>
          <cell r="G145">
            <v>3651.35</v>
          </cell>
        </row>
        <row r="146">
          <cell r="A146">
            <v>4</v>
          </cell>
          <cell r="B146">
            <v>50</v>
          </cell>
          <cell r="G146">
            <v>3640.63</v>
          </cell>
        </row>
        <row r="147">
          <cell r="A147">
            <v>5</v>
          </cell>
          <cell r="B147">
            <v>50</v>
          </cell>
          <cell r="G147">
            <v>3640.63</v>
          </cell>
        </row>
        <row r="148">
          <cell r="A148">
            <v>1</v>
          </cell>
          <cell r="B148">
            <v>40</v>
          </cell>
          <cell r="G148">
            <v>633.86</v>
          </cell>
        </row>
        <row r="149">
          <cell r="A149">
            <v>1</v>
          </cell>
          <cell r="B149">
            <v>60</v>
          </cell>
          <cell r="G149">
            <v>7663.37</v>
          </cell>
        </row>
        <row r="150">
          <cell r="A150">
            <v>1</v>
          </cell>
          <cell r="B150">
            <v>180</v>
          </cell>
          <cell r="G150">
            <v>192142.89</v>
          </cell>
        </row>
        <row r="151">
          <cell r="A151">
            <v>2</v>
          </cell>
          <cell r="B151">
            <v>40</v>
          </cell>
          <cell r="G151">
            <v>633.86</v>
          </cell>
        </row>
        <row r="152">
          <cell r="A152">
            <v>2</v>
          </cell>
          <cell r="B152">
            <v>60</v>
          </cell>
          <cell r="G152">
            <v>7663.37</v>
          </cell>
        </row>
        <row r="153">
          <cell r="A153">
            <v>2</v>
          </cell>
          <cell r="B153">
            <v>180</v>
          </cell>
          <cell r="G153">
            <v>193688.72</v>
          </cell>
        </row>
        <row r="154">
          <cell r="A154">
            <v>3</v>
          </cell>
          <cell r="B154">
            <v>40</v>
          </cell>
          <cell r="G154">
            <v>633.86</v>
          </cell>
        </row>
        <row r="155">
          <cell r="A155">
            <v>3</v>
          </cell>
          <cell r="B155">
            <v>60</v>
          </cell>
          <cell r="G155">
            <v>7663.37</v>
          </cell>
        </row>
        <row r="156">
          <cell r="A156">
            <v>3</v>
          </cell>
          <cell r="B156">
            <v>180</v>
          </cell>
          <cell r="G156">
            <v>193869.2</v>
          </cell>
        </row>
        <row r="157">
          <cell r="A157">
            <v>4</v>
          </cell>
          <cell r="B157">
            <v>60</v>
          </cell>
          <cell r="G157">
            <v>7712.83</v>
          </cell>
        </row>
        <row r="158">
          <cell r="A158">
            <v>4</v>
          </cell>
          <cell r="B158">
            <v>180</v>
          </cell>
          <cell r="G158">
            <v>193997.82</v>
          </cell>
        </row>
        <row r="159">
          <cell r="A159">
            <v>5</v>
          </cell>
          <cell r="B159">
            <v>60</v>
          </cell>
          <cell r="G159">
            <v>7712.83</v>
          </cell>
        </row>
        <row r="160">
          <cell r="A160">
            <v>5</v>
          </cell>
          <cell r="B160">
            <v>180</v>
          </cell>
          <cell r="G160">
            <v>194024.14</v>
          </cell>
        </row>
        <row r="161">
          <cell r="A161">
            <v>1</v>
          </cell>
          <cell r="B161">
            <v>40</v>
          </cell>
          <cell r="G161">
            <v>9094.9500000000007</v>
          </cell>
        </row>
        <row r="162">
          <cell r="A162">
            <v>1</v>
          </cell>
          <cell r="B162">
            <v>50</v>
          </cell>
          <cell r="G162">
            <v>11967.42</v>
          </cell>
        </row>
        <row r="163">
          <cell r="A163">
            <v>1</v>
          </cell>
          <cell r="B163">
            <v>60</v>
          </cell>
          <cell r="G163">
            <v>13458.65</v>
          </cell>
        </row>
        <row r="164">
          <cell r="A164">
            <v>1</v>
          </cell>
          <cell r="B164">
            <v>70</v>
          </cell>
          <cell r="G164">
            <v>17838.400000000001</v>
          </cell>
        </row>
        <row r="165">
          <cell r="A165">
            <v>1</v>
          </cell>
          <cell r="B165">
            <v>180</v>
          </cell>
          <cell r="G165">
            <v>150088.01999999999</v>
          </cell>
        </row>
        <row r="166">
          <cell r="A166">
            <v>1</v>
          </cell>
          <cell r="B166">
            <v>232</v>
          </cell>
          <cell r="G166">
            <v>12735.7</v>
          </cell>
        </row>
        <row r="167">
          <cell r="A167">
            <v>1</v>
          </cell>
          <cell r="B167">
            <v>233</v>
          </cell>
          <cell r="G167">
            <v>22212.41</v>
          </cell>
        </row>
        <row r="168">
          <cell r="A168">
            <v>1</v>
          </cell>
          <cell r="B168">
            <v>234</v>
          </cell>
          <cell r="G168">
            <v>17248.28</v>
          </cell>
        </row>
        <row r="169">
          <cell r="A169">
            <v>2</v>
          </cell>
          <cell r="B169">
            <v>40</v>
          </cell>
          <cell r="G169">
            <v>9094.9500000000007</v>
          </cell>
        </row>
        <row r="170">
          <cell r="A170">
            <v>2</v>
          </cell>
          <cell r="B170">
            <v>50</v>
          </cell>
          <cell r="G170">
            <v>11967.42</v>
          </cell>
        </row>
        <row r="171">
          <cell r="A171">
            <v>2</v>
          </cell>
          <cell r="B171">
            <v>60</v>
          </cell>
          <cell r="G171">
            <v>13458.65</v>
          </cell>
        </row>
        <row r="172">
          <cell r="A172">
            <v>2</v>
          </cell>
          <cell r="B172">
            <v>70</v>
          </cell>
          <cell r="G172">
            <v>17838.400000000001</v>
          </cell>
        </row>
        <row r="173">
          <cell r="A173">
            <v>2</v>
          </cell>
          <cell r="B173">
            <v>180</v>
          </cell>
          <cell r="G173">
            <v>150105.88</v>
          </cell>
        </row>
        <row r="174">
          <cell r="A174">
            <v>2</v>
          </cell>
          <cell r="B174">
            <v>232</v>
          </cell>
          <cell r="G174">
            <v>12755.89</v>
          </cell>
        </row>
        <row r="175">
          <cell r="A175">
            <v>2</v>
          </cell>
          <cell r="B175">
            <v>233</v>
          </cell>
          <cell r="G175">
            <v>22212.41</v>
          </cell>
        </row>
        <row r="176">
          <cell r="A176">
            <v>2</v>
          </cell>
          <cell r="B176">
            <v>234</v>
          </cell>
          <cell r="G176">
            <v>17248.28</v>
          </cell>
        </row>
        <row r="177">
          <cell r="A177">
            <v>3</v>
          </cell>
          <cell r="B177">
            <v>40</v>
          </cell>
          <cell r="G177">
            <v>9094.9500000000007</v>
          </cell>
        </row>
        <row r="178">
          <cell r="A178">
            <v>3</v>
          </cell>
          <cell r="B178">
            <v>50</v>
          </cell>
          <cell r="G178">
            <v>11967.42</v>
          </cell>
        </row>
        <row r="179">
          <cell r="A179">
            <v>3</v>
          </cell>
          <cell r="B179">
            <v>60</v>
          </cell>
          <cell r="G179">
            <v>13458.65</v>
          </cell>
        </row>
        <row r="180">
          <cell r="A180">
            <v>3</v>
          </cell>
          <cell r="B180">
            <v>70</v>
          </cell>
          <cell r="G180">
            <v>17838.400000000001</v>
          </cell>
        </row>
        <row r="181">
          <cell r="A181">
            <v>3</v>
          </cell>
          <cell r="B181">
            <v>180</v>
          </cell>
          <cell r="G181">
            <v>151210.74</v>
          </cell>
        </row>
        <row r="182">
          <cell r="A182">
            <v>3</v>
          </cell>
          <cell r="B182">
            <v>232</v>
          </cell>
          <cell r="G182">
            <v>12755.89</v>
          </cell>
        </row>
        <row r="183">
          <cell r="A183">
            <v>3</v>
          </cell>
          <cell r="B183">
            <v>233</v>
          </cell>
          <cell r="G183">
            <v>22212.41</v>
          </cell>
        </row>
        <row r="184">
          <cell r="A184">
            <v>3</v>
          </cell>
          <cell r="B184">
            <v>234</v>
          </cell>
          <cell r="G184">
            <v>17248.28</v>
          </cell>
        </row>
        <row r="185">
          <cell r="A185">
            <v>4</v>
          </cell>
          <cell r="B185">
            <v>40</v>
          </cell>
          <cell r="G185">
            <v>28356.34</v>
          </cell>
        </row>
        <row r="186">
          <cell r="A186">
            <v>4</v>
          </cell>
          <cell r="B186">
            <v>50</v>
          </cell>
          <cell r="G186">
            <v>13728.76</v>
          </cell>
        </row>
        <row r="187">
          <cell r="A187">
            <v>4</v>
          </cell>
          <cell r="B187">
            <v>60</v>
          </cell>
          <cell r="G187">
            <v>13458.65</v>
          </cell>
        </row>
        <row r="188">
          <cell r="A188">
            <v>4</v>
          </cell>
          <cell r="B188">
            <v>70</v>
          </cell>
          <cell r="G188">
            <v>17818.14</v>
          </cell>
        </row>
        <row r="189">
          <cell r="A189">
            <v>4</v>
          </cell>
          <cell r="B189">
            <v>180</v>
          </cell>
          <cell r="G189">
            <v>151324.56</v>
          </cell>
        </row>
        <row r="190">
          <cell r="A190">
            <v>4</v>
          </cell>
          <cell r="B190">
            <v>232</v>
          </cell>
          <cell r="G190">
            <v>12755.89</v>
          </cell>
        </row>
        <row r="191">
          <cell r="A191">
            <v>4</v>
          </cell>
          <cell r="B191">
            <v>233</v>
          </cell>
          <cell r="G191">
            <v>22212.41</v>
          </cell>
        </row>
        <row r="192">
          <cell r="A192">
            <v>4</v>
          </cell>
          <cell r="B192">
            <v>234</v>
          </cell>
          <cell r="G192">
            <v>17248.28</v>
          </cell>
        </row>
        <row r="193">
          <cell r="A193">
            <v>5</v>
          </cell>
          <cell r="B193">
            <v>40</v>
          </cell>
          <cell r="G193">
            <v>8666.74</v>
          </cell>
        </row>
        <row r="194">
          <cell r="A194">
            <v>5</v>
          </cell>
          <cell r="B194">
            <v>50</v>
          </cell>
          <cell r="G194">
            <v>13728.76</v>
          </cell>
        </row>
        <row r="195">
          <cell r="A195">
            <v>5</v>
          </cell>
          <cell r="B195">
            <v>60</v>
          </cell>
          <cell r="G195">
            <v>13458.65</v>
          </cell>
        </row>
        <row r="196">
          <cell r="A196">
            <v>5</v>
          </cell>
          <cell r="B196">
            <v>70</v>
          </cell>
          <cell r="G196">
            <v>17408.099999999999</v>
          </cell>
        </row>
        <row r="197">
          <cell r="A197">
            <v>5</v>
          </cell>
          <cell r="B197">
            <v>180</v>
          </cell>
          <cell r="G197">
            <v>151578.96</v>
          </cell>
        </row>
        <row r="198">
          <cell r="A198">
            <v>5</v>
          </cell>
          <cell r="B198">
            <v>232</v>
          </cell>
          <cell r="G198">
            <v>12755.89</v>
          </cell>
        </row>
        <row r="199">
          <cell r="A199">
            <v>5</v>
          </cell>
          <cell r="B199">
            <v>233</v>
          </cell>
          <cell r="G199">
            <v>22212.41</v>
          </cell>
        </row>
        <row r="200">
          <cell r="A200">
            <v>5</v>
          </cell>
          <cell r="B200">
            <v>234</v>
          </cell>
          <cell r="G200">
            <v>17248.28</v>
          </cell>
        </row>
        <row r="201">
          <cell r="A201">
            <v>1</v>
          </cell>
          <cell r="B201">
            <v>20</v>
          </cell>
          <cell r="G201">
            <v>16441.22</v>
          </cell>
        </row>
        <row r="202">
          <cell r="A202">
            <v>1</v>
          </cell>
          <cell r="B202">
            <v>30</v>
          </cell>
          <cell r="G202">
            <v>18527.669999999998</v>
          </cell>
        </row>
        <row r="203">
          <cell r="A203">
            <v>1</v>
          </cell>
          <cell r="B203">
            <v>40</v>
          </cell>
          <cell r="G203">
            <v>29660.82</v>
          </cell>
        </row>
        <row r="204">
          <cell r="A204">
            <v>1</v>
          </cell>
          <cell r="B204">
            <v>50</v>
          </cell>
          <cell r="G204">
            <v>60448.23</v>
          </cell>
        </row>
        <row r="205">
          <cell r="A205">
            <v>1</v>
          </cell>
          <cell r="B205">
            <v>60</v>
          </cell>
          <cell r="G205">
            <v>18114</v>
          </cell>
        </row>
        <row r="206">
          <cell r="A206">
            <v>1</v>
          </cell>
          <cell r="B206">
            <v>70</v>
          </cell>
          <cell r="G206">
            <v>58806.6</v>
          </cell>
        </row>
        <row r="207">
          <cell r="A207">
            <v>1</v>
          </cell>
          <cell r="B207">
            <v>180</v>
          </cell>
          <cell r="G207">
            <v>898805.72</v>
          </cell>
        </row>
        <row r="208">
          <cell r="A208">
            <v>1</v>
          </cell>
          <cell r="B208">
            <v>303</v>
          </cell>
          <cell r="G208">
            <v>49808.480000000003</v>
          </cell>
        </row>
        <row r="209">
          <cell r="A209">
            <v>2</v>
          </cell>
          <cell r="B209">
            <v>20</v>
          </cell>
          <cell r="G209">
            <v>16717.16</v>
          </cell>
        </row>
        <row r="210">
          <cell r="A210">
            <v>2</v>
          </cell>
          <cell r="B210">
            <v>30</v>
          </cell>
          <cell r="G210">
            <v>18514.52</v>
          </cell>
        </row>
        <row r="211">
          <cell r="A211">
            <v>2</v>
          </cell>
          <cell r="B211">
            <v>40</v>
          </cell>
          <cell r="G211">
            <v>29669.58</v>
          </cell>
        </row>
        <row r="212">
          <cell r="A212">
            <v>2</v>
          </cell>
          <cell r="B212">
            <v>50</v>
          </cell>
          <cell r="G212">
            <v>60448.23</v>
          </cell>
        </row>
        <row r="213">
          <cell r="A213">
            <v>2</v>
          </cell>
          <cell r="B213">
            <v>60</v>
          </cell>
          <cell r="G213">
            <v>18114</v>
          </cell>
        </row>
        <row r="214">
          <cell r="A214">
            <v>2</v>
          </cell>
          <cell r="B214">
            <v>70</v>
          </cell>
          <cell r="G214">
            <v>59259.26</v>
          </cell>
        </row>
        <row r="215">
          <cell r="A215">
            <v>2</v>
          </cell>
          <cell r="B215">
            <v>180</v>
          </cell>
          <cell r="G215">
            <v>902958.07999999996</v>
          </cell>
        </row>
        <row r="216">
          <cell r="A216">
            <v>2</v>
          </cell>
          <cell r="B216">
            <v>303</v>
          </cell>
          <cell r="G216">
            <v>49808.480000000003</v>
          </cell>
        </row>
        <row r="217">
          <cell r="A217">
            <v>3</v>
          </cell>
          <cell r="B217">
            <v>20</v>
          </cell>
          <cell r="G217">
            <v>16662.009999999998</v>
          </cell>
        </row>
        <row r="218">
          <cell r="A218">
            <v>3</v>
          </cell>
          <cell r="B218">
            <v>30</v>
          </cell>
          <cell r="G218">
            <v>18521.5</v>
          </cell>
        </row>
        <row r="219">
          <cell r="A219">
            <v>3</v>
          </cell>
          <cell r="B219">
            <v>40</v>
          </cell>
          <cell r="G219">
            <v>29667.1</v>
          </cell>
        </row>
        <row r="220">
          <cell r="A220">
            <v>3</v>
          </cell>
          <cell r="B220">
            <v>50</v>
          </cell>
          <cell r="G220">
            <v>60448.23</v>
          </cell>
        </row>
        <row r="221">
          <cell r="A221">
            <v>3</v>
          </cell>
          <cell r="B221">
            <v>60</v>
          </cell>
          <cell r="G221">
            <v>18114</v>
          </cell>
        </row>
        <row r="222">
          <cell r="A222">
            <v>3</v>
          </cell>
          <cell r="B222">
            <v>70</v>
          </cell>
          <cell r="G222">
            <v>59316.56</v>
          </cell>
        </row>
        <row r="223">
          <cell r="A223">
            <v>3</v>
          </cell>
          <cell r="B223">
            <v>180</v>
          </cell>
          <cell r="G223">
            <v>904779.28</v>
          </cell>
        </row>
        <row r="224">
          <cell r="A224">
            <v>3</v>
          </cell>
          <cell r="B224">
            <v>303</v>
          </cell>
          <cell r="G224">
            <v>49808.480000000003</v>
          </cell>
        </row>
        <row r="225">
          <cell r="A225">
            <v>4</v>
          </cell>
          <cell r="B225">
            <v>20</v>
          </cell>
          <cell r="G225">
            <v>16681.38</v>
          </cell>
        </row>
        <row r="226">
          <cell r="A226">
            <v>4</v>
          </cell>
          <cell r="B226">
            <v>30</v>
          </cell>
          <cell r="G226">
            <v>18512.18</v>
          </cell>
        </row>
        <row r="227">
          <cell r="A227">
            <v>4</v>
          </cell>
          <cell r="B227">
            <v>40</v>
          </cell>
          <cell r="G227">
            <v>43148.69</v>
          </cell>
        </row>
        <row r="228">
          <cell r="A228">
            <v>4</v>
          </cell>
          <cell r="B228">
            <v>50</v>
          </cell>
          <cell r="G228">
            <v>61175.79</v>
          </cell>
        </row>
        <row r="229">
          <cell r="A229">
            <v>4</v>
          </cell>
          <cell r="B229">
            <v>60</v>
          </cell>
          <cell r="G229">
            <v>18114.02</v>
          </cell>
        </row>
        <row r="230">
          <cell r="A230">
            <v>4</v>
          </cell>
          <cell r="B230">
            <v>70</v>
          </cell>
          <cell r="G230">
            <v>59209.42</v>
          </cell>
        </row>
        <row r="231">
          <cell r="A231">
            <v>4</v>
          </cell>
          <cell r="B231">
            <v>180</v>
          </cell>
          <cell r="G231">
            <v>923579.84</v>
          </cell>
        </row>
        <row r="232">
          <cell r="A232">
            <v>4</v>
          </cell>
          <cell r="B232">
            <v>303</v>
          </cell>
          <cell r="G232">
            <v>49808.480000000003</v>
          </cell>
        </row>
        <row r="233">
          <cell r="A233">
            <v>5</v>
          </cell>
          <cell r="B233">
            <v>20</v>
          </cell>
          <cell r="G233">
            <v>16681.38</v>
          </cell>
        </row>
        <row r="234">
          <cell r="A234">
            <v>5</v>
          </cell>
          <cell r="B234">
            <v>30</v>
          </cell>
          <cell r="G234">
            <v>18512.18</v>
          </cell>
        </row>
        <row r="235">
          <cell r="A235">
            <v>5</v>
          </cell>
          <cell r="B235">
            <v>40</v>
          </cell>
          <cell r="G235">
            <v>29654.61</v>
          </cell>
        </row>
        <row r="236">
          <cell r="A236">
            <v>5</v>
          </cell>
          <cell r="B236">
            <v>50</v>
          </cell>
          <cell r="G236">
            <v>61175.79</v>
          </cell>
        </row>
        <row r="237">
          <cell r="A237">
            <v>5</v>
          </cell>
          <cell r="B237">
            <v>60</v>
          </cell>
          <cell r="G237">
            <v>18114.02</v>
          </cell>
        </row>
        <row r="238">
          <cell r="A238">
            <v>5</v>
          </cell>
          <cell r="B238">
            <v>70</v>
          </cell>
          <cell r="G238">
            <v>59209.42</v>
          </cell>
        </row>
        <row r="239">
          <cell r="A239">
            <v>5</v>
          </cell>
          <cell r="B239">
            <v>180</v>
          </cell>
          <cell r="G239">
            <v>919674.56</v>
          </cell>
        </row>
        <row r="240">
          <cell r="A240">
            <v>5</v>
          </cell>
          <cell r="B240">
            <v>303</v>
          </cell>
          <cell r="G240">
            <v>49808.480000000003</v>
          </cell>
        </row>
        <row r="241">
          <cell r="A241">
            <v>1</v>
          </cell>
          <cell r="B241">
            <v>20</v>
          </cell>
          <cell r="G241">
            <v>1328879.06</v>
          </cell>
        </row>
        <row r="242">
          <cell r="A242">
            <v>1</v>
          </cell>
          <cell r="B242">
            <v>30</v>
          </cell>
          <cell r="G242">
            <v>760292.42</v>
          </cell>
        </row>
        <row r="243">
          <cell r="A243">
            <v>1</v>
          </cell>
          <cell r="B243">
            <v>40</v>
          </cell>
          <cell r="G243">
            <v>733457.48</v>
          </cell>
        </row>
        <row r="244">
          <cell r="A244">
            <v>1</v>
          </cell>
          <cell r="B244">
            <v>50</v>
          </cell>
          <cell r="G244">
            <v>1476490.75</v>
          </cell>
        </row>
        <row r="245">
          <cell r="A245">
            <v>1</v>
          </cell>
          <cell r="B245">
            <v>60</v>
          </cell>
          <cell r="G245">
            <v>818049.8</v>
          </cell>
        </row>
        <row r="246">
          <cell r="A246">
            <v>1</v>
          </cell>
          <cell r="B246">
            <v>70</v>
          </cell>
          <cell r="G246">
            <v>369202.87</v>
          </cell>
        </row>
        <row r="247">
          <cell r="A247">
            <v>1</v>
          </cell>
          <cell r="B247">
            <v>80</v>
          </cell>
          <cell r="G247">
            <v>4744747.01</v>
          </cell>
        </row>
        <row r="248">
          <cell r="A248">
            <v>1</v>
          </cell>
          <cell r="B248">
            <v>180</v>
          </cell>
          <cell r="G248">
            <v>31840.09</v>
          </cell>
        </row>
        <row r="249">
          <cell r="A249">
            <v>1</v>
          </cell>
          <cell r="B249">
            <v>212</v>
          </cell>
          <cell r="G249">
            <v>11958.43</v>
          </cell>
        </row>
        <row r="250">
          <cell r="A250">
            <v>1</v>
          </cell>
          <cell r="B250">
            <v>303</v>
          </cell>
          <cell r="G250">
            <v>6462.72</v>
          </cell>
        </row>
        <row r="251">
          <cell r="A251">
            <v>2</v>
          </cell>
          <cell r="B251">
            <v>20</v>
          </cell>
          <cell r="G251">
            <v>1315587.95</v>
          </cell>
        </row>
        <row r="252">
          <cell r="A252">
            <v>2</v>
          </cell>
          <cell r="B252">
            <v>30</v>
          </cell>
          <cell r="G252">
            <v>752005.98</v>
          </cell>
        </row>
        <row r="253">
          <cell r="A253">
            <v>2</v>
          </cell>
          <cell r="B253">
            <v>40</v>
          </cell>
          <cell r="G253">
            <v>704344.2</v>
          </cell>
        </row>
        <row r="254">
          <cell r="A254">
            <v>2</v>
          </cell>
          <cell r="B254">
            <v>50</v>
          </cell>
          <cell r="G254">
            <v>1464133.81</v>
          </cell>
        </row>
        <row r="255">
          <cell r="A255">
            <v>2</v>
          </cell>
          <cell r="B255">
            <v>60</v>
          </cell>
          <cell r="G255">
            <v>818935.74</v>
          </cell>
        </row>
        <row r="256">
          <cell r="A256">
            <v>2</v>
          </cell>
          <cell r="B256">
            <v>70</v>
          </cell>
          <cell r="G256">
            <v>683633.73</v>
          </cell>
        </row>
        <row r="257">
          <cell r="A257">
            <v>2</v>
          </cell>
          <cell r="B257">
            <v>80</v>
          </cell>
          <cell r="G257">
            <v>4755579.7499999898</v>
          </cell>
        </row>
        <row r="258">
          <cell r="A258">
            <v>2</v>
          </cell>
          <cell r="B258">
            <v>180</v>
          </cell>
          <cell r="G258">
            <v>31840.09</v>
          </cell>
        </row>
        <row r="259">
          <cell r="A259">
            <v>2</v>
          </cell>
          <cell r="B259">
            <v>212</v>
          </cell>
          <cell r="G259">
            <v>11991.98</v>
          </cell>
        </row>
        <row r="260">
          <cell r="A260">
            <v>2</v>
          </cell>
          <cell r="B260">
            <v>303</v>
          </cell>
          <cell r="G260">
            <v>6462.72</v>
          </cell>
        </row>
        <row r="261">
          <cell r="A261">
            <v>3</v>
          </cell>
          <cell r="B261">
            <v>20</v>
          </cell>
          <cell r="G261">
            <v>1328847.02</v>
          </cell>
        </row>
        <row r="262">
          <cell r="A262">
            <v>3</v>
          </cell>
          <cell r="B262">
            <v>30</v>
          </cell>
          <cell r="G262">
            <v>744879.44</v>
          </cell>
        </row>
        <row r="263">
          <cell r="A263">
            <v>3</v>
          </cell>
          <cell r="B263">
            <v>40</v>
          </cell>
          <cell r="G263">
            <v>713648.25</v>
          </cell>
        </row>
        <row r="264">
          <cell r="A264">
            <v>3</v>
          </cell>
          <cell r="B264">
            <v>50</v>
          </cell>
          <cell r="G264">
            <v>1494106.9</v>
          </cell>
        </row>
        <row r="265">
          <cell r="A265">
            <v>3</v>
          </cell>
          <cell r="B265">
            <v>60</v>
          </cell>
          <cell r="G265">
            <v>832571.13</v>
          </cell>
        </row>
        <row r="266">
          <cell r="A266">
            <v>3</v>
          </cell>
          <cell r="B266">
            <v>70</v>
          </cell>
          <cell r="G266">
            <v>533400.14</v>
          </cell>
        </row>
        <row r="267">
          <cell r="A267">
            <v>3</v>
          </cell>
          <cell r="B267">
            <v>80</v>
          </cell>
          <cell r="G267">
            <v>4774858.24</v>
          </cell>
        </row>
        <row r="268">
          <cell r="A268">
            <v>3</v>
          </cell>
          <cell r="B268">
            <v>180</v>
          </cell>
          <cell r="G268">
            <v>30617.41</v>
          </cell>
        </row>
        <row r="269">
          <cell r="A269">
            <v>3</v>
          </cell>
          <cell r="B269">
            <v>212</v>
          </cell>
          <cell r="G269">
            <v>11961.56</v>
          </cell>
        </row>
        <row r="270">
          <cell r="A270">
            <v>3</v>
          </cell>
          <cell r="B270">
            <v>303</v>
          </cell>
          <cell r="G270">
            <v>6462.72</v>
          </cell>
        </row>
        <row r="271">
          <cell r="A271">
            <v>4</v>
          </cell>
          <cell r="B271">
            <v>20</v>
          </cell>
          <cell r="G271">
            <v>1315716.02</v>
          </cell>
        </row>
        <row r="272">
          <cell r="A272">
            <v>4</v>
          </cell>
          <cell r="B272">
            <v>30</v>
          </cell>
          <cell r="G272">
            <v>731652.65</v>
          </cell>
        </row>
        <row r="273">
          <cell r="A273">
            <v>4</v>
          </cell>
          <cell r="B273">
            <v>40</v>
          </cell>
          <cell r="G273">
            <v>493044.12</v>
          </cell>
        </row>
        <row r="274">
          <cell r="A274">
            <v>4</v>
          </cell>
          <cell r="B274">
            <v>50</v>
          </cell>
          <cell r="G274">
            <v>1448741.62</v>
          </cell>
        </row>
        <row r="275">
          <cell r="A275">
            <v>4</v>
          </cell>
          <cell r="B275">
            <v>60</v>
          </cell>
          <cell r="G275">
            <v>778700.99</v>
          </cell>
        </row>
        <row r="276">
          <cell r="A276">
            <v>4</v>
          </cell>
          <cell r="B276">
            <v>70</v>
          </cell>
          <cell r="G276">
            <v>535386.69999999995</v>
          </cell>
        </row>
        <row r="277">
          <cell r="A277">
            <v>4</v>
          </cell>
          <cell r="B277">
            <v>80</v>
          </cell>
          <cell r="G277">
            <v>4820538.5</v>
          </cell>
        </row>
        <row r="278">
          <cell r="A278">
            <v>4</v>
          </cell>
          <cell r="B278">
            <v>180</v>
          </cell>
          <cell r="G278">
            <v>30917.33</v>
          </cell>
        </row>
        <row r="279">
          <cell r="A279">
            <v>4</v>
          </cell>
          <cell r="B279">
            <v>212</v>
          </cell>
          <cell r="G279">
            <v>11945.16</v>
          </cell>
        </row>
        <row r="280">
          <cell r="A280">
            <v>4</v>
          </cell>
          <cell r="B280">
            <v>303</v>
          </cell>
          <cell r="G280">
            <v>6462.72</v>
          </cell>
        </row>
        <row r="281">
          <cell r="A281">
            <v>5</v>
          </cell>
          <cell r="B281">
            <v>20</v>
          </cell>
          <cell r="G281">
            <v>1321419.3799999999</v>
          </cell>
        </row>
        <row r="282">
          <cell r="A282">
            <v>5</v>
          </cell>
          <cell r="B282">
            <v>30</v>
          </cell>
          <cell r="G282">
            <v>740612.77</v>
          </cell>
        </row>
        <row r="283">
          <cell r="A283">
            <v>5</v>
          </cell>
          <cell r="B283">
            <v>40</v>
          </cell>
          <cell r="G283">
            <v>700490.55</v>
          </cell>
        </row>
        <row r="284">
          <cell r="A284">
            <v>5</v>
          </cell>
          <cell r="B284">
            <v>50</v>
          </cell>
          <cell r="G284">
            <v>1455893.74</v>
          </cell>
        </row>
        <row r="285">
          <cell r="A285">
            <v>5</v>
          </cell>
          <cell r="B285">
            <v>60</v>
          </cell>
          <cell r="G285">
            <v>780506.43</v>
          </cell>
        </row>
        <row r="286">
          <cell r="A286">
            <v>5</v>
          </cell>
          <cell r="B286">
            <v>70</v>
          </cell>
          <cell r="G286">
            <v>535954.4</v>
          </cell>
        </row>
        <row r="287">
          <cell r="A287">
            <v>5</v>
          </cell>
          <cell r="B287">
            <v>80</v>
          </cell>
          <cell r="G287">
            <v>4838267.54</v>
          </cell>
        </row>
        <row r="288">
          <cell r="A288">
            <v>5</v>
          </cell>
          <cell r="B288">
            <v>180</v>
          </cell>
          <cell r="G288">
            <v>30935.52</v>
          </cell>
        </row>
        <row r="289">
          <cell r="A289">
            <v>5</v>
          </cell>
          <cell r="B289">
            <v>212</v>
          </cell>
          <cell r="G289">
            <v>11945.16</v>
          </cell>
        </row>
        <row r="290">
          <cell r="A290">
            <v>5</v>
          </cell>
          <cell r="B290">
            <v>303</v>
          </cell>
          <cell r="G290">
            <v>6462.72</v>
          </cell>
        </row>
        <row r="291">
          <cell r="A291">
            <v>1</v>
          </cell>
          <cell r="B291">
            <v>10</v>
          </cell>
          <cell r="G291">
            <v>1009214.23</v>
          </cell>
        </row>
        <row r="292">
          <cell r="A292">
            <v>1</v>
          </cell>
          <cell r="B292">
            <v>20</v>
          </cell>
          <cell r="G292">
            <v>128461.51</v>
          </cell>
        </row>
        <row r="293">
          <cell r="A293">
            <v>1</v>
          </cell>
          <cell r="B293">
            <v>30</v>
          </cell>
          <cell r="G293">
            <v>91271.73</v>
          </cell>
        </row>
        <row r="294">
          <cell r="A294">
            <v>1</v>
          </cell>
          <cell r="B294">
            <v>40</v>
          </cell>
          <cell r="G294">
            <v>70475.399999999994</v>
          </cell>
        </row>
        <row r="295">
          <cell r="A295">
            <v>1</v>
          </cell>
          <cell r="B295">
            <v>50</v>
          </cell>
          <cell r="G295">
            <v>74877.899999999994</v>
          </cell>
        </row>
        <row r="296">
          <cell r="A296">
            <v>1</v>
          </cell>
          <cell r="B296">
            <v>60</v>
          </cell>
          <cell r="G296">
            <v>101847.09</v>
          </cell>
        </row>
        <row r="297">
          <cell r="A297">
            <v>1</v>
          </cell>
          <cell r="B297">
            <v>70</v>
          </cell>
          <cell r="G297">
            <v>44540.22</v>
          </cell>
        </row>
        <row r="298">
          <cell r="A298">
            <v>1</v>
          </cell>
          <cell r="B298">
            <v>212</v>
          </cell>
          <cell r="G298">
            <v>23.01</v>
          </cell>
        </row>
        <row r="299">
          <cell r="A299">
            <v>1</v>
          </cell>
          <cell r="B299">
            <v>303</v>
          </cell>
          <cell r="G299">
            <v>23.92</v>
          </cell>
        </row>
        <row r="300">
          <cell r="A300">
            <v>2</v>
          </cell>
          <cell r="B300">
            <v>10</v>
          </cell>
          <cell r="G300">
            <v>1022767.54</v>
          </cell>
        </row>
        <row r="301">
          <cell r="A301">
            <v>2</v>
          </cell>
          <cell r="B301">
            <v>20</v>
          </cell>
          <cell r="G301">
            <v>129203.5</v>
          </cell>
        </row>
        <row r="302">
          <cell r="A302">
            <v>2</v>
          </cell>
          <cell r="B302">
            <v>30</v>
          </cell>
          <cell r="G302">
            <v>89083.4</v>
          </cell>
        </row>
        <row r="303">
          <cell r="A303">
            <v>2</v>
          </cell>
          <cell r="B303">
            <v>40</v>
          </cell>
          <cell r="G303">
            <v>72001.64</v>
          </cell>
        </row>
        <row r="304">
          <cell r="A304">
            <v>2</v>
          </cell>
          <cell r="B304">
            <v>50</v>
          </cell>
          <cell r="G304">
            <v>73445.23</v>
          </cell>
        </row>
        <row r="305">
          <cell r="A305">
            <v>2</v>
          </cell>
          <cell r="B305">
            <v>60</v>
          </cell>
          <cell r="G305">
            <v>103090.68</v>
          </cell>
        </row>
        <row r="306">
          <cell r="A306">
            <v>2</v>
          </cell>
          <cell r="B306">
            <v>70</v>
          </cell>
          <cell r="G306">
            <v>44677.72</v>
          </cell>
        </row>
        <row r="307">
          <cell r="A307">
            <v>2</v>
          </cell>
          <cell r="B307">
            <v>212</v>
          </cell>
          <cell r="G307">
            <v>23.01</v>
          </cell>
        </row>
        <row r="308">
          <cell r="A308">
            <v>2</v>
          </cell>
          <cell r="B308">
            <v>303</v>
          </cell>
          <cell r="G308">
            <v>23.92</v>
          </cell>
        </row>
        <row r="309">
          <cell r="A309">
            <v>3</v>
          </cell>
          <cell r="B309">
            <v>10</v>
          </cell>
          <cell r="G309">
            <v>1018277.23</v>
          </cell>
        </row>
        <row r="310">
          <cell r="A310">
            <v>3</v>
          </cell>
          <cell r="B310">
            <v>20</v>
          </cell>
          <cell r="G310">
            <v>129040.22</v>
          </cell>
        </row>
        <row r="311">
          <cell r="A311">
            <v>3</v>
          </cell>
          <cell r="B311">
            <v>30</v>
          </cell>
          <cell r="G311">
            <v>106351.7</v>
          </cell>
        </row>
        <row r="312">
          <cell r="A312">
            <v>3</v>
          </cell>
          <cell r="B312">
            <v>40</v>
          </cell>
          <cell r="G312">
            <v>71510.36</v>
          </cell>
        </row>
        <row r="313">
          <cell r="A313">
            <v>3</v>
          </cell>
          <cell r="B313">
            <v>50</v>
          </cell>
          <cell r="G313">
            <v>73426.52</v>
          </cell>
        </row>
        <row r="314">
          <cell r="A314">
            <v>3</v>
          </cell>
          <cell r="B314">
            <v>60</v>
          </cell>
          <cell r="G314">
            <v>107176.62</v>
          </cell>
        </row>
        <row r="315">
          <cell r="A315">
            <v>3</v>
          </cell>
          <cell r="B315">
            <v>70</v>
          </cell>
          <cell r="G315">
            <v>44671.33</v>
          </cell>
        </row>
        <row r="316">
          <cell r="A316">
            <v>3</v>
          </cell>
          <cell r="B316">
            <v>212</v>
          </cell>
          <cell r="G316">
            <v>23.01</v>
          </cell>
        </row>
        <row r="317">
          <cell r="A317">
            <v>3</v>
          </cell>
          <cell r="B317">
            <v>303</v>
          </cell>
          <cell r="G317">
            <v>23.92</v>
          </cell>
        </row>
        <row r="318">
          <cell r="A318">
            <v>4</v>
          </cell>
          <cell r="B318">
            <v>20</v>
          </cell>
          <cell r="G318">
            <v>477987.76</v>
          </cell>
        </row>
        <row r="319">
          <cell r="A319">
            <v>4</v>
          </cell>
          <cell r="B319">
            <v>30</v>
          </cell>
          <cell r="G319">
            <v>322740.57</v>
          </cell>
        </row>
        <row r="320">
          <cell r="A320">
            <v>4</v>
          </cell>
          <cell r="B320">
            <v>40</v>
          </cell>
          <cell r="G320">
            <v>366388.22</v>
          </cell>
        </row>
        <row r="321">
          <cell r="A321">
            <v>4</v>
          </cell>
          <cell r="B321">
            <v>50</v>
          </cell>
          <cell r="G321">
            <v>383534.95</v>
          </cell>
        </row>
        <row r="322">
          <cell r="A322">
            <v>4</v>
          </cell>
          <cell r="B322">
            <v>60</v>
          </cell>
          <cell r="G322">
            <v>280671.84000000003</v>
          </cell>
        </row>
        <row r="323">
          <cell r="A323">
            <v>4</v>
          </cell>
          <cell r="B323">
            <v>70</v>
          </cell>
          <cell r="G323">
            <v>322725.84999999998</v>
          </cell>
        </row>
        <row r="324">
          <cell r="A324">
            <v>4</v>
          </cell>
          <cell r="B324">
            <v>212</v>
          </cell>
          <cell r="G324">
            <v>23.01</v>
          </cell>
        </row>
        <row r="325">
          <cell r="A325">
            <v>4</v>
          </cell>
          <cell r="B325">
            <v>303</v>
          </cell>
          <cell r="G325">
            <v>23.92</v>
          </cell>
        </row>
        <row r="326">
          <cell r="A326">
            <v>5</v>
          </cell>
          <cell r="B326">
            <v>20</v>
          </cell>
          <cell r="G326">
            <v>478498.21</v>
          </cell>
        </row>
        <row r="327">
          <cell r="A327">
            <v>5</v>
          </cell>
          <cell r="B327">
            <v>30</v>
          </cell>
          <cell r="G327">
            <v>323648.68</v>
          </cell>
        </row>
        <row r="328">
          <cell r="A328">
            <v>5</v>
          </cell>
          <cell r="B328">
            <v>40</v>
          </cell>
          <cell r="G328">
            <v>252841.81</v>
          </cell>
        </row>
        <row r="329">
          <cell r="A329">
            <v>5</v>
          </cell>
          <cell r="B329">
            <v>50</v>
          </cell>
          <cell r="G329">
            <v>383140.52</v>
          </cell>
        </row>
        <row r="330">
          <cell r="A330">
            <v>5</v>
          </cell>
          <cell r="B330">
            <v>60</v>
          </cell>
          <cell r="G330">
            <v>280022.95</v>
          </cell>
        </row>
        <row r="331">
          <cell r="A331">
            <v>5</v>
          </cell>
          <cell r="B331">
            <v>70</v>
          </cell>
          <cell r="G331">
            <v>322328.09999999998</v>
          </cell>
        </row>
        <row r="332">
          <cell r="A332">
            <v>5</v>
          </cell>
          <cell r="B332">
            <v>212</v>
          </cell>
          <cell r="G332">
            <v>23.01</v>
          </cell>
        </row>
        <row r="333">
          <cell r="A333">
            <v>5</v>
          </cell>
          <cell r="B333">
            <v>303</v>
          </cell>
          <cell r="G333">
            <v>23.92</v>
          </cell>
        </row>
        <row r="334">
          <cell r="A334">
            <v>1</v>
          </cell>
          <cell r="B334">
            <v>221</v>
          </cell>
          <cell r="G334">
            <v>66.95</v>
          </cell>
        </row>
        <row r="335">
          <cell r="A335">
            <v>2</v>
          </cell>
          <cell r="B335">
            <v>221</v>
          </cell>
          <cell r="G335">
            <v>66.95</v>
          </cell>
        </row>
        <row r="336">
          <cell r="A336">
            <v>3</v>
          </cell>
          <cell r="B336">
            <v>221</v>
          </cell>
          <cell r="G336">
            <v>66.95</v>
          </cell>
        </row>
        <row r="337">
          <cell r="A337">
            <v>4</v>
          </cell>
          <cell r="B337">
            <v>221</v>
          </cell>
          <cell r="G337">
            <v>66.95</v>
          </cell>
        </row>
        <row r="338">
          <cell r="A338">
            <v>5</v>
          </cell>
          <cell r="B338">
            <v>221</v>
          </cell>
          <cell r="G338">
            <v>66.95</v>
          </cell>
        </row>
        <row r="339">
          <cell r="A339">
            <v>1</v>
          </cell>
          <cell r="B339">
            <v>40</v>
          </cell>
          <cell r="G339">
            <v>3.59</v>
          </cell>
        </row>
        <row r="340">
          <cell r="A340">
            <v>2</v>
          </cell>
          <cell r="B340">
            <v>40</v>
          </cell>
          <cell r="G340">
            <v>3.59</v>
          </cell>
        </row>
        <row r="341">
          <cell r="A341">
            <v>3</v>
          </cell>
          <cell r="B341">
            <v>40</v>
          </cell>
          <cell r="G341">
            <v>3.59</v>
          </cell>
        </row>
        <row r="342">
          <cell r="A342">
            <v>4</v>
          </cell>
          <cell r="B342">
            <v>40</v>
          </cell>
          <cell r="G342">
            <v>3.59</v>
          </cell>
        </row>
        <row r="343">
          <cell r="A343">
            <v>5</v>
          </cell>
          <cell r="B343">
            <v>40</v>
          </cell>
          <cell r="G343">
            <v>3.59</v>
          </cell>
        </row>
        <row r="344">
          <cell r="A344">
            <v>1</v>
          </cell>
          <cell r="B344">
            <v>10</v>
          </cell>
          <cell r="G344">
            <v>163477.16</v>
          </cell>
        </row>
        <row r="345">
          <cell r="A345">
            <v>1</v>
          </cell>
          <cell r="B345">
            <v>10</v>
          </cell>
          <cell r="G345">
            <v>57147.56</v>
          </cell>
        </row>
        <row r="346">
          <cell r="A346">
            <v>1</v>
          </cell>
          <cell r="B346">
            <v>20</v>
          </cell>
          <cell r="G346">
            <v>191.52</v>
          </cell>
        </row>
        <row r="347">
          <cell r="A347">
            <v>1</v>
          </cell>
          <cell r="B347">
            <v>20</v>
          </cell>
          <cell r="G347">
            <v>104747.45</v>
          </cell>
        </row>
        <row r="348">
          <cell r="A348">
            <v>1</v>
          </cell>
          <cell r="B348">
            <v>30</v>
          </cell>
          <cell r="G348">
            <v>2078.36</v>
          </cell>
        </row>
        <row r="349">
          <cell r="A349">
            <v>1</v>
          </cell>
          <cell r="B349">
            <v>30</v>
          </cell>
          <cell r="G349">
            <v>9103.9</v>
          </cell>
        </row>
        <row r="350">
          <cell r="A350">
            <v>1</v>
          </cell>
          <cell r="B350">
            <v>40</v>
          </cell>
          <cell r="G350">
            <v>958.32</v>
          </cell>
        </row>
        <row r="351">
          <cell r="A351">
            <v>1</v>
          </cell>
          <cell r="B351">
            <v>40</v>
          </cell>
          <cell r="G351">
            <v>5679.37</v>
          </cell>
        </row>
        <row r="352">
          <cell r="A352">
            <v>1</v>
          </cell>
          <cell r="B352">
            <v>50</v>
          </cell>
          <cell r="G352">
            <v>32444.46</v>
          </cell>
        </row>
        <row r="353">
          <cell r="A353">
            <v>1</v>
          </cell>
          <cell r="B353">
            <v>60</v>
          </cell>
          <cell r="G353">
            <v>66.81</v>
          </cell>
        </row>
        <row r="354">
          <cell r="A354">
            <v>1</v>
          </cell>
          <cell r="B354">
            <v>60</v>
          </cell>
          <cell r="G354">
            <v>3637.48</v>
          </cell>
        </row>
        <row r="355">
          <cell r="A355">
            <v>1</v>
          </cell>
          <cell r="B355">
            <v>70</v>
          </cell>
          <cell r="G355">
            <v>45444.81</v>
          </cell>
        </row>
        <row r="356">
          <cell r="A356">
            <v>1</v>
          </cell>
          <cell r="B356">
            <v>212</v>
          </cell>
          <cell r="G356">
            <v>9199.1</v>
          </cell>
        </row>
        <row r="357">
          <cell r="A357">
            <v>2</v>
          </cell>
          <cell r="B357">
            <v>10</v>
          </cell>
          <cell r="G357">
            <v>163477.16</v>
          </cell>
        </row>
        <row r="358">
          <cell r="A358">
            <v>2</v>
          </cell>
          <cell r="B358">
            <v>10</v>
          </cell>
          <cell r="G358">
            <v>57514.7</v>
          </cell>
        </row>
        <row r="359">
          <cell r="A359">
            <v>2</v>
          </cell>
          <cell r="B359">
            <v>20</v>
          </cell>
          <cell r="G359">
            <v>191.52</v>
          </cell>
        </row>
        <row r="360">
          <cell r="A360">
            <v>2</v>
          </cell>
          <cell r="B360">
            <v>20</v>
          </cell>
          <cell r="G360">
            <v>104779.2</v>
          </cell>
        </row>
        <row r="361">
          <cell r="A361">
            <v>2</v>
          </cell>
          <cell r="B361">
            <v>30</v>
          </cell>
          <cell r="G361">
            <v>2078.36</v>
          </cell>
        </row>
        <row r="362">
          <cell r="A362">
            <v>2</v>
          </cell>
          <cell r="B362">
            <v>30</v>
          </cell>
          <cell r="G362">
            <v>9102.4500000000007</v>
          </cell>
        </row>
        <row r="363">
          <cell r="A363">
            <v>2</v>
          </cell>
          <cell r="B363">
            <v>40</v>
          </cell>
          <cell r="G363">
            <v>958.32</v>
          </cell>
        </row>
        <row r="364">
          <cell r="A364">
            <v>2</v>
          </cell>
          <cell r="B364">
            <v>40</v>
          </cell>
          <cell r="G364">
            <v>5679.37</v>
          </cell>
        </row>
        <row r="365">
          <cell r="A365">
            <v>2</v>
          </cell>
          <cell r="B365">
            <v>50</v>
          </cell>
          <cell r="G365">
            <v>20277.27</v>
          </cell>
        </row>
        <row r="366">
          <cell r="A366">
            <v>2</v>
          </cell>
          <cell r="B366">
            <v>60</v>
          </cell>
          <cell r="G366">
            <v>22.2</v>
          </cell>
        </row>
        <row r="367">
          <cell r="A367">
            <v>2</v>
          </cell>
          <cell r="B367">
            <v>60</v>
          </cell>
          <cell r="G367">
            <v>3690.99</v>
          </cell>
        </row>
        <row r="368">
          <cell r="A368">
            <v>2</v>
          </cell>
          <cell r="B368">
            <v>70</v>
          </cell>
          <cell r="G368">
            <v>45450.86</v>
          </cell>
        </row>
        <row r="369">
          <cell r="A369">
            <v>2</v>
          </cell>
          <cell r="B369">
            <v>212</v>
          </cell>
          <cell r="G369">
            <v>9199.11</v>
          </cell>
        </row>
        <row r="370">
          <cell r="A370">
            <v>3</v>
          </cell>
          <cell r="B370">
            <v>10</v>
          </cell>
          <cell r="G370">
            <v>163477.16</v>
          </cell>
        </row>
        <row r="371">
          <cell r="A371">
            <v>3</v>
          </cell>
          <cell r="B371">
            <v>10</v>
          </cell>
          <cell r="G371">
            <v>57514.7</v>
          </cell>
        </row>
        <row r="372">
          <cell r="A372">
            <v>3</v>
          </cell>
          <cell r="B372">
            <v>20</v>
          </cell>
          <cell r="G372">
            <v>191.52</v>
          </cell>
        </row>
        <row r="373">
          <cell r="A373">
            <v>3</v>
          </cell>
          <cell r="B373">
            <v>20</v>
          </cell>
          <cell r="G373">
            <v>104779.2</v>
          </cell>
        </row>
        <row r="374">
          <cell r="A374">
            <v>3</v>
          </cell>
          <cell r="B374">
            <v>30</v>
          </cell>
          <cell r="G374">
            <v>2078.36</v>
          </cell>
        </row>
        <row r="375">
          <cell r="A375">
            <v>3</v>
          </cell>
          <cell r="B375">
            <v>30</v>
          </cell>
          <cell r="G375">
            <v>9102.4500000000007</v>
          </cell>
        </row>
        <row r="376">
          <cell r="A376">
            <v>3</v>
          </cell>
          <cell r="B376">
            <v>40</v>
          </cell>
          <cell r="G376">
            <v>958.32</v>
          </cell>
        </row>
        <row r="377">
          <cell r="A377">
            <v>3</v>
          </cell>
          <cell r="B377">
            <v>40</v>
          </cell>
          <cell r="G377">
            <v>5679.37</v>
          </cell>
        </row>
        <row r="378">
          <cell r="A378">
            <v>3</v>
          </cell>
          <cell r="B378">
            <v>50</v>
          </cell>
          <cell r="G378">
            <v>19805.580000000002</v>
          </cell>
        </row>
        <row r="379">
          <cell r="A379">
            <v>3</v>
          </cell>
          <cell r="B379">
            <v>60</v>
          </cell>
          <cell r="G379">
            <v>47.18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70</v>
          </cell>
          <cell r="G381">
            <v>45450.86</v>
          </cell>
        </row>
        <row r="382">
          <cell r="A382">
            <v>3</v>
          </cell>
          <cell r="B382">
            <v>212</v>
          </cell>
          <cell r="G382">
            <v>10279.450000000001</v>
          </cell>
        </row>
        <row r="383">
          <cell r="A383">
            <v>4</v>
          </cell>
          <cell r="B383">
            <v>212</v>
          </cell>
          <cell r="G383">
            <v>9559.2199999999993</v>
          </cell>
        </row>
        <row r="384">
          <cell r="A384">
            <v>5</v>
          </cell>
          <cell r="B384">
            <v>212</v>
          </cell>
          <cell r="G384">
            <v>9559.23</v>
          </cell>
        </row>
        <row r="385">
          <cell r="A385">
            <v>1</v>
          </cell>
          <cell r="B385">
            <v>20</v>
          </cell>
          <cell r="G385">
            <v>-4732.8599999999997</v>
          </cell>
        </row>
        <row r="386">
          <cell r="A386">
            <v>1</v>
          </cell>
          <cell r="B386">
            <v>50</v>
          </cell>
          <cell r="G386">
            <v>47207.23</v>
          </cell>
        </row>
        <row r="387">
          <cell r="A387">
            <v>1</v>
          </cell>
          <cell r="B387">
            <v>60</v>
          </cell>
          <cell r="G387">
            <v>31438.55</v>
          </cell>
        </row>
        <row r="388">
          <cell r="A388">
            <v>1</v>
          </cell>
          <cell r="B388">
            <v>80</v>
          </cell>
          <cell r="G388">
            <v>62127.74</v>
          </cell>
        </row>
        <row r="389">
          <cell r="A389">
            <v>1</v>
          </cell>
          <cell r="B389">
            <v>80</v>
          </cell>
          <cell r="G389">
            <v>532736.51</v>
          </cell>
        </row>
        <row r="390">
          <cell r="A390">
            <v>1</v>
          </cell>
          <cell r="B390">
            <v>80</v>
          </cell>
          <cell r="G390">
            <v>52991.02</v>
          </cell>
        </row>
        <row r="391">
          <cell r="A391">
            <v>1</v>
          </cell>
          <cell r="B391">
            <v>180</v>
          </cell>
          <cell r="G391">
            <v>152768.95000000001</v>
          </cell>
        </row>
        <row r="392">
          <cell r="A392">
            <v>1</v>
          </cell>
          <cell r="B392">
            <v>180</v>
          </cell>
          <cell r="G392">
            <v>-68641.850000000006</v>
          </cell>
        </row>
        <row r="393">
          <cell r="A393">
            <v>2</v>
          </cell>
          <cell r="B393">
            <v>20</v>
          </cell>
          <cell r="G393">
            <v>-4732.8599999999997</v>
          </cell>
        </row>
        <row r="394">
          <cell r="A394">
            <v>2</v>
          </cell>
          <cell r="B394">
            <v>50</v>
          </cell>
          <cell r="G394">
            <v>47207.23</v>
          </cell>
        </row>
        <row r="395">
          <cell r="A395">
            <v>2</v>
          </cell>
          <cell r="B395">
            <v>60</v>
          </cell>
          <cell r="G395">
            <v>31438.55</v>
          </cell>
        </row>
        <row r="396">
          <cell r="A396">
            <v>2</v>
          </cell>
          <cell r="B396">
            <v>80</v>
          </cell>
          <cell r="G396">
            <v>62127.73</v>
          </cell>
        </row>
        <row r="397">
          <cell r="A397">
            <v>2</v>
          </cell>
          <cell r="B397">
            <v>80</v>
          </cell>
          <cell r="G397">
            <v>532900.66</v>
          </cell>
        </row>
        <row r="398">
          <cell r="A398">
            <v>2</v>
          </cell>
          <cell r="B398">
            <v>80</v>
          </cell>
          <cell r="G398">
            <v>322036.27</v>
          </cell>
        </row>
        <row r="399">
          <cell r="A399">
            <v>2</v>
          </cell>
          <cell r="B399">
            <v>180</v>
          </cell>
          <cell r="G399">
            <v>131914.04999999999</v>
          </cell>
        </row>
        <row r="400">
          <cell r="A400">
            <v>2</v>
          </cell>
          <cell r="B400">
            <v>180</v>
          </cell>
          <cell r="G400">
            <v>-68641.850000000006</v>
          </cell>
        </row>
        <row r="401">
          <cell r="A401">
            <v>3</v>
          </cell>
          <cell r="B401">
            <v>20</v>
          </cell>
          <cell r="G401">
            <v>-4732.8599999999997</v>
          </cell>
        </row>
        <row r="402">
          <cell r="A402">
            <v>3</v>
          </cell>
          <cell r="B402">
            <v>50</v>
          </cell>
          <cell r="G402">
            <v>47207.23</v>
          </cell>
        </row>
        <row r="403">
          <cell r="A403">
            <v>3</v>
          </cell>
          <cell r="B403">
            <v>60</v>
          </cell>
          <cell r="G403">
            <v>31438.55</v>
          </cell>
        </row>
        <row r="404">
          <cell r="A404">
            <v>3</v>
          </cell>
          <cell r="B404">
            <v>80</v>
          </cell>
          <cell r="G404">
            <v>-124255.47</v>
          </cell>
        </row>
        <row r="405">
          <cell r="A405">
            <v>3</v>
          </cell>
          <cell r="B405">
            <v>80</v>
          </cell>
          <cell r="G405">
            <v>-1065637.17</v>
          </cell>
        </row>
        <row r="406">
          <cell r="A406">
            <v>3</v>
          </cell>
          <cell r="B406">
            <v>80</v>
          </cell>
          <cell r="G406">
            <v>-1132812.51</v>
          </cell>
        </row>
        <row r="407">
          <cell r="A407">
            <v>3</v>
          </cell>
          <cell r="B407">
            <v>80</v>
          </cell>
          <cell r="G407">
            <v>409563.2</v>
          </cell>
        </row>
        <row r="408">
          <cell r="A408">
            <v>3</v>
          </cell>
          <cell r="B408">
            <v>180</v>
          </cell>
          <cell r="G408">
            <v>-284683</v>
          </cell>
        </row>
        <row r="409">
          <cell r="A409">
            <v>3</v>
          </cell>
          <cell r="B409">
            <v>180</v>
          </cell>
          <cell r="G409">
            <v>-68641.850000000006</v>
          </cell>
        </row>
        <row r="410">
          <cell r="A410">
            <v>4</v>
          </cell>
          <cell r="B410">
            <v>20</v>
          </cell>
          <cell r="G410">
            <v>-4732.8599999999997</v>
          </cell>
        </row>
        <row r="411">
          <cell r="A411">
            <v>4</v>
          </cell>
          <cell r="B411">
            <v>50</v>
          </cell>
          <cell r="G411">
            <v>47207.23</v>
          </cell>
        </row>
        <row r="412">
          <cell r="A412">
            <v>4</v>
          </cell>
          <cell r="B412">
            <v>60</v>
          </cell>
          <cell r="G412">
            <v>31438.55</v>
          </cell>
        </row>
        <row r="413">
          <cell r="A413">
            <v>4</v>
          </cell>
          <cell r="B413">
            <v>80</v>
          </cell>
          <cell r="G413">
            <v>75520.83</v>
          </cell>
        </row>
        <row r="414">
          <cell r="A414">
            <v>4</v>
          </cell>
          <cell r="B414">
            <v>80</v>
          </cell>
          <cell r="G414">
            <v>515611.14</v>
          </cell>
        </row>
        <row r="415">
          <cell r="A415">
            <v>4</v>
          </cell>
          <cell r="B415">
            <v>180</v>
          </cell>
          <cell r="G415">
            <v>-453125</v>
          </cell>
        </row>
        <row r="416">
          <cell r="A416">
            <v>4</v>
          </cell>
          <cell r="B416">
            <v>180</v>
          </cell>
          <cell r="G416">
            <v>-68641.850000000006</v>
          </cell>
        </row>
        <row r="417">
          <cell r="A417">
            <v>5</v>
          </cell>
          <cell r="B417">
            <v>20</v>
          </cell>
          <cell r="G417">
            <v>-4732.8599999999997</v>
          </cell>
        </row>
        <row r="418">
          <cell r="A418">
            <v>5</v>
          </cell>
          <cell r="B418">
            <v>50</v>
          </cell>
          <cell r="G418">
            <v>47207.23</v>
          </cell>
        </row>
        <row r="419">
          <cell r="A419">
            <v>5</v>
          </cell>
          <cell r="B419">
            <v>60</v>
          </cell>
          <cell r="G419">
            <v>31438.55</v>
          </cell>
        </row>
        <row r="420">
          <cell r="A420">
            <v>5</v>
          </cell>
          <cell r="B420">
            <v>80</v>
          </cell>
          <cell r="G420">
            <v>620383.53</v>
          </cell>
        </row>
        <row r="421">
          <cell r="A421">
            <v>5</v>
          </cell>
          <cell r="B421">
            <v>80</v>
          </cell>
          <cell r="G421">
            <v>-264322.92</v>
          </cell>
        </row>
        <row r="422">
          <cell r="A422">
            <v>5</v>
          </cell>
          <cell r="B422">
            <v>80</v>
          </cell>
          <cell r="G422">
            <v>555066.78</v>
          </cell>
        </row>
        <row r="423">
          <cell r="A423">
            <v>5</v>
          </cell>
          <cell r="B423">
            <v>180</v>
          </cell>
          <cell r="G423">
            <v>-113281.25</v>
          </cell>
        </row>
        <row r="424">
          <cell r="A424">
            <v>5</v>
          </cell>
          <cell r="B424">
            <v>180</v>
          </cell>
          <cell r="G424">
            <v>-68641.850000000006</v>
          </cell>
        </row>
        <row r="425">
          <cell r="A425">
            <v>1</v>
          </cell>
          <cell r="B425">
            <v>212</v>
          </cell>
          <cell r="G425">
            <v>8394</v>
          </cell>
        </row>
        <row r="426">
          <cell r="A426">
            <v>1</v>
          </cell>
          <cell r="B426">
            <v>221</v>
          </cell>
          <cell r="G426">
            <v>7755</v>
          </cell>
        </row>
        <row r="427">
          <cell r="A427">
            <v>2</v>
          </cell>
          <cell r="B427">
            <v>212</v>
          </cell>
          <cell r="G427">
            <v>8394</v>
          </cell>
        </row>
        <row r="428">
          <cell r="A428">
            <v>2</v>
          </cell>
          <cell r="B428">
            <v>221</v>
          </cell>
          <cell r="G428">
            <v>7755</v>
          </cell>
        </row>
        <row r="429">
          <cell r="A429">
            <v>3</v>
          </cell>
          <cell r="B429">
            <v>212</v>
          </cell>
          <cell r="G429">
            <v>8394</v>
          </cell>
        </row>
        <row r="430">
          <cell r="A430">
            <v>3</v>
          </cell>
          <cell r="B430">
            <v>221</v>
          </cell>
          <cell r="G430">
            <v>7755</v>
          </cell>
        </row>
        <row r="431">
          <cell r="A431">
            <v>4</v>
          </cell>
          <cell r="B431">
            <v>212</v>
          </cell>
          <cell r="G431">
            <v>8394</v>
          </cell>
        </row>
        <row r="432">
          <cell r="A432">
            <v>4</v>
          </cell>
          <cell r="B432">
            <v>221</v>
          </cell>
          <cell r="G432">
            <v>7755</v>
          </cell>
        </row>
        <row r="433">
          <cell r="A433">
            <v>5</v>
          </cell>
          <cell r="B433">
            <v>212</v>
          </cell>
          <cell r="G433">
            <v>8394</v>
          </cell>
        </row>
        <row r="434">
          <cell r="A434">
            <v>5</v>
          </cell>
          <cell r="B434">
            <v>221</v>
          </cell>
          <cell r="G434">
            <v>7755</v>
          </cell>
        </row>
        <row r="435">
          <cell r="A435">
            <v>1</v>
          </cell>
          <cell r="B435">
            <v>80</v>
          </cell>
          <cell r="G435">
            <v>5724.59</v>
          </cell>
        </row>
        <row r="436">
          <cell r="A436">
            <v>1</v>
          </cell>
          <cell r="B436">
            <v>180</v>
          </cell>
          <cell r="G436">
            <v>13755.75</v>
          </cell>
        </row>
        <row r="437">
          <cell r="A437">
            <v>1</v>
          </cell>
          <cell r="B437">
            <v>212</v>
          </cell>
          <cell r="G437">
            <v>71983.679999999993</v>
          </cell>
        </row>
        <row r="438">
          <cell r="A438">
            <v>2</v>
          </cell>
          <cell r="B438">
            <v>80</v>
          </cell>
          <cell r="G438">
            <v>5724.59</v>
          </cell>
        </row>
        <row r="439">
          <cell r="A439">
            <v>2</v>
          </cell>
          <cell r="B439">
            <v>180</v>
          </cell>
          <cell r="G439">
            <v>13755.75</v>
          </cell>
        </row>
        <row r="440">
          <cell r="A440">
            <v>2</v>
          </cell>
          <cell r="B440">
            <v>212</v>
          </cell>
          <cell r="G440">
            <v>72969.84</v>
          </cell>
        </row>
        <row r="441">
          <cell r="A441">
            <v>3</v>
          </cell>
          <cell r="B441">
            <v>80</v>
          </cell>
          <cell r="G441">
            <v>5724.59</v>
          </cell>
        </row>
        <row r="442">
          <cell r="A442">
            <v>3</v>
          </cell>
          <cell r="B442">
            <v>180</v>
          </cell>
          <cell r="G442">
            <v>13755.75</v>
          </cell>
        </row>
        <row r="443">
          <cell r="A443">
            <v>3</v>
          </cell>
          <cell r="B443">
            <v>212</v>
          </cell>
          <cell r="G443">
            <v>73228.5</v>
          </cell>
        </row>
        <row r="444">
          <cell r="A444">
            <v>4</v>
          </cell>
          <cell r="B444">
            <v>80</v>
          </cell>
          <cell r="G444">
            <v>5724.59</v>
          </cell>
        </row>
        <row r="445">
          <cell r="A445">
            <v>4</v>
          </cell>
          <cell r="B445">
            <v>180</v>
          </cell>
          <cell r="G445">
            <v>13755.75</v>
          </cell>
        </row>
        <row r="446">
          <cell r="A446">
            <v>4</v>
          </cell>
          <cell r="B446">
            <v>212</v>
          </cell>
          <cell r="G446">
            <v>73246.240000000005</v>
          </cell>
        </row>
        <row r="447">
          <cell r="A447">
            <v>5</v>
          </cell>
          <cell r="B447">
            <v>80</v>
          </cell>
          <cell r="G447">
            <v>5724.59</v>
          </cell>
        </row>
        <row r="448">
          <cell r="A448">
            <v>5</v>
          </cell>
          <cell r="B448">
            <v>180</v>
          </cell>
          <cell r="G448">
            <v>13755.75</v>
          </cell>
        </row>
        <row r="449">
          <cell r="A449">
            <v>5</v>
          </cell>
          <cell r="B449">
            <v>212</v>
          </cell>
          <cell r="G449">
            <v>73247</v>
          </cell>
        </row>
        <row r="450">
          <cell r="A450">
            <v>1</v>
          </cell>
          <cell r="B450">
            <v>80</v>
          </cell>
          <cell r="G450">
            <v>1288.1500000000001</v>
          </cell>
        </row>
        <row r="451">
          <cell r="A451">
            <v>1</v>
          </cell>
          <cell r="B451">
            <v>180</v>
          </cell>
          <cell r="G451">
            <v>1133.5</v>
          </cell>
        </row>
        <row r="452">
          <cell r="A452">
            <v>2</v>
          </cell>
          <cell r="B452">
            <v>80</v>
          </cell>
          <cell r="G452">
            <v>1300.6500000000001</v>
          </cell>
        </row>
        <row r="453">
          <cell r="A453">
            <v>2</v>
          </cell>
          <cell r="B453">
            <v>180</v>
          </cell>
          <cell r="G453">
            <v>1133.5</v>
          </cell>
        </row>
        <row r="454">
          <cell r="A454">
            <v>2</v>
          </cell>
          <cell r="B454">
            <v>301</v>
          </cell>
          <cell r="G454">
            <v>81</v>
          </cell>
        </row>
        <row r="455">
          <cell r="A455">
            <v>3</v>
          </cell>
          <cell r="B455">
            <v>80</v>
          </cell>
          <cell r="G455">
            <v>1300.6500000000001</v>
          </cell>
        </row>
        <row r="456">
          <cell r="A456">
            <v>3</v>
          </cell>
          <cell r="B456">
            <v>180</v>
          </cell>
          <cell r="G456">
            <v>1133.9100000000001</v>
          </cell>
        </row>
        <row r="457">
          <cell r="A457">
            <v>3</v>
          </cell>
          <cell r="B457">
            <v>301</v>
          </cell>
          <cell r="G457">
            <v>81</v>
          </cell>
        </row>
        <row r="458">
          <cell r="A458">
            <v>4</v>
          </cell>
          <cell r="B458">
            <v>80</v>
          </cell>
          <cell r="G458">
            <v>1324.15</v>
          </cell>
        </row>
        <row r="459">
          <cell r="A459">
            <v>4</v>
          </cell>
          <cell r="B459">
            <v>180</v>
          </cell>
          <cell r="G459">
            <v>1133.9100000000001</v>
          </cell>
        </row>
        <row r="460">
          <cell r="A460">
            <v>4</v>
          </cell>
          <cell r="B460">
            <v>301</v>
          </cell>
          <cell r="G460">
            <v>81</v>
          </cell>
        </row>
        <row r="461">
          <cell r="A461">
            <v>5</v>
          </cell>
          <cell r="B461">
            <v>80</v>
          </cell>
          <cell r="G461">
            <v>1324.15</v>
          </cell>
        </row>
        <row r="462">
          <cell r="A462">
            <v>5</v>
          </cell>
          <cell r="B462">
            <v>180</v>
          </cell>
          <cell r="G462">
            <v>1133.9100000000001</v>
          </cell>
        </row>
        <row r="463">
          <cell r="A463">
            <v>5</v>
          </cell>
          <cell r="B463">
            <v>301</v>
          </cell>
          <cell r="G463">
            <v>81</v>
          </cell>
        </row>
        <row r="464">
          <cell r="A464">
            <v>1</v>
          </cell>
          <cell r="B464">
            <v>212</v>
          </cell>
          <cell r="G464">
            <v>16875</v>
          </cell>
        </row>
        <row r="465">
          <cell r="A465">
            <v>2</v>
          </cell>
          <cell r="B465">
            <v>212</v>
          </cell>
          <cell r="G465">
            <v>16875</v>
          </cell>
        </row>
        <row r="466">
          <cell r="A466">
            <v>3</v>
          </cell>
          <cell r="B466">
            <v>212</v>
          </cell>
          <cell r="G466">
            <v>16875</v>
          </cell>
        </row>
        <row r="467">
          <cell r="A467">
            <v>4</v>
          </cell>
          <cell r="B467">
            <v>212</v>
          </cell>
          <cell r="G467">
            <v>16875</v>
          </cell>
        </row>
        <row r="468">
          <cell r="A468">
            <v>5</v>
          </cell>
          <cell r="B468">
            <v>212</v>
          </cell>
          <cell r="G468">
            <v>452.83</v>
          </cell>
        </row>
        <row r="469">
          <cell r="A469">
            <v>1</v>
          </cell>
          <cell r="B469">
            <v>212</v>
          </cell>
          <cell r="G469">
            <v>48711.5</v>
          </cell>
        </row>
        <row r="470">
          <cell r="A470">
            <v>2</v>
          </cell>
          <cell r="B470">
            <v>212</v>
          </cell>
          <cell r="G470">
            <v>48711.5</v>
          </cell>
        </row>
        <row r="471">
          <cell r="A471">
            <v>3</v>
          </cell>
          <cell r="B471">
            <v>212</v>
          </cell>
          <cell r="G471">
            <v>48711.5</v>
          </cell>
        </row>
        <row r="472">
          <cell r="A472">
            <v>4</v>
          </cell>
          <cell r="B472">
            <v>212</v>
          </cell>
          <cell r="G472">
            <v>48711.5</v>
          </cell>
        </row>
        <row r="473">
          <cell r="A473">
            <v>5</v>
          </cell>
          <cell r="B473">
            <v>212</v>
          </cell>
          <cell r="G473">
            <v>48711.5</v>
          </cell>
        </row>
        <row r="474">
          <cell r="A474">
            <v>1</v>
          </cell>
          <cell r="B474">
            <v>221</v>
          </cell>
          <cell r="G474">
            <v>1578.13</v>
          </cell>
        </row>
        <row r="475">
          <cell r="A475">
            <v>2</v>
          </cell>
          <cell r="B475">
            <v>221</v>
          </cell>
          <cell r="G475">
            <v>1578.13</v>
          </cell>
        </row>
        <row r="476">
          <cell r="A476">
            <v>3</v>
          </cell>
          <cell r="B476">
            <v>221</v>
          </cell>
          <cell r="G476">
            <v>1578.13</v>
          </cell>
        </row>
        <row r="477">
          <cell r="A477">
            <v>4</v>
          </cell>
          <cell r="B477">
            <v>221</v>
          </cell>
          <cell r="G477">
            <v>1578.13</v>
          </cell>
        </row>
        <row r="478">
          <cell r="A478">
            <v>5</v>
          </cell>
          <cell r="B478">
            <v>221</v>
          </cell>
          <cell r="G478">
            <v>1578.13</v>
          </cell>
        </row>
        <row r="479">
          <cell r="A479">
            <v>2</v>
          </cell>
          <cell r="B479">
            <v>301</v>
          </cell>
          <cell r="G479">
            <v>166.68</v>
          </cell>
        </row>
        <row r="480">
          <cell r="A480">
            <v>3</v>
          </cell>
          <cell r="B480">
            <v>301</v>
          </cell>
          <cell r="G480">
            <v>166.68</v>
          </cell>
        </row>
        <row r="481">
          <cell r="A481">
            <v>1</v>
          </cell>
          <cell r="B481">
            <v>20</v>
          </cell>
          <cell r="G481">
            <v>14816.16</v>
          </cell>
        </row>
        <row r="482">
          <cell r="A482">
            <v>1</v>
          </cell>
          <cell r="B482">
            <v>30</v>
          </cell>
          <cell r="G482">
            <v>2010.59</v>
          </cell>
        </row>
        <row r="483">
          <cell r="A483">
            <v>1</v>
          </cell>
          <cell r="B483">
            <v>40</v>
          </cell>
          <cell r="G483">
            <v>3483.88</v>
          </cell>
        </row>
        <row r="484">
          <cell r="A484">
            <v>1</v>
          </cell>
          <cell r="B484">
            <v>50</v>
          </cell>
          <cell r="G484">
            <v>5110.24</v>
          </cell>
        </row>
        <row r="485">
          <cell r="A485">
            <v>1</v>
          </cell>
          <cell r="B485">
            <v>60</v>
          </cell>
          <cell r="G485">
            <v>3011.91</v>
          </cell>
        </row>
        <row r="486">
          <cell r="A486">
            <v>1</v>
          </cell>
          <cell r="B486">
            <v>70</v>
          </cell>
          <cell r="G486">
            <v>17527.84</v>
          </cell>
        </row>
        <row r="487">
          <cell r="A487">
            <v>2</v>
          </cell>
          <cell r="B487">
            <v>20</v>
          </cell>
          <cell r="G487">
            <v>14516.12</v>
          </cell>
        </row>
        <row r="488">
          <cell r="A488">
            <v>2</v>
          </cell>
          <cell r="B488">
            <v>30</v>
          </cell>
          <cell r="G488">
            <v>1357.44</v>
          </cell>
        </row>
        <row r="489">
          <cell r="A489">
            <v>2</v>
          </cell>
          <cell r="B489">
            <v>40</v>
          </cell>
          <cell r="G489">
            <v>3320.32</v>
          </cell>
        </row>
        <row r="490">
          <cell r="A490">
            <v>2</v>
          </cell>
          <cell r="B490">
            <v>50</v>
          </cell>
          <cell r="G490">
            <v>3625.29</v>
          </cell>
        </row>
        <row r="491">
          <cell r="A491">
            <v>2</v>
          </cell>
          <cell r="B491">
            <v>60</v>
          </cell>
          <cell r="G491">
            <v>2799.73</v>
          </cell>
        </row>
        <row r="492">
          <cell r="A492">
            <v>2</v>
          </cell>
          <cell r="B492">
            <v>70</v>
          </cell>
          <cell r="G492">
            <v>16695.68</v>
          </cell>
        </row>
        <row r="493">
          <cell r="A493">
            <v>3</v>
          </cell>
          <cell r="B493">
            <v>20</v>
          </cell>
          <cell r="G493">
            <v>14525.78</v>
          </cell>
        </row>
        <row r="494">
          <cell r="A494">
            <v>3</v>
          </cell>
          <cell r="B494">
            <v>30</v>
          </cell>
          <cell r="G494">
            <v>1321.61</v>
          </cell>
        </row>
        <row r="495">
          <cell r="A495">
            <v>3</v>
          </cell>
          <cell r="B495">
            <v>40</v>
          </cell>
          <cell r="G495">
            <v>6219.84</v>
          </cell>
        </row>
        <row r="496">
          <cell r="A496">
            <v>3</v>
          </cell>
          <cell r="B496">
            <v>50</v>
          </cell>
          <cell r="G496">
            <v>3589.86</v>
          </cell>
        </row>
        <row r="497">
          <cell r="A497">
            <v>3</v>
          </cell>
          <cell r="B497">
            <v>60</v>
          </cell>
          <cell r="G497">
            <v>2555.9499999999998</v>
          </cell>
        </row>
        <row r="498">
          <cell r="A498">
            <v>3</v>
          </cell>
          <cell r="B498">
            <v>70</v>
          </cell>
          <cell r="G498">
            <v>14940.81</v>
          </cell>
        </row>
        <row r="499">
          <cell r="A499">
            <v>4</v>
          </cell>
          <cell r="B499">
            <v>40</v>
          </cell>
          <cell r="G499">
            <v>2533.4499999999998</v>
          </cell>
        </row>
        <row r="500">
          <cell r="A500">
            <v>4</v>
          </cell>
          <cell r="B500">
            <v>50</v>
          </cell>
          <cell r="G500">
            <v>4574.57</v>
          </cell>
        </row>
        <row r="501">
          <cell r="A501">
            <v>4</v>
          </cell>
          <cell r="B501">
            <v>60</v>
          </cell>
          <cell r="G501">
            <v>2130.5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5</v>
          </cell>
          <cell r="B503">
            <v>40</v>
          </cell>
          <cell r="G503">
            <v>3077.08</v>
          </cell>
        </row>
        <row r="504">
          <cell r="A504">
            <v>5</v>
          </cell>
          <cell r="B504">
            <v>50</v>
          </cell>
          <cell r="G504">
            <v>4719.8900000000003</v>
          </cell>
        </row>
        <row r="505">
          <cell r="A505">
            <v>5</v>
          </cell>
          <cell r="B505">
            <v>60</v>
          </cell>
          <cell r="G505">
            <v>2121.13</v>
          </cell>
        </row>
        <row r="506">
          <cell r="A506">
            <v>5</v>
          </cell>
          <cell r="B506">
            <v>70</v>
          </cell>
          <cell r="G506">
            <v>16656.060000000001</v>
          </cell>
        </row>
        <row r="507">
          <cell r="A507">
            <v>1</v>
          </cell>
          <cell r="B507">
            <v>20</v>
          </cell>
          <cell r="G507">
            <v>-8343.3799999999992</v>
          </cell>
        </row>
        <row r="508">
          <cell r="A508">
            <v>1</v>
          </cell>
          <cell r="B508">
            <v>30</v>
          </cell>
          <cell r="G508">
            <v>-1736.68</v>
          </cell>
        </row>
        <row r="509">
          <cell r="A509">
            <v>1</v>
          </cell>
          <cell r="B509">
            <v>40</v>
          </cell>
          <cell r="G509">
            <v>-3483.88</v>
          </cell>
        </row>
        <row r="510">
          <cell r="A510">
            <v>1</v>
          </cell>
          <cell r="B510">
            <v>50</v>
          </cell>
          <cell r="G510">
            <v>-5110.24</v>
          </cell>
        </row>
        <row r="511">
          <cell r="A511">
            <v>1</v>
          </cell>
          <cell r="B511">
            <v>60</v>
          </cell>
          <cell r="G511">
            <v>-2955.12</v>
          </cell>
        </row>
        <row r="512">
          <cell r="A512">
            <v>1</v>
          </cell>
          <cell r="B512">
            <v>70</v>
          </cell>
          <cell r="G512">
            <v>-17527.84</v>
          </cell>
        </row>
        <row r="513">
          <cell r="A513">
            <v>2</v>
          </cell>
          <cell r="B513">
            <v>20</v>
          </cell>
          <cell r="G513">
            <v>-7973</v>
          </cell>
        </row>
        <row r="514">
          <cell r="A514">
            <v>2</v>
          </cell>
          <cell r="B514">
            <v>30</v>
          </cell>
          <cell r="G514">
            <v>-1054.8800000000001</v>
          </cell>
        </row>
        <row r="515">
          <cell r="A515">
            <v>2</v>
          </cell>
          <cell r="B515">
            <v>40</v>
          </cell>
          <cell r="G515">
            <v>-3320.32</v>
          </cell>
        </row>
        <row r="516">
          <cell r="A516">
            <v>2</v>
          </cell>
          <cell r="B516">
            <v>50</v>
          </cell>
          <cell r="G516">
            <v>-3625.29</v>
          </cell>
        </row>
        <row r="517">
          <cell r="A517">
            <v>2</v>
          </cell>
          <cell r="B517">
            <v>60</v>
          </cell>
          <cell r="G517">
            <v>-2706.7</v>
          </cell>
        </row>
        <row r="518">
          <cell r="A518">
            <v>2</v>
          </cell>
          <cell r="B518">
            <v>70</v>
          </cell>
          <cell r="G518">
            <v>-16695.68</v>
          </cell>
        </row>
        <row r="519">
          <cell r="A519">
            <v>3</v>
          </cell>
          <cell r="B519">
            <v>20</v>
          </cell>
          <cell r="G519">
            <v>-7997.94</v>
          </cell>
        </row>
        <row r="520">
          <cell r="A520">
            <v>3</v>
          </cell>
          <cell r="B520">
            <v>30</v>
          </cell>
          <cell r="G520">
            <v>-984.95</v>
          </cell>
        </row>
        <row r="521">
          <cell r="A521">
            <v>3</v>
          </cell>
          <cell r="B521">
            <v>40</v>
          </cell>
          <cell r="G521">
            <v>-6219.84</v>
          </cell>
        </row>
        <row r="522">
          <cell r="A522">
            <v>3</v>
          </cell>
          <cell r="B522">
            <v>50</v>
          </cell>
          <cell r="G522">
            <v>-3589.86</v>
          </cell>
        </row>
        <row r="523">
          <cell r="A523">
            <v>3</v>
          </cell>
          <cell r="B523">
            <v>60</v>
          </cell>
          <cell r="G523">
            <v>-2458.59</v>
          </cell>
        </row>
        <row r="524">
          <cell r="A524">
            <v>3</v>
          </cell>
          <cell r="B524">
            <v>70</v>
          </cell>
          <cell r="G524">
            <v>-14940.81</v>
          </cell>
        </row>
        <row r="525">
          <cell r="A525">
            <v>4</v>
          </cell>
          <cell r="B525">
            <v>40</v>
          </cell>
          <cell r="G525">
            <v>-2533.4499999999998</v>
          </cell>
        </row>
        <row r="526">
          <cell r="A526">
            <v>4</v>
          </cell>
          <cell r="B526">
            <v>50</v>
          </cell>
          <cell r="G526">
            <v>-4574.57</v>
          </cell>
        </row>
        <row r="527">
          <cell r="A527">
            <v>4</v>
          </cell>
          <cell r="B527">
            <v>60</v>
          </cell>
          <cell r="G527">
            <v>-1858.79</v>
          </cell>
        </row>
        <row r="528">
          <cell r="A528">
            <v>4</v>
          </cell>
          <cell r="B528">
            <v>70</v>
          </cell>
          <cell r="G528">
            <v>-16335.72</v>
          </cell>
        </row>
        <row r="529">
          <cell r="A529">
            <v>5</v>
          </cell>
          <cell r="B529">
            <v>40</v>
          </cell>
          <cell r="G529">
            <v>-3077.08</v>
          </cell>
        </row>
        <row r="530">
          <cell r="A530">
            <v>5</v>
          </cell>
          <cell r="B530">
            <v>50</v>
          </cell>
          <cell r="G530">
            <v>-4719.8900000000003</v>
          </cell>
        </row>
        <row r="531">
          <cell r="A531">
            <v>5</v>
          </cell>
          <cell r="B531">
            <v>60</v>
          </cell>
          <cell r="G531">
            <v>-1852.86</v>
          </cell>
        </row>
        <row r="532">
          <cell r="A532">
            <v>5</v>
          </cell>
          <cell r="B532">
            <v>70</v>
          </cell>
          <cell r="G532">
            <v>-16656.060000000001</v>
          </cell>
        </row>
        <row r="533">
          <cell r="A533">
            <v>1</v>
          </cell>
          <cell r="B533">
            <v>20</v>
          </cell>
          <cell r="G533">
            <v>20297.93</v>
          </cell>
        </row>
        <row r="534">
          <cell r="A534">
            <v>1</v>
          </cell>
          <cell r="B534">
            <v>30</v>
          </cell>
          <cell r="G534">
            <v>4144.99</v>
          </cell>
        </row>
        <row r="535">
          <cell r="A535">
            <v>1</v>
          </cell>
          <cell r="B535">
            <v>40</v>
          </cell>
          <cell r="G535">
            <v>2080.63</v>
          </cell>
        </row>
        <row r="536">
          <cell r="A536">
            <v>1</v>
          </cell>
          <cell r="B536">
            <v>50</v>
          </cell>
          <cell r="G536">
            <v>16579.77</v>
          </cell>
        </row>
        <row r="537">
          <cell r="A537">
            <v>1</v>
          </cell>
          <cell r="B537">
            <v>60</v>
          </cell>
          <cell r="G537">
            <v>7705.52</v>
          </cell>
        </row>
        <row r="538">
          <cell r="A538">
            <v>1</v>
          </cell>
          <cell r="B538">
            <v>70</v>
          </cell>
          <cell r="G538">
            <v>7805.63</v>
          </cell>
        </row>
        <row r="539">
          <cell r="A539">
            <v>2</v>
          </cell>
          <cell r="B539">
            <v>20</v>
          </cell>
          <cell r="G539">
            <v>20518.09</v>
          </cell>
        </row>
        <row r="540">
          <cell r="A540">
            <v>2</v>
          </cell>
          <cell r="B540">
            <v>30</v>
          </cell>
          <cell r="G540">
            <v>4126.1000000000004</v>
          </cell>
        </row>
        <row r="541">
          <cell r="A541">
            <v>2</v>
          </cell>
          <cell r="B541">
            <v>40</v>
          </cell>
          <cell r="G541">
            <v>2075.4</v>
          </cell>
        </row>
        <row r="542">
          <cell r="A542">
            <v>2</v>
          </cell>
          <cell r="B542">
            <v>50</v>
          </cell>
          <cell r="G542">
            <v>16701.580000000002</v>
          </cell>
        </row>
        <row r="543">
          <cell r="A543">
            <v>2</v>
          </cell>
          <cell r="B543">
            <v>60</v>
          </cell>
          <cell r="G543">
            <v>7828.88</v>
          </cell>
        </row>
        <row r="544">
          <cell r="A544">
            <v>2</v>
          </cell>
          <cell r="B544">
            <v>70</v>
          </cell>
          <cell r="G544">
            <v>7512.24</v>
          </cell>
        </row>
        <row r="545">
          <cell r="A545">
            <v>3</v>
          </cell>
          <cell r="B545">
            <v>20</v>
          </cell>
          <cell r="G545">
            <v>20518.09</v>
          </cell>
        </row>
        <row r="546">
          <cell r="A546">
            <v>3</v>
          </cell>
          <cell r="B546">
            <v>30</v>
          </cell>
          <cell r="G546">
            <v>4559.26</v>
          </cell>
        </row>
        <row r="547">
          <cell r="A547">
            <v>3</v>
          </cell>
          <cell r="B547">
            <v>40</v>
          </cell>
          <cell r="G547">
            <v>2325.15</v>
          </cell>
        </row>
        <row r="548">
          <cell r="A548">
            <v>3</v>
          </cell>
          <cell r="B548">
            <v>50</v>
          </cell>
          <cell r="G548">
            <v>16700.150000000001</v>
          </cell>
        </row>
        <row r="549">
          <cell r="A549">
            <v>3</v>
          </cell>
          <cell r="B549">
            <v>60</v>
          </cell>
          <cell r="G549">
            <v>7828.88</v>
          </cell>
        </row>
        <row r="550">
          <cell r="A550">
            <v>3</v>
          </cell>
          <cell r="B550">
            <v>70</v>
          </cell>
          <cell r="G550">
            <v>7461.7</v>
          </cell>
        </row>
        <row r="551">
          <cell r="A551">
            <v>4</v>
          </cell>
          <cell r="B551">
            <v>20</v>
          </cell>
          <cell r="G551">
            <v>25421.86</v>
          </cell>
        </row>
        <row r="552">
          <cell r="A552">
            <v>4</v>
          </cell>
          <cell r="B552">
            <v>30</v>
          </cell>
          <cell r="G552">
            <v>5552.59</v>
          </cell>
        </row>
        <row r="553">
          <cell r="A553">
            <v>4</v>
          </cell>
          <cell r="B553">
            <v>40</v>
          </cell>
          <cell r="G553">
            <v>1542.93</v>
          </cell>
        </row>
        <row r="554">
          <cell r="A554">
            <v>4</v>
          </cell>
          <cell r="B554">
            <v>50</v>
          </cell>
          <cell r="G554">
            <v>26173.3</v>
          </cell>
        </row>
        <row r="555">
          <cell r="A555">
            <v>4</v>
          </cell>
          <cell r="B555">
            <v>60</v>
          </cell>
          <cell r="G555">
            <v>12142</v>
          </cell>
        </row>
        <row r="556">
          <cell r="A556">
            <v>4</v>
          </cell>
          <cell r="B556">
            <v>70</v>
          </cell>
          <cell r="G556">
            <v>8779.93</v>
          </cell>
        </row>
        <row r="557">
          <cell r="A557">
            <v>5</v>
          </cell>
          <cell r="B557">
            <v>20</v>
          </cell>
          <cell r="G557">
            <v>25421.86</v>
          </cell>
        </row>
        <row r="558">
          <cell r="A558">
            <v>5</v>
          </cell>
          <cell r="B558">
            <v>30</v>
          </cell>
          <cell r="G558">
            <v>5552.59</v>
          </cell>
        </row>
        <row r="559">
          <cell r="A559">
            <v>5</v>
          </cell>
          <cell r="B559">
            <v>40</v>
          </cell>
          <cell r="G559">
            <v>1542.93</v>
          </cell>
        </row>
        <row r="560">
          <cell r="A560">
            <v>5</v>
          </cell>
          <cell r="B560">
            <v>50</v>
          </cell>
          <cell r="G560">
            <v>26156.7</v>
          </cell>
        </row>
        <row r="561">
          <cell r="A561">
            <v>5</v>
          </cell>
          <cell r="B561">
            <v>60</v>
          </cell>
          <cell r="G561">
            <v>12142</v>
          </cell>
        </row>
        <row r="562">
          <cell r="A562">
            <v>5</v>
          </cell>
          <cell r="B562">
            <v>70</v>
          </cell>
          <cell r="G562">
            <v>8779.93</v>
          </cell>
        </row>
        <row r="563">
          <cell r="A563">
            <v>1</v>
          </cell>
          <cell r="B563">
            <v>20</v>
          </cell>
          <cell r="G563">
            <v>-20297.93</v>
          </cell>
        </row>
        <row r="564">
          <cell r="A564">
            <v>1</v>
          </cell>
          <cell r="B564">
            <v>30</v>
          </cell>
          <cell r="G564">
            <v>-4092.86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%5e@%2038.9%25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%5e@%2038.9%25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hyperlink" Target="mailto:%5e@%2038.9%25" TargetMode="External"/><Relationship Id="rId1" Type="http://schemas.openxmlformats.org/officeDocument/2006/relationships/hyperlink" Target="mailto:%5e@%2038.9%25" TargetMode="Externa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%5e@%2038.9%25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4AE76-C56F-439C-8109-78A7FADA29AB}">
  <sheetPr>
    <tabColor theme="0" tint="-4.9989318521683403E-2"/>
  </sheetPr>
  <dimension ref="A1:D32"/>
  <sheetViews>
    <sheetView workbookViewId="0"/>
  </sheetViews>
  <sheetFormatPr defaultRowHeight="12.75"/>
  <cols>
    <col min="1" max="1" width="22.28515625" customWidth="1"/>
    <col min="2" max="2" width="13.28515625" style="28" customWidth="1"/>
    <col min="3" max="3" width="33.140625" customWidth="1"/>
    <col min="4" max="4" width="26.28515625" customWidth="1"/>
  </cols>
  <sheetData>
    <row r="1" spans="1:4">
      <c r="A1" s="525" t="s">
        <v>581</v>
      </c>
      <c r="B1" s="177" t="s">
        <v>106</v>
      </c>
      <c r="C1" s="525" t="s">
        <v>583</v>
      </c>
      <c r="D1" s="525" t="s">
        <v>693</v>
      </c>
    </row>
    <row r="2" spans="1:4">
      <c r="A2" s="897" t="s">
        <v>596</v>
      </c>
      <c r="B2" s="897" t="s">
        <v>743</v>
      </c>
      <c r="C2" s="897" t="s">
        <v>744</v>
      </c>
      <c r="D2" s="897" t="s">
        <v>802</v>
      </c>
    </row>
    <row r="3" spans="1:4">
      <c r="A3" s="897" t="s">
        <v>596</v>
      </c>
      <c r="B3" s="897" t="s">
        <v>745</v>
      </c>
      <c r="C3" s="897" t="s">
        <v>746</v>
      </c>
      <c r="D3" s="897" t="s">
        <v>802</v>
      </c>
    </row>
    <row r="4" spans="1:4">
      <c r="A4" s="897" t="s">
        <v>596</v>
      </c>
      <c r="B4" s="897" t="s">
        <v>749</v>
      </c>
      <c r="C4" s="897" t="s">
        <v>750</v>
      </c>
      <c r="D4" s="897" t="s">
        <v>802</v>
      </c>
    </row>
    <row r="5" spans="1:4">
      <c r="A5" s="897" t="s">
        <v>596</v>
      </c>
      <c r="B5" s="897" t="s">
        <v>751</v>
      </c>
      <c r="C5" s="897" t="s">
        <v>752</v>
      </c>
      <c r="D5" s="897" t="s">
        <v>802</v>
      </c>
    </row>
    <row r="6" spans="1:4">
      <c r="A6" s="897" t="s">
        <v>596</v>
      </c>
      <c r="B6" s="897" t="s">
        <v>755</v>
      </c>
      <c r="C6" s="897" t="s">
        <v>756</v>
      </c>
      <c r="D6" s="897" t="s">
        <v>802</v>
      </c>
    </row>
    <row r="7" spans="1:4">
      <c r="A7" s="897" t="s">
        <v>596</v>
      </c>
      <c r="B7" s="897" t="s">
        <v>757</v>
      </c>
      <c r="C7" s="897" t="s">
        <v>758</v>
      </c>
      <c r="D7" s="897" t="s">
        <v>802</v>
      </c>
    </row>
    <row r="8" spans="1:4">
      <c r="A8" s="897" t="s">
        <v>607</v>
      </c>
      <c r="B8" s="897" t="s">
        <v>111</v>
      </c>
      <c r="C8" s="897" t="s">
        <v>112</v>
      </c>
      <c r="D8" s="897" t="s">
        <v>802</v>
      </c>
    </row>
    <row r="9" spans="1:4">
      <c r="A9" s="897" t="s">
        <v>607</v>
      </c>
      <c r="B9" s="897" t="s">
        <v>113</v>
      </c>
      <c r="C9" s="897" t="s">
        <v>114</v>
      </c>
      <c r="D9" s="897" t="s">
        <v>802</v>
      </c>
    </row>
    <row r="10" spans="1:4">
      <c r="A10" s="897" t="s">
        <v>607</v>
      </c>
      <c r="B10" s="897" t="s">
        <v>115</v>
      </c>
      <c r="C10" s="897" t="s">
        <v>116</v>
      </c>
      <c r="D10" s="897" t="s">
        <v>802</v>
      </c>
    </row>
    <row r="11" spans="1:4">
      <c r="A11" s="897" t="s">
        <v>607</v>
      </c>
      <c r="B11" s="897" t="s">
        <v>117</v>
      </c>
      <c r="C11" s="897" t="s">
        <v>118</v>
      </c>
      <c r="D11" s="897" t="s">
        <v>802</v>
      </c>
    </row>
    <row r="12" spans="1:4">
      <c r="A12" s="897" t="s">
        <v>607</v>
      </c>
      <c r="B12" s="897" t="s">
        <v>119</v>
      </c>
      <c r="C12" s="897" t="s">
        <v>216</v>
      </c>
      <c r="D12" s="897" t="s">
        <v>802</v>
      </c>
    </row>
    <row r="13" spans="1:4">
      <c r="A13" s="897" t="s">
        <v>607</v>
      </c>
      <c r="B13" s="897" t="s">
        <v>288</v>
      </c>
      <c r="C13" s="897" t="s">
        <v>289</v>
      </c>
      <c r="D13" s="897" t="s">
        <v>802</v>
      </c>
    </row>
    <row r="14" spans="1:4">
      <c r="A14" s="897" t="s">
        <v>608</v>
      </c>
      <c r="B14" s="897" t="s">
        <v>747</v>
      </c>
      <c r="C14" s="897" t="s">
        <v>748</v>
      </c>
      <c r="D14" s="897" t="s">
        <v>802</v>
      </c>
    </row>
    <row r="15" spans="1:4">
      <c r="A15" s="897" t="s">
        <v>608</v>
      </c>
      <c r="B15" s="897" t="s">
        <v>753</v>
      </c>
      <c r="C15" s="897" t="s">
        <v>754</v>
      </c>
      <c r="D15" s="897" t="s">
        <v>802</v>
      </c>
    </row>
    <row r="16" spans="1:4">
      <c r="A16" s="897" t="s">
        <v>608</v>
      </c>
      <c r="B16" s="897" t="s">
        <v>759</v>
      </c>
      <c r="C16" s="897" t="s">
        <v>760</v>
      </c>
      <c r="D16" s="897" t="s">
        <v>802</v>
      </c>
    </row>
    <row r="17" spans="1:4">
      <c r="A17" s="897" t="s">
        <v>608</v>
      </c>
      <c r="B17" s="897" t="s">
        <v>127</v>
      </c>
      <c r="C17" s="897" t="s">
        <v>128</v>
      </c>
      <c r="D17" s="897" t="s">
        <v>802</v>
      </c>
    </row>
    <row r="18" spans="1:4">
      <c r="A18" s="897" t="s">
        <v>608</v>
      </c>
      <c r="B18" s="897" t="s">
        <v>129</v>
      </c>
      <c r="C18" s="897" t="s">
        <v>927</v>
      </c>
      <c r="D18" s="897" t="s">
        <v>802</v>
      </c>
    </row>
    <row r="31" spans="1:4">
      <c r="A31" s="582"/>
      <c r="C31" s="28"/>
    </row>
    <row r="32" spans="1:4">
      <c r="A32" s="582"/>
      <c r="C32" s="28"/>
    </row>
  </sheetData>
  <sortState xmlns:xlrd2="http://schemas.microsoft.com/office/spreadsheetml/2017/richdata2" ref="A2:D18">
    <sortCondition ref="A2:A18"/>
    <sortCondition ref="B2:B18"/>
  </sortState>
  <phoneticPr fontId="50" type="noConversion"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DD589-B34B-4217-8ED4-E4691DB0E84C}">
  <sheetPr>
    <pageSetUpPr fitToPage="1"/>
  </sheetPr>
  <dimension ref="B1:I35"/>
  <sheetViews>
    <sheetView view="pageBreakPreview" zoomScaleNormal="100" zoomScaleSheetLayoutView="100" workbookViewId="0"/>
  </sheetViews>
  <sheetFormatPr defaultRowHeight="15.75"/>
  <cols>
    <col min="1" max="1" width="9.140625" style="253"/>
    <col min="2" max="2" width="2.42578125" style="253" customWidth="1"/>
    <col min="3" max="3" width="12" style="253" customWidth="1"/>
    <col min="4" max="8" width="12.140625" style="253" customWidth="1"/>
    <col min="9" max="9" width="12" style="253" customWidth="1"/>
    <col min="10" max="10" width="2.140625" style="253" customWidth="1"/>
    <col min="11" max="257" width="9.140625" style="253"/>
    <col min="258" max="258" width="2.42578125" style="253" customWidth="1"/>
    <col min="259" max="265" width="12.140625" style="253" customWidth="1"/>
    <col min="266" max="266" width="2.140625" style="253" customWidth="1"/>
    <col min="267" max="513" width="9.140625" style="253"/>
    <col min="514" max="514" width="2.42578125" style="253" customWidth="1"/>
    <col min="515" max="521" width="12.140625" style="253" customWidth="1"/>
    <col min="522" max="522" width="2.140625" style="253" customWidth="1"/>
    <col min="523" max="769" width="9.140625" style="253"/>
    <col min="770" max="770" width="2.42578125" style="253" customWidth="1"/>
    <col min="771" max="777" width="12.140625" style="253" customWidth="1"/>
    <col min="778" max="778" width="2.140625" style="253" customWidth="1"/>
    <col min="779" max="1025" width="9.140625" style="253"/>
    <col min="1026" max="1026" width="2.42578125" style="253" customWidth="1"/>
    <col min="1027" max="1033" width="12.140625" style="253" customWidth="1"/>
    <col min="1034" max="1034" width="2.140625" style="253" customWidth="1"/>
    <col min="1035" max="1281" width="9.140625" style="253"/>
    <col min="1282" max="1282" width="2.42578125" style="253" customWidth="1"/>
    <col min="1283" max="1289" width="12.140625" style="253" customWidth="1"/>
    <col min="1290" max="1290" width="2.140625" style="253" customWidth="1"/>
    <col min="1291" max="1537" width="9.140625" style="253"/>
    <col min="1538" max="1538" width="2.42578125" style="253" customWidth="1"/>
    <col min="1539" max="1545" width="12.140625" style="253" customWidth="1"/>
    <col min="1546" max="1546" width="2.140625" style="253" customWidth="1"/>
    <col min="1547" max="1793" width="9.140625" style="253"/>
    <col min="1794" max="1794" width="2.42578125" style="253" customWidth="1"/>
    <col min="1795" max="1801" width="12.140625" style="253" customWidth="1"/>
    <col min="1802" max="1802" width="2.140625" style="253" customWidth="1"/>
    <col min="1803" max="2049" width="9.140625" style="253"/>
    <col min="2050" max="2050" width="2.42578125" style="253" customWidth="1"/>
    <col min="2051" max="2057" width="12.140625" style="253" customWidth="1"/>
    <col min="2058" max="2058" width="2.140625" style="253" customWidth="1"/>
    <col min="2059" max="2305" width="9.140625" style="253"/>
    <col min="2306" max="2306" width="2.42578125" style="253" customWidth="1"/>
    <col min="2307" max="2313" width="12.140625" style="253" customWidth="1"/>
    <col min="2314" max="2314" width="2.140625" style="253" customWidth="1"/>
    <col min="2315" max="2561" width="9.140625" style="253"/>
    <col min="2562" max="2562" width="2.42578125" style="253" customWidth="1"/>
    <col min="2563" max="2569" width="12.140625" style="253" customWidth="1"/>
    <col min="2570" max="2570" width="2.140625" style="253" customWidth="1"/>
    <col min="2571" max="2817" width="9.140625" style="253"/>
    <col min="2818" max="2818" width="2.42578125" style="253" customWidth="1"/>
    <col min="2819" max="2825" width="12.140625" style="253" customWidth="1"/>
    <col min="2826" max="2826" width="2.140625" style="253" customWidth="1"/>
    <col min="2827" max="3073" width="9.140625" style="253"/>
    <col min="3074" max="3074" width="2.42578125" style="253" customWidth="1"/>
    <col min="3075" max="3081" width="12.140625" style="253" customWidth="1"/>
    <col min="3082" max="3082" width="2.140625" style="253" customWidth="1"/>
    <col min="3083" max="3329" width="9.140625" style="253"/>
    <col min="3330" max="3330" width="2.42578125" style="253" customWidth="1"/>
    <col min="3331" max="3337" width="12.140625" style="253" customWidth="1"/>
    <col min="3338" max="3338" width="2.140625" style="253" customWidth="1"/>
    <col min="3339" max="3585" width="9.140625" style="253"/>
    <col min="3586" max="3586" width="2.42578125" style="253" customWidth="1"/>
    <col min="3587" max="3593" width="12.140625" style="253" customWidth="1"/>
    <col min="3594" max="3594" width="2.140625" style="253" customWidth="1"/>
    <col min="3595" max="3841" width="9.140625" style="253"/>
    <col min="3842" max="3842" width="2.42578125" style="253" customWidth="1"/>
    <col min="3843" max="3849" width="12.140625" style="253" customWidth="1"/>
    <col min="3850" max="3850" width="2.140625" style="253" customWidth="1"/>
    <col min="3851" max="4097" width="9.140625" style="253"/>
    <col min="4098" max="4098" width="2.42578125" style="253" customWidth="1"/>
    <col min="4099" max="4105" width="12.140625" style="253" customWidth="1"/>
    <col min="4106" max="4106" width="2.140625" style="253" customWidth="1"/>
    <col min="4107" max="4353" width="9.140625" style="253"/>
    <col min="4354" max="4354" width="2.42578125" style="253" customWidth="1"/>
    <col min="4355" max="4361" width="12.140625" style="253" customWidth="1"/>
    <col min="4362" max="4362" width="2.140625" style="253" customWidth="1"/>
    <col min="4363" max="4609" width="9.140625" style="253"/>
    <col min="4610" max="4610" width="2.42578125" style="253" customWidth="1"/>
    <col min="4611" max="4617" width="12.140625" style="253" customWidth="1"/>
    <col min="4618" max="4618" width="2.140625" style="253" customWidth="1"/>
    <col min="4619" max="4865" width="9.140625" style="253"/>
    <col min="4866" max="4866" width="2.42578125" style="253" customWidth="1"/>
    <col min="4867" max="4873" width="12.140625" style="253" customWidth="1"/>
    <col min="4874" max="4874" width="2.140625" style="253" customWidth="1"/>
    <col min="4875" max="5121" width="9.140625" style="253"/>
    <col min="5122" max="5122" width="2.42578125" style="253" customWidth="1"/>
    <col min="5123" max="5129" width="12.140625" style="253" customWidth="1"/>
    <col min="5130" max="5130" width="2.140625" style="253" customWidth="1"/>
    <col min="5131" max="5377" width="9.140625" style="253"/>
    <col min="5378" max="5378" width="2.42578125" style="253" customWidth="1"/>
    <col min="5379" max="5385" width="12.140625" style="253" customWidth="1"/>
    <col min="5386" max="5386" width="2.140625" style="253" customWidth="1"/>
    <col min="5387" max="5633" width="9.140625" style="253"/>
    <col min="5634" max="5634" width="2.42578125" style="253" customWidth="1"/>
    <col min="5635" max="5641" width="12.140625" style="253" customWidth="1"/>
    <col min="5642" max="5642" width="2.140625" style="253" customWidth="1"/>
    <col min="5643" max="5889" width="9.140625" style="253"/>
    <col min="5890" max="5890" width="2.42578125" style="253" customWidth="1"/>
    <col min="5891" max="5897" width="12.140625" style="253" customWidth="1"/>
    <col min="5898" max="5898" width="2.140625" style="253" customWidth="1"/>
    <col min="5899" max="6145" width="9.140625" style="253"/>
    <col min="6146" max="6146" width="2.42578125" style="253" customWidth="1"/>
    <col min="6147" max="6153" width="12.140625" style="253" customWidth="1"/>
    <col min="6154" max="6154" width="2.140625" style="253" customWidth="1"/>
    <col min="6155" max="6401" width="9.140625" style="253"/>
    <col min="6402" max="6402" width="2.42578125" style="253" customWidth="1"/>
    <col min="6403" max="6409" width="12.140625" style="253" customWidth="1"/>
    <col min="6410" max="6410" width="2.140625" style="253" customWidth="1"/>
    <col min="6411" max="6657" width="9.140625" style="253"/>
    <col min="6658" max="6658" width="2.42578125" style="253" customWidth="1"/>
    <col min="6659" max="6665" width="12.140625" style="253" customWidth="1"/>
    <col min="6666" max="6666" width="2.140625" style="253" customWidth="1"/>
    <col min="6667" max="6913" width="9.140625" style="253"/>
    <col min="6914" max="6914" width="2.42578125" style="253" customWidth="1"/>
    <col min="6915" max="6921" width="12.140625" style="253" customWidth="1"/>
    <col min="6922" max="6922" width="2.140625" style="253" customWidth="1"/>
    <col min="6923" max="7169" width="9.140625" style="253"/>
    <col min="7170" max="7170" width="2.42578125" style="253" customWidth="1"/>
    <col min="7171" max="7177" width="12.140625" style="253" customWidth="1"/>
    <col min="7178" max="7178" width="2.140625" style="253" customWidth="1"/>
    <col min="7179" max="7425" width="9.140625" style="253"/>
    <col min="7426" max="7426" width="2.42578125" style="253" customWidth="1"/>
    <col min="7427" max="7433" width="12.140625" style="253" customWidth="1"/>
    <col min="7434" max="7434" width="2.140625" style="253" customWidth="1"/>
    <col min="7435" max="7681" width="9.140625" style="253"/>
    <col min="7682" max="7682" width="2.42578125" style="253" customWidth="1"/>
    <col min="7683" max="7689" width="12.140625" style="253" customWidth="1"/>
    <col min="7690" max="7690" width="2.140625" style="253" customWidth="1"/>
    <col min="7691" max="7937" width="9.140625" style="253"/>
    <col min="7938" max="7938" width="2.42578125" style="253" customWidth="1"/>
    <col min="7939" max="7945" width="12.140625" style="253" customWidth="1"/>
    <col min="7946" max="7946" width="2.140625" style="253" customWidth="1"/>
    <col min="7947" max="8193" width="9.140625" style="253"/>
    <col min="8194" max="8194" width="2.42578125" style="253" customWidth="1"/>
    <col min="8195" max="8201" width="12.140625" style="253" customWidth="1"/>
    <col min="8202" max="8202" width="2.140625" style="253" customWidth="1"/>
    <col min="8203" max="8449" width="9.140625" style="253"/>
    <col min="8450" max="8450" width="2.42578125" style="253" customWidth="1"/>
    <col min="8451" max="8457" width="12.140625" style="253" customWidth="1"/>
    <col min="8458" max="8458" width="2.140625" style="253" customWidth="1"/>
    <col min="8459" max="8705" width="9.140625" style="253"/>
    <col min="8706" max="8706" width="2.42578125" style="253" customWidth="1"/>
    <col min="8707" max="8713" width="12.140625" style="253" customWidth="1"/>
    <col min="8714" max="8714" width="2.140625" style="253" customWidth="1"/>
    <col min="8715" max="8961" width="9.140625" style="253"/>
    <col min="8962" max="8962" width="2.42578125" style="253" customWidth="1"/>
    <col min="8963" max="8969" width="12.140625" style="253" customWidth="1"/>
    <col min="8970" max="8970" width="2.140625" style="253" customWidth="1"/>
    <col min="8971" max="9217" width="9.140625" style="253"/>
    <col min="9218" max="9218" width="2.42578125" style="253" customWidth="1"/>
    <col min="9219" max="9225" width="12.140625" style="253" customWidth="1"/>
    <col min="9226" max="9226" width="2.140625" style="253" customWidth="1"/>
    <col min="9227" max="9473" width="9.140625" style="253"/>
    <col min="9474" max="9474" width="2.42578125" style="253" customWidth="1"/>
    <col min="9475" max="9481" width="12.140625" style="253" customWidth="1"/>
    <col min="9482" max="9482" width="2.140625" style="253" customWidth="1"/>
    <col min="9483" max="9729" width="9.140625" style="253"/>
    <col min="9730" max="9730" width="2.42578125" style="253" customWidth="1"/>
    <col min="9731" max="9737" width="12.140625" style="253" customWidth="1"/>
    <col min="9738" max="9738" width="2.140625" style="253" customWidth="1"/>
    <col min="9739" max="9985" width="9.140625" style="253"/>
    <col min="9986" max="9986" width="2.42578125" style="253" customWidth="1"/>
    <col min="9987" max="9993" width="12.140625" style="253" customWidth="1"/>
    <col min="9994" max="9994" width="2.140625" style="253" customWidth="1"/>
    <col min="9995" max="10241" width="9.140625" style="253"/>
    <col min="10242" max="10242" width="2.42578125" style="253" customWidth="1"/>
    <col min="10243" max="10249" width="12.140625" style="253" customWidth="1"/>
    <col min="10250" max="10250" width="2.140625" style="253" customWidth="1"/>
    <col min="10251" max="10497" width="9.140625" style="253"/>
    <col min="10498" max="10498" width="2.42578125" style="253" customWidth="1"/>
    <col min="10499" max="10505" width="12.140625" style="253" customWidth="1"/>
    <col min="10506" max="10506" width="2.140625" style="253" customWidth="1"/>
    <col min="10507" max="10753" width="9.140625" style="253"/>
    <col min="10754" max="10754" width="2.42578125" style="253" customWidth="1"/>
    <col min="10755" max="10761" width="12.140625" style="253" customWidth="1"/>
    <col min="10762" max="10762" width="2.140625" style="253" customWidth="1"/>
    <col min="10763" max="11009" width="9.140625" style="253"/>
    <col min="11010" max="11010" width="2.42578125" style="253" customWidth="1"/>
    <col min="11011" max="11017" width="12.140625" style="253" customWidth="1"/>
    <col min="11018" max="11018" width="2.140625" style="253" customWidth="1"/>
    <col min="11019" max="11265" width="9.140625" style="253"/>
    <col min="11266" max="11266" width="2.42578125" style="253" customWidth="1"/>
    <col min="11267" max="11273" width="12.140625" style="253" customWidth="1"/>
    <col min="11274" max="11274" width="2.140625" style="253" customWidth="1"/>
    <col min="11275" max="11521" width="9.140625" style="253"/>
    <col min="11522" max="11522" width="2.42578125" style="253" customWidth="1"/>
    <col min="11523" max="11529" width="12.140625" style="253" customWidth="1"/>
    <col min="11530" max="11530" width="2.140625" style="253" customWidth="1"/>
    <col min="11531" max="11777" width="9.140625" style="253"/>
    <col min="11778" max="11778" width="2.42578125" style="253" customWidth="1"/>
    <col min="11779" max="11785" width="12.140625" style="253" customWidth="1"/>
    <col min="11786" max="11786" width="2.140625" style="253" customWidth="1"/>
    <col min="11787" max="12033" width="9.140625" style="253"/>
    <col min="12034" max="12034" width="2.42578125" style="253" customWidth="1"/>
    <col min="12035" max="12041" width="12.140625" style="253" customWidth="1"/>
    <col min="12042" max="12042" width="2.140625" style="253" customWidth="1"/>
    <col min="12043" max="12289" width="9.140625" style="253"/>
    <col min="12290" max="12290" width="2.42578125" style="253" customWidth="1"/>
    <col min="12291" max="12297" width="12.140625" style="253" customWidth="1"/>
    <col min="12298" max="12298" width="2.140625" style="253" customWidth="1"/>
    <col min="12299" max="12545" width="9.140625" style="253"/>
    <col min="12546" max="12546" width="2.42578125" style="253" customWidth="1"/>
    <col min="12547" max="12553" width="12.140625" style="253" customWidth="1"/>
    <col min="12554" max="12554" width="2.140625" style="253" customWidth="1"/>
    <col min="12555" max="12801" width="9.140625" style="253"/>
    <col min="12802" max="12802" width="2.42578125" style="253" customWidth="1"/>
    <col min="12803" max="12809" width="12.140625" style="253" customWidth="1"/>
    <col min="12810" max="12810" width="2.140625" style="253" customWidth="1"/>
    <col min="12811" max="13057" width="9.140625" style="253"/>
    <col min="13058" max="13058" width="2.42578125" style="253" customWidth="1"/>
    <col min="13059" max="13065" width="12.140625" style="253" customWidth="1"/>
    <col min="13066" max="13066" width="2.140625" style="253" customWidth="1"/>
    <col min="13067" max="13313" width="9.140625" style="253"/>
    <col min="13314" max="13314" width="2.42578125" style="253" customWidth="1"/>
    <col min="13315" max="13321" width="12.140625" style="253" customWidth="1"/>
    <col min="13322" max="13322" width="2.140625" style="253" customWidth="1"/>
    <col min="13323" max="13569" width="9.140625" style="253"/>
    <col min="13570" max="13570" width="2.42578125" style="253" customWidth="1"/>
    <col min="13571" max="13577" width="12.140625" style="253" customWidth="1"/>
    <col min="13578" max="13578" width="2.140625" style="253" customWidth="1"/>
    <col min="13579" max="13825" width="9.140625" style="253"/>
    <col min="13826" max="13826" width="2.42578125" style="253" customWidth="1"/>
    <col min="13827" max="13833" width="12.140625" style="253" customWidth="1"/>
    <col min="13834" max="13834" width="2.140625" style="253" customWidth="1"/>
    <col min="13835" max="14081" width="9.140625" style="253"/>
    <col min="14082" max="14082" width="2.42578125" style="253" customWidth="1"/>
    <col min="14083" max="14089" width="12.140625" style="253" customWidth="1"/>
    <col min="14090" max="14090" width="2.140625" style="253" customWidth="1"/>
    <col min="14091" max="14337" width="9.140625" style="253"/>
    <col min="14338" max="14338" width="2.42578125" style="253" customWidth="1"/>
    <col min="14339" max="14345" width="12.140625" style="253" customWidth="1"/>
    <col min="14346" max="14346" width="2.140625" style="253" customWidth="1"/>
    <col min="14347" max="14593" width="9.140625" style="253"/>
    <col min="14594" max="14594" width="2.42578125" style="253" customWidth="1"/>
    <col min="14595" max="14601" width="12.140625" style="253" customWidth="1"/>
    <col min="14602" max="14602" width="2.140625" style="253" customWidth="1"/>
    <col min="14603" max="14849" width="9.140625" style="253"/>
    <col min="14850" max="14850" width="2.42578125" style="253" customWidth="1"/>
    <col min="14851" max="14857" width="12.140625" style="253" customWidth="1"/>
    <col min="14858" max="14858" width="2.140625" style="253" customWidth="1"/>
    <col min="14859" max="15105" width="9.140625" style="253"/>
    <col min="15106" max="15106" width="2.42578125" style="253" customWidth="1"/>
    <col min="15107" max="15113" width="12.140625" style="253" customWidth="1"/>
    <col min="15114" max="15114" width="2.140625" style="253" customWidth="1"/>
    <col min="15115" max="15361" width="9.140625" style="253"/>
    <col min="15362" max="15362" width="2.42578125" style="253" customWidth="1"/>
    <col min="15363" max="15369" width="12.140625" style="253" customWidth="1"/>
    <col min="15370" max="15370" width="2.140625" style="253" customWidth="1"/>
    <col min="15371" max="15617" width="9.140625" style="253"/>
    <col min="15618" max="15618" width="2.42578125" style="253" customWidth="1"/>
    <col min="15619" max="15625" width="12.140625" style="253" customWidth="1"/>
    <col min="15626" max="15626" width="2.140625" style="253" customWidth="1"/>
    <col min="15627" max="15873" width="9.140625" style="253"/>
    <col min="15874" max="15874" width="2.42578125" style="253" customWidth="1"/>
    <col min="15875" max="15881" width="12.140625" style="253" customWidth="1"/>
    <col min="15882" max="15882" width="2.140625" style="253" customWidth="1"/>
    <col min="15883" max="16129" width="9.140625" style="253"/>
    <col min="16130" max="16130" width="2.42578125" style="253" customWidth="1"/>
    <col min="16131" max="16137" width="12.140625" style="253" customWidth="1"/>
    <col min="16138" max="16138" width="2.140625" style="253" customWidth="1"/>
    <col min="16139" max="16384" width="9.140625" style="253"/>
  </cols>
  <sheetData>
    <row r="1" spans="2:9" ht="18.75">
      <c r="B1" s="1203"/>
      <c r="C1" s="1203"/>
      <c r="D1" s="1203"/>
      <c r="E1" s="1203"/>
      <c r="F1" s="1203"/>
      <c r="G1" s="1203"/>
      <c r="H1" s="1203"/>
      <c r="I1" s="1203"/>
    </row>
    <row r="2" spans="2:9" ht="20.25" customHeight="1">
      <c r="B2" s="1203"/>
      <c r="C2" s="1203"/>
      <c r="D2" s="1203"/>
      <c r="E2" s="1203"/>
      <c r="F2" s="1203"/>
      <c r="G2" s="1203"/>
      <c r="H2" s="1203"/>
      <c r="I2" s="1203"/>
    </row>
    <row r="3" spans="2:9" ht="20.25" customHeight="1"/>
    <row r="4" spans="2:9" ht="20.25" customHeight="1"/>
    <row r="5" spans="2:9" ht="20.25" customHeight="1"/>
    <row r="6" spans="2:9" ht="20.25" customHeight="1"/>
    <row r="7" spans="2:9" ht="20.25" customHeight="1"/>
    <row r="8" spans="2:9" ht="20.25" customHeight="1">
      <c r="D8" s="1552" t="s">
        <v>669</v>
      </c>
      <c r="E8" s="1552"/>
      <c r="F8" s="1552"/>
      <c r="G8" s="1552"/>
      <c r="H8" s="1552"/>
      <c r="I8" s="1202"/>
    </row>
    <row r="9" spans="2:9" ht="20.25" customHeight="1">
      <c r="D9" s="1552" t="s">
        <v>961</v>
      </c>
      <c r="E9" s="1552"/>
      <c r="F9" s="1552"/>
      <c r="G9" s="1552"/>
      <c r="H9" s="1552"/>
      <c r="I9" s="1202"/>
    </row>
    <row r="10" spans="2:9" ht="20.25" customHeight="1">
      <c r="D10" s="1552"/>
      <c r="E10" s="1552"/>
      <c r="F10" s="1552"/>
      <c r="G10" s="1552"/>
      <c r="H10" s="1552"/>
      <c r="I10" s="1202"/>
    </row>
    <row r="11" spans="2:9" ht="20.25" customHeight="1">
      <c r="D11" s="1552"/>
      <c r="E11" s="1552"/>
      <c r="F11" s="1552"/>
      <c r="G11" s="1552"/>
      <c r="H11" s="1552"/>
    </row>
    <row r="12" spans="2:9" ht="20.25" customHeight="1">
      <c r="D12" s="1552" t="s">
        <v>1071</v>
      </c>
      <c r="E12" s="1552"/>
      <c r="F12" s="1552"/>
      <c r="G12" s="1552"/>
      <c r="H12" s="1552"/>
    </row>
    <row r="13" spans="2:9" ht="20.25" customHeight="1">
      <c r="D13" s="1552"/>
      <c r="E13" s="1552"/>
      <c r="F13" s="1552"/>
      <c r="G13" s="1552"/>
      <c r="H13" s="1552"/>
    </row>
    <row r="14" spans="2:9" ht="20.25" customHeight="1">
      <c r="D14" s="1552" t="s">
        <v>425</v>
      </c>
      <c r="E14" s="1552"/>
      <c r="F14" s="1552"/>
      <c r="G14" s="1552"/>
      <c r="H14" s="1552"/>
    </row>
    <row r="15" spans="2:9" ht="20.25" customHeight="1"/>
    <row r="16" spans="2:9" ht="20.25" customHeight="1">
      <c r="D16" s="1552" t="s">
        <v>362</v>
      </c>
      <c r="E16" s="1552"/>
      <c r="F16" s="1552"/>
      <c r="G16" s="1552"/>
      <c r="H16" s="1552"/>
      <c r="I16" s="1202"/>
    </row>
    <row r="17" spans="2:9" ht="20.25" customHeight="1">
      <c r="D17" s="1552" t="s">
        <v>363</v>
      </c>
      <c r="E17" s="1552"/>
      <c r="F17" s="1552" t="s">
        <v>362</v>
      </c>
      <c r="G17" s="1552"/>
      <c r="H17" s="1552"/>
    </row>
    <row r="18" spans="2:9" ht="20.25" customHeight="1">
      <c r="D18" s="1552" t="s">
        <v>1076</v>
      </c>
      <c r="E18" s="1552"/>
      <c r="F18" s="1552"/>
      <c r="G18" s="1552"/>
      <c r="H18" s="1552"/>
    </row>
    <row r="19" spans="2:9" ht="20.25" customHeight="1">
      <c r="D19" s="1552"/>
      <c r="E19" s="1552"/>
      <c r="F19" s="1552" t="s">
        <v>363</v>
      </c>
      <c r="G19" s="1552"/>
      <c r="H19" s="1552"/>
    </row>
    <row r="20" spans="2:9" ht="20.25" customHeight="1">
      <c r="D20" s="1552" t="s">
        <v>1073</v>
      </c>
      <c r="E20" s="1552"/>
      <c r="F20" s="1552" t="s">
        <v>364</v>
      </c>
      <c r="G20" s="1552"/>
      <c r="H20" s="1552"/>
    </row>
    <row r="21" spans="2:9" ht="20.25" customHeight="1">
      <c r="D21" s="1552" t="s">
        <v>1077</v>
      </c>
      <c r="E21" s="1552"/>
      <c r="F21" s="1552" t="s">
        <v>1074</v>
      </c>
      <c r="G21" s="1552"/>
      <c r="H21" s="1552"/>
    </row>
    <row r="22" spans="2:9" ht="20.25" customHeight="1">
      <c r="D22" s="1552" t="s">
        <v>1078</v>
      </c>
      <c r="E22" s="1552"/>
      <c r="F22" s="1552"/>
      <c r="G22" s="1552"/>
      <c r="H22" s="1552"/>
    </row>
    <row r="23" spans="2:9" ht="20.25" customHeight="1">
      <c r="D23" s="1361"/>
      <c r="E23" s="1361"/>
      <c r="F23" s="1361"/>
      <c r="G23" s="1361"/>
      <c r="H23" s="1361"/>
    </row>
    <row r="24" spans="2:9" ht="20.25" customHeight="1">
      <c r="D24" s="1361"/>
      <c r="E24" s="1361"/>
      <c r="F24" s="1361"/>
      <c r="G24" s="1361"/>
      <c r="H24" s="1361"/>
    </row>
    <row r="25" spans="2:9" ht="20.25" customHeight="1"/>
    <row r="26" spans="2:9" ht="20.25" customHeight="1"/>
    <row r="27" spans="2:9" ht="20.25" customHeight="1"/>
    <row r="28" spans="2:9" ht="20.25" customHeight="1"/>
    <row r="29" spans="2:9" ht="20.25" customHeight="1"/>
    <row r="31" spans="2:9" ht="18.75">
      <c r="B31" s="1203"/>
      <c r="C31" s="1203"/>
      <c r="D31" s="1203"/>
      <c r="E31" s="1203"/>
      <c r="F31" s="1203"/>
      <c r="G31" s="1203"/>
      <c r="H31" s="1203"/>
      <c r="I31" s="1203"/>
    </row>
    <row r="32" spans="2:9" ht="18.75">
      <c r="B32" s="1203"/>
      <c r="C32" s="1203"/>
      <c r="D32" s="1203"/>
      <c r="E32" s="1203"/>
      <c r="F32" s="1203"/>
      <c r="G32" s="1203"/>
      <c r="H32" s="1203"/>
      <c r="I32" s="1203"/>
    </row>
    <row r="33" spans="2:9" ht="18.75">
      <c r="B33" s="1203"/>
      <c r="C33" s="1203"/>
      <c r="D33" s="1203"/>
      <c r="E33" s="1203"/>
      <c r="F33" s="1203"/>
      <c r="G33" s="1203"/>
      <c r="H33" s="1203"/>
      <c r="I33" s="1203"/>
    </row>
    <row r="34" spans="2:9" ht="18.75">
      <c r="B34" s="1203"/>
      <c r="C34" s="1203"/>
      <c r="D34" s="1203"/>
      <c r="E34" s="1203"/>
      <c r="F34" s="1203"/>
      <c r="G34" s="1203"/>
      <c r="H34" s="1203"/>
      <c r="I34" s="1203"/>
    </row>
    <row r="35" spans="2:9" ht="18.75">
      <c r="B35" s="1203"/>
      <c r="C35" s="1203"/>
      <c r="D35" s="1203"/>
      <c r="E35" s="1203"/>
      <c r="F35" s="1203"/>
      <c r="G35" s="1203"/>
      <c r="H35" s="1203"/>
      <c r="I35" s="1203"/>
    </row>
  </sheetData>
  <mergeCells count="14">
    <mergeCell ref="D21:H21"/>
    <mergeCell ref="D22:H22"/>
    <mergeCell ref="D14:H14"/>
    <mergeCell ref="D16:H16"/>
    <mergeCell ref="D17:H17"/>
    <mergeCell ref="D18:H18"/>
    <mergeCell ref="D19:H19"/>
    <mergeCell ref="D20:H20"/>
    <mergeCell ref="D13:H13"/>
    <mergeCell ref="D8:H8"/>
    <mergeCell ref="D9:H9"/>
    <mergeCell ref="D10:H10"/>
    <mergeCell ref="D11:H11"/>
    <mergeCell ref="D12:H12"/>
  </mergeCells>
  <printOptions horizontalCentered="1"/>
  <pageMargins left="0.5" right="0.5" top="0.75" bottom="0.75" header="0.3" footer="0.3"/>
  <pageSetup orientation="portrait" r:id="rId1"/>
  <headerFooter scaleWithDoc="0"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88E3A-69F7-404C-84EA-5DA849F73BA0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500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'202006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2020'!I10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6" si="4">A13+1</f>
        <v>2</v>
      </c>
      <c r="B14" s="4"/>
      <c r="C14" s="4" t="s">
        <v>535</v>
      </c>
      <c r="D14" s="6">
        <v>367</v>
      </c>
      <c r="F14" s="274">
        <f>'202006 Bk Depr'!R14</f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'202006 Bk Depr'!R15</f>
        <v>4586.7999999999302</v>
      </c>
      <c r="H15" s="1">
        <f>1.62%/12</f>
        <v>1.3500000000000003E-3</v>
      </c>
      <c r="J15" s="278">
        <f t="shared" si="0"/>
        <v>6.1921799999999072</v>
      </c>
      <c r="L15" s="279">
        <f>'2020 Capital Budget'!L29</f>
        <v>753.52000000001863</v>
      </c>
      <c r="N15" s="278">
        <f t="shared" si="1"/>
        <v>0.50862600000001268</v>
      </c>
      <c r="P15" s="278">
        <f t="shared" si="2"/>
        <v>6.7008059999999201</v>
      </c>
      <c r="R15" s="278">
        <f t="shared" si="3"/>
        <v>5340.3199999999488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'202006 Bk Depr'!R16</f>
        <v>9609577.1300000027</v>
      </c>
      <c r="H16" s="1">
        <f t="shared" ref="H16:H18" si="5">3.24%/12</f>
        <v>2.7000000000000006E-3</v>
      </c>
      <c r="J16" s="278">
        <f t="shared" si="0"/>
        <v>25945.858251000012</v>
      </c>
      <c r="L16" s="279">
        <f>'Cap&amp;OpEx 2020'!I12-L15-'2020 Capital Budget'!L86</f>
        <v>189746.25</v>
      </c>
      <c r="N16" s="278">
        <f t="shared" si="1"/>
        <v>256.15743750000007</v>
      </c>
      <c r="P16" s="278">
        <f t="shared" si="2"/>
        <v>26202.015688500014</v>
      </c>
      <c r="R16" s="278">
        <f t="shared" si="3"/>
        <v>9799323.3800000027</v>
      </c>
    </row>
    <row r="17" spans="1:18">
      <c r="A17" s="6">
        <f t="shared" ref="A17:A19" si="6">A16+1</f>
        <v>5</v>
      </c>
      <c r="B17" s="4"/>
      <c r="C17" s="9" t="s">
        <v>63</v>
      </c>
      <c r="D17" s="6">
        <v>380</v>
      </c>
      <c r="F17" s="274">
        <f>'202006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2020'!I13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6"/>
        <v>6</v>
      </c>
      <c r="B18" s="4"/>
      <c r="C18" s="4" t="s">
        <v>160</v>
      </c>
      <c r="D18" s="6">
        <v>380</v>
      </c>
      <c r="F18" s="275">
        <f>'202006 Bk Depr'!R18</f>
        <v>40240969.81000001</v>
      </c>
      <c r="H18" s="1">
        <f t="shared" si="5"/>
        <v>2.7000000000000006E-3</v>
      </c>
      <c r="J18" s="278">
        <f t="shared" si="0"/>
        <v>108650.61848700004</v>
      </c>
      <c r="L18" s="280">
        <f>'Cap&amp;OpEx 2020'!I14-'2020 Capital Budget'!L89</f>
        <v>1138546.9899999984</v>
      </c>
      <c r="N18" s="278">
        <f t="shared" si="1"/>
        <v>1537.0384364999982</v>
      </c>
      <c r="P18" s="278">
        <f t="shared" si="2"/>
        <v>110187.65692350004</v>
      </c>
      <c r="R18" s="278">
        <f t="shared" si="3"/>
        <v>41379516.800000012</v>
      </c>
    </row>
    <row r="19" spans="1:18">
      <c r="A19" s="6">
        <f t="shared" si="6"/>
        <v>7</v>
      </c>
      <c r="B19" s="4"/>
      <c r="C19" s="4" t="s">
        <v>21</v>
      </c>
      <c r="F19" s="276">
        <f>SUM(F13:F18)</f>
        <v>64534027.570000008</v>
      </c>
      <c r="J19" s="276">
        <f>SUM(J13:J18)</f>
        <v>164162.63891250006</v>
      </c>
      <c r="L19" s="276">
        <f>SUM(L13:L18)</f>
        <v>1329046.7599999984</v>
      </c>
      <c r="N19" s="276">
        <f>SUM(N13:N18)</f>
        <v>1793.7044999999982</v>
      </c>
      <c r="P19" s="276">
        <f>SUM(P13:P18)</f>
        <v>165956.34341250005</v>
      </c>
      <c r="R19" s="276">
        <f>SUM(R13:R18)</f>
        <v>65863074.330000013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'202006 Bk Depr'!R22</f>
        <v>0</v>
      </c>
      <c r="H22" s="1">
        <f>1.62%/12</f>
        <v>1.3500000000000003E-3</v>
      </c>
      <c r="J22" s="278">
        <f t="shared" ref="J22:J27" si="7">F22*H22</f>
        <v>0</v>
      </c>
      <c r="L22" s="279">
        <f>'Cap&amp;OpEx 2020'!I17</f>
        <v>0</v>
      </c>
      <c r="N22" s="486">
        <f>H22*L22*0.5</f>
        <v>0</v>
      </c>
      <c r="P22" s="278">
        <f t="shared" ref="P22:P27" si="8">J22+N22</f>
        <v>0</v>
      </c>
      <c r="R22" s="278">
        <f t="shared" ref="R22:R27" si="9">L22+F22</f>
        <v>0</v>
      </c>
    </row>
    <row r="23" spans="1:18">
      <c r="A23" s="389">
        <f t="shared" ref="A23:A28" si="10">A22+1</f>
        <v>9</v>
      </c>
      <c r="B23" s="390"/>
      <c r="C23" s="390" t="s">
        <v>535</v>
      </c>
      <c r="D23" s="389">
        <v>367</v>
      </c>
      <c r="E23" s="389"/>
      <c r="F23" s="391">
        <f>'202006 Bk Depr'!R23</f>
        <v>0</v>
      </c>
      <c r="G23" s="389"/>
      <c r="H23" s="392">
        <f>2.05%/12</f>
        <v>1.7083333333333332E-3</v>
      </c>
      <c r="I23" s="389"/>
      <c r="J23" s="326">
        <f t="shared" si="7"/>
        <v>0</v>
      </c>
      <c r="K23" s="389"/>
      <c r="L23" s="393">
        <f>'Cap&amp;OpEx 2020'!I18</f>
        <v>0</v>
      </c>
      <c r="M23" s="389"/>
      <c r="N23" s="487">
        <f t="shared" ref="N23:N27" si="11">H23*L23*0.5</f>
        <v>0</v>
      </c>
      <c r="O23" s="389"/>
      <c r="P23" s="326">
        <f t="shared" si="8"/>
        <v>0</v>
      </c>
      <c r="Q23" s="389"/>
      <c r="R23" s="326">
        <f t="shared" si="9"/>
        <v>0</v>
      </c>
    </row>
    <row r="24" spans="1:18">
      <c r="A24" s="6">
        <f t="shared" si="10"/>
        <v>10</v>
      </c>
      <c r="B24" s="390"/>
      <c r="C24" s="9" t="s">
        <v>62</v>
      </c>
      <c r="D24" s="6">
        <v>376</v>
      </c>
      <c r="E24" s="389"/>
      <c r="F24" s="274">
        <f>'202006 Bk Depr'!R24</f>
        <v>0</v>
      </c>
      <c r="H24" s="1">
        <f>1.62%/12</f>
        <v>1.3500000000000003E-3</v>
      </c>
      <c r="J24" s="278">
        <f t="shared" si="7"/>
        <v>0</v>
      </c>
      <c r="L24" s="279">
        <v>0</v>
      </c>
      <c r="N24" s="486">
        <f t="shared" si="11"/>
        <v>0</v>
      </c>
      <c r="P24" s="278">
        <f t="shared" si="8"/>
        <v>0</v>
      </c>
      <c r="R24" s="278">
        <f t="shared" si="9"/>
        <v>0</v>
      </c>
    </row>
    <row r="25" spans="1:18">
      <c r="A25" s="6">
        <f t="shared" si="10"/>
        <v>11</v>
      </c>
      <c r="B25" s="4"/>
      <c r="C25" s="9" t="s">
        <v>62</v>
      </c>
      <c r="D25" s="6">
        <v>380</v>
      </c>
      <c r="F25" s="274">
        <f>'202006 Bk Depr'!R25</f>
        <v>0</v>
      </c>
      <c r="H25" s="1">
        <f>3.24%/12</f>
        <v>2.7000000000000006E-3</v>
      </c>
      <c r="J25" s="278">
        <f t="shared" si="7"/>
        <v>0</v>
      </c>
      <c r="L25" s="279">
        <f>'Cap&amp;OpEx 2020'!I19</f>
        <v>0</v>
      </c>
      <c r="N25" s="486">
        <f t="shared" si="11"/>
        <v>0</v>
      </c>
      <c r="P25" s="278">
        <f t="shared" si="8"/>
        <v>0</v>
      </c>
      <c r="R25" s="278">
        <f t="shared" si="9"/>
        <v>0</v>
      </c>
    </row>
    <row r="26" spans="1:18" s="398" customFormat="1">
      <c r="A26" s="397">
        <f t="shared" si="10"/>
        <v>12</v>
      </c>
      <c r="C26" s="399" t="s">
        <v>63</v>
      </c>
      <c r="D26" s="397">
        <v>380</v>
      </c>
      <c r="E26" s="397"/>
      <c r="F26" s="274">
        <f>'202006 Bk Depr'!R26</f>
        <v>0</v>
      </c>
      <c r="G26" s="397"/>
      <c r="H26" s="400">
        <f>3.24%/12</f>
        <v>2.7000000000000006E-3</v>
      </c>
      <c r="I26" s="397"/>
      <c r="J26" s="274">
        <f t="shared" si="7"/>
        <v>0</v>
      </c>
      <c r="K26" s="397"/>
      <c r="L26" s="279">
        <f>'Cap&amp;OpEx 2020'!I20</f>
        <v>0</v>
      </c>
      <c r="M26" s="397"/>
      <c r="N26" s="486">
        <f t="shared" si="11"/>
        <v>0</v>
      </c>
      <c r="O26" s="397"/>
      <c r="P26" s="274">
        <f t="shared" si="8"/>
        <v>0</v>
      </c>
      <c r="Q26" s="397"/>
      <c r="R26" s="274">
        <f t="shared" si="9"/>
        <v>0</v>
      </c>
    </row>
    <row r="27" spans="1:18">
      <c r="A27" s="389">
        <f t="shared" si="10"/>
        <v>13</v>
      </c>
      <c r="B27" s="390"/>
      <c r="C27" s="394" t="s">
        <v>160</v>
      </c>
      <c r="D27" s="389">
        <v>380</v>
      </c>
      <c r="E27" s="389"/>
      <c r="F27" s="395">
        <f>'202006 Bk Depr'!R27</f>
        <v>0</v>
      </c>
      <c r="G27" s="389"/>
      <c r="H27" s="392">
        <f>3.24%/12</f>
        <v>2.7000000000000006E-3</v>
      </c>
      <c r="I27" s="389"/>
      <c r="J27" s="326">
        <f t="shared" si="7"/>
        <v>0</v>
      </c>
      <c r="K27" s="389"/>
      <c r="L27" s="396">
        <f>'Cap&amp;OpEx 2020'!I21</f>
        <v>0</v>
      </c>
      <c r="M27" s="389"/>
      <c r="N27" s="487">
        <f t="shared" si="11"/>
        <v>0</v>
      </c>
      <c r="O27" s="389"/>
      <c r="P27" s="326">
        <f t="shared" si="8"/>
        <v>0</v>
      </c>
      <c r="Q27" s="389"/>
      <c r="R27" s="326">
        <f t="shared" si="9"/>
        <v>0</v>
      </c>
    </row>
    <row r="28" spans="1:18">
      <c r="A28" s="6">
        <f t="shared" si="10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64534027.570000008</v>
      </c>
      <c r="G30" s="411"/>
      <c r="I30" s="411"/>
      <c r="J30" s="413">
        <f>J19+J28</f>
        <v>164162.63891250006</v>
      </c>
      <c r="K30" s="411"/>
      <c r="L30" s="413">
        <f>L19+L28</f>
        <v>1329046.7599999984</v>
      </c>
      <c r="M30" s="411"/>
      <c r="N30" s="413">
        <f>N19+N28</f>
        <v>1793.7044999999982</v>
      </c>
      <c r="O30" s="411"/>
      <c r="P30" s="413">
        <f>P19+P28</f>
        <v>165956.34341250005</v>
      </c>
      <c r="Q30" s="411"/>
      <c r="R30" s="413">
        <f>R19+R28</f>
        <v>65863074.330000013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'202006 Bk Depr'!R33</f>
        <v>1927915.84</v>
      </c>
      <c r="J33" s="278"/>
      <c r="L33" s="279">
        <f>'Cap&amp;OpEx 2020'!I31</f>
        <v>0</v>
      </c>
      <c r="N33" s="278"/>
      <c r="P33" s="278"/>
      <c r="R33" s="278">
        <f t="shared" ref="R33:R38" si="12">L33+F33</f>
        <v>1927915.84</v>
      </c>
    </row>
    <row r="34" spans="1:18">
      <c r="A34" s="389">
        <f t="shared" ref="A34:A39" si="13">A33+1</f>
        <v>17</v>
      </c>
      <c r="B34" s="390"/>
      <c r="C34" s="390" t="s">
        <v>535</v>
      </c>
      <c r="D34" s="389">
        <v>367</v>
      </c>
      <c r="E34" s="389"/>
      <c r="F34" s="391">
        <f>'202006 Bk Depr'!R34</f>
        <v>0</v>
      </c>
      <c r="G34" s="389"/>
      <c r="H34" s="390"/>
      <c r="I34" s="389"/>
      <c r="J34" s="326"/>
      <c r="K34" s="389"/>
      <c r="L34" s="393">
        <f>'Cap&amp;OpEx 2020'!I32</f>
        <v>0</v>
      </c>
      <c r="M34" s="389"/>
      <c r="N34" s="326"/>
      <c r="O34" s="389"/>
      <c r="P34" s="326"/>
      <c r="Q34" s="389"/>
      <c r="R34" s="326">
        <f t="shared" si="12"/>
        <v>0</v>
      </c>
    </row>
    <row r="35" spans="1:18">
      <c r="A35" s="6">
        <f t="shared" si="13"/>
        <v>18</v>
      </c>
      <c r="B35" s="390"/>
      <c r="C35" s="9" t="s">
        <v>62</v>
      </c>
      <c r="D35" s="6">
        <v>376</v>
      </c>
      <c r="E35" s="389"/>
      <c r="F35" s="274">
        <f>'202006 Bk Depr'!R35</f>
        <v>0</v>
      </c>
      <c r="J35" s="278"/>
      <c r="L35" s="279">
        <v>0</v>
      </c>
      <c r="N35" s="278"/>
      <c r="P35" s="278"/>
      <c r="R35" s="278">
        <f t="shared" si="12"/>
        <v>0</v>
      </c>
    </row>
    <row r="36" spans="1:18">
      <c r="A36" s="6">
        <f t="shared" si="13"/>
        <v>19</v>
      </c>
      <c r="B36" s="4"/>
      <c r="C36" s="9" t="s">
        <v>62</v>
      </c>
      <c r="D36" s="6">
        <v>380</v>
      </c>
      <c r="F36" s="419">
        <f>'202006 Bk Depr'!R36</f>
        <v>6672277.6299999999</v>
      </c>
      <c r="J36" s="278"/>
      <c r="L36" s="415">
        <f>'Cap&amp;OpEx 2020'!I33</f>
        <v>45603.539999999994</v>
      </c>
      <c r="N36" s="278"/>
      <c r="P36" s="278"/>
      <c r="R36" s="417">
        <f t="shared" si="12"/>
        <v>6717881.1699999999</v>
      </c>
    </row>
    <row r="37" spans="1:18" s="398" customFormat="1">
      <c r="A37" s="397">
        <f t="shared" si="13"/>
        <v>20</v>
      </c>
      <c r="C37" s="399" t="s">
        <v>63</v>
      </c>
      <c r="D37" s="397">
        <v>380</v>
      </c>
      <c r="E37" s="397"/>
      <c r="F37" s="419">
        <f>'202006 Bk Depr'!R37</f>
        <v>160988.60999999999</v>
      </c>
      <c r="G37" s="397"/>
      <c r="I37" s="397"/>
      <c r="J37" s="274"/>
      <c r="K37" s="397"/>
      <c r="L37" s="415">
        <f>'Cap&amp;OpEx 2020'!I34</f>
        <v>0</v>
      </c>
      <c r="M37" s="397"/>
      <c r="N37" s="274"/>
      <c r="O37" s="397"/>
      <c r="P37" s="274"/>
      <c r="Q37" s="397"/>
      <c r="R37" s="419">
        <f t="shared" si="12"/>
        <v>160988.60999999999</v>
      </c>
    </row>
    <row r="38" spans="1:18">
      <c r="A38" s="389">
        <f t="shared" si="13"/>
        <v>21</v>
      </c>
      <c r="B38" s="390"/>
      <c r="C38" s="394" t="s">
        <v>160</v>
      </c>
      <c r="D38" s="389">
        <v>380</v>
      </c>
      <c r="E38" s="389"/>
      <c r="F38" s="420">
        <f>'202006 Bk Depr'!R38</f>
        <v>2462733.79</v>
      </c>
      <c r="G38" s="389"/>
      <c r="H38" s="390"/>
      <c r="I38" s="389"/>
      <c r="J38" s="326"/>
      <c r="K38" s="389"/>
      <c r="L38" s="416">
        <f>'Cap&amp;OpEx 2020'!I35</f>
        <v>298967.87</v>
      </c>
      <c r="M38" s="389"/>
      <c r="N38" s="326"/>
      <c r="O38" s="389"/>
      <c r="P38" s="326"/>
      <c r="Q38" s="389"/>
      <c r="R38" s="417">
        <f t="shared" si="12"/>
        <v>2761701.66</v>
      </c>
    </row>
    <row r="39" spans="1:18">
      <c r="A39" s="6">
        <f t="shared" si="13"/>
        <v>22</v>
      </c>
      <c r="B39" s="4"/>
      <c r="C39" s="4" t="s">
        <v>23</v>
      </c>
      <c r="F39" s="401">
        <f>SUM(F33:F38)</f>
        <v>11223915.870000001</v>
      </c>
      <c r="G39" s="389"/>
      <c r="H39" s="390"/>
      <c r="I39" s="389"/>
      <c r="J39" s="401">
        <f>SUM(J33:J38)</f>
        <v>0</v>
      </c>
      <c r="K39" s="389"/>
      <c r="L39" s="401">
        <f>SUM(L33:L38)</f>
        <v>344571.41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11568487.279999999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11 of 18&amp;L&amp;1#&amp;"Calibri"&amp;14&amp;K000000Business Use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B3F3-6D0B-4696-AC69-0C3964C99064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501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'202007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2020'!J10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'202007 Bk Depr'!R14</f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'202007 Bk Depr'!R15</f>
        <v>5340.3199999999488</v>
      </c>
      <c r="H15" s="1">
        <f>1.62%/12</f>
        <v>1.3500000000000003E-3</v>
      </c>
      <c r="J15" s="278">
        <f t="shared" si="0"/>
        <v>7.2094319999999321</v>
      </c>
      <c r="L15" s="279">
        <f>'2020 Capital Budget'!M29</f>
        <v>718.13999999999942</v>
      </c>
      <c r="N15" s="278">
        <f t="shared" si="1"/>
        <v>0.48474449999999969</v>
      </c>
      <c r="P15" s="278">
        <f t="shared" si="2"/>
        <v>7.6941764999999318</v>
      </c>
      <c r="R15" s="278">
        <f t="shared" si="3"/>
        <v>6058.4599999999482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'202007 Bk Depr'!R16</f>
        <v>9799323.3800000027</v>
      </c>
      <c r="H16" s="1">
        <f t="shared" ref="H16:H18" si="5">3.24%/12</f>
        <v>2.7000000000000006E-3</v>
      </c>
      <c r="J16" s="278">
        <f t="shared" si="0"/>
        <v>26458.173126000012</v>
      </c>
      <c r="L16" s="279">
        <f>'Cap&amp;OpEx 2020'!J12-L15-'2020 Capital Budget'!M86</f>
        <v>172604.47000000067</v>
      </c>
      <c r="N16" s="278">
        <f t="shared" si="1"/>
        <v>233.01603450000096</v>
      </c>
      <c r="P16" s="278">
        <f t="shared" si="2"/>
        <v>26691.189160500013</v>
      </c>
      <c r="R16" s="278">
        <f t="shared" si="3"/>
        <v>9971927.8500000034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'202007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2020'!J13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'202007 Bk Depr'!R18</f>
        <v>41379516.800000012</v>
      </c>
      <c r="H18" s="1">
        <f t="shared" si="5"/>
        <v>2.7000000000000006E-3</v>
      </c>
      <c r="J18" s="278">
        <f t="shared" si="0"/>
        <v>111724.69536000006</v>
      </c>
      <c r="L18" s="280">
        <f>'Cap&amp;OpEx 2020'!J14-'2020 Capital Budget'!M89</f>
        <v>1356362.8999999992</v>
      </c>
      <c r="N18" s="278">
        <f t="shared" si="1"/>
        <v>1831.0899149999993</v>
      </c>
      <c r="P18" s="278">
        <f t="shared" si="2"/>
        <v>113555.78527500006</v>
      </c>
      <c r="R18" s="278">
        <f t="shared" si="3"/>
        <v>42735879.70000001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65863074.330000013</v>
      </c>
      <c r="J19" s="276">
        <f>SUM(J13:J18)</f>
        <v>167750.04791250007</v>
      </c>
      <c r="L19" s="276">
        <f>SUM(L13:L18)</f>
        <v>1529685.5099999998</v>
      </c>
      <c r="N19" s="276">
        <f>SUM(N13:N18)</f>
        <v>2064.5906940000004</v>
      </c>
      <c r="P19" s="276">
        <f>SUM(P13:P18)</f>
        <v>169814.63860650008</v>
      </c>
      <c r="R19" s="276">
        <f>SUM(R13:R18)</f>
        <v>67392759.840000004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'202007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2020'!J17</f>
        <v>-87326.15</v>
      </c>
      <c r="N22" s="486">
        <f>H22*L22*0.5</f>
        <v>-58.945151250000009</v>
      </c>
      <c r="P22" s="278">
        <f t="shared" ref="P22:P27" si="7">J22+N22</f>
        <v>-58.945151250000009</v>
      </c>
      <c r="R22" s="278">
        <f t="shared" ref="R22:R27" si="8">L22+F22</f>
        <v>-87326.15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'202007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2020'!J18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'202007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'202007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2020'!J19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'202007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2020'!J20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'202007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2020'!J21</f>
        <v>-63255.53</v>
      </c>
      <c r="M27" s="389"/>
      <c r="N27" s="487">
        <f t="shared" si="10"/>
        <v>-85.394965500000012</v>
      </c>
      <c r="O27" s="389"/>
      <c r="P27" s="326">
        <f t="shared" si="7"/>
        <v>-85.394965500000012</v>
      </c>
      <c r="Q27" s="389"/>
      <c r="R27" s="32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-150581.68</v>
      </c>
      <c r="N28" s="276">
        <f>SUM(N22:N27)</f>
        <v>-144.34011675000002</v>
      </c>
      <c r="P28" s="276">
        <f>SUM(P22:P27)</f>
        <v>-144.34011675000002</v>
      </c>
      <c r="R28" s="276">
        <f>SUM(R22:R27)</f>
        <v>-150581.68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65863074.330000013</v>
      </c>
      <c r="G30" s="411"/>
      <c r="I30" s="411"/>
      <c r="J30" s="413">
        <f>J19+J28</f>
        <v>167750.04791250007</v>
      </c>
      <c r="K30" s="411"/>
      <c r="L30" s="413">
        <f>L19+L28</f>
        <v>1379103.8299999998</v>
      </c>
      <c r="M30" s="411"/>
      <c r="N30" s="413">
        <f>N19+N28</f>
        <v>1920.2505772500003</v>
      </c>
      <c r="O30" s="411"/>
      <c r="P30" s="413">
        <f>P19+P28</f>
        <v>169670.29848975007</v>
      </c>
      <c r="Q30" s="411"/>
      <c r="R30" s="413">
        <f>R19+R28</f>
        <v>67242178.159999996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'202007 Bk Depr'!R33</f>
        <v>1927915.84</v>
      </c>
      <c r="J33" s="278"/>
      <c r="L33" s="279">
        <f>'Cap&amp;OpEx 2020'!J31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'202007 Bk Depr'!R34</f>
        <v>0</v>
      </c>
      <c r="G34" s="389"/>
      <c r="H34" s="390"/>
      <c r="I34" s="389"/>
      <c r="J34" s="326"/>
      <c r="K34" s="389"/>
      <c r="L34" s="393">
        <f>'Cap&amp;OpEx 2020'!J32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'202007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'202007 Bk Depr'!R36</f>
        <v>6717881.1699999999</v>
      </c>
      <c r="J36" s="278"/>
      <c r="L36" s="415">
        <f>'Cap&amp;OpEx 2020'!J33</f>
        <v>46588.78</v>
      </c>
      <c r="N36" s="278"/>
      <c r="P36" s="278"/>
      <c r="R36" s="417">
        <f t="shared" si="11"/>
        <v>6764469.9500000002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'202007 Bk Depr'!R37</f>
        <v>160988.60999999999</v>
      </c>
      <c r="G37" s="397"/>
      <c r="I37" s="397"/>
      <c r="J37" s="274"/>
      <c r="K37" s="397"/>
      <c r="L37" s="415">
        <f>'Cap&amp;OpEx 2020'!J34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'202007 Bk Depr'!R38</f>
        <v>2761701.66</v>
      </c>
      <c r="G38" s="389"/>
      <c r="H38" s="390"/>
      <c r="I38" s="389"/>
      <c r="J38" s="326"/>
      <c r="K38" s="389"/>
      <c r="L38" s="416">
        <f>'Cap&amp;OpEx 2020'!J35</f>
        <v>344150.75</v>
      </c>
      <c r="M38" s="389"/>
      <c r="N38" s="326"/>
      <c r="O38" s="389"/>
      <c r="P38" s="326"/>
      <c r="Q38" s="389"/>
      <c r="R38" s="417">
        <f t="shared" si="11"/>
        <v>3105852.41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11568487.279999999</v>
      </c>
      <c r="G39" s="389"/>
      <c r="H39" s="390"/>
      <c r="I39" s="389"/>
      <c r="J39" s="401">
        <f>SUM(J33:J38)</f>
        <v>0</v>
      </c>
      <c r="K39" s="389"/>
      <c r="L39" s="401">
        <f>SUM(L33:L38)</f>
        <v>390739.53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11959226.810000001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12 of 18&amp;L&amp;1#&amp;"Calibri"&amp;14&amp;K000000Business Use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E5AE-BE23-432D-8619-6EDEE7921E40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502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'202008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2020'!K10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'202008 Bk Depr'!R14</f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'202008 Bk Depr'!R15</f>
        <v>6058.4599999999482</v>
      </c>
      <c r="H15" s="1">
        <f>1.62%/12</f>
        <v>1.3500000000000003E-3</v>
      </c>
      <c r="J15" s="278">
        <f t="shared" si="0"/>
        <v>8.1789209999999315</v>
      </c>
      <c r="L15" s="279">
        <f>'2020 Capital Budget'!N29</f>
        <v>713.75</v>
      </c>
      <c r="N15" s="278">
        <f t="shared" si="1"/>
        <v>0.48178125000000011</v>
      </c>
      <c r="P15" s="278">
        <f t="shared" si="2"/>
        <v>8.6607022499999324</v>
      </c>
      <c r="R15" s="278">
        <f t="shared" si="3"/>
        <v>6772.2099999999482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'202008 Bk Depr'!R16</f>
        <v>9971927.8500000034</v>
      </c>
      <c r="H16" s="1">
        <f t="shared" ref="H16:H18" si="5">3.24%/12</f>
        <v>2.7000000000000006E-3</v>
      </c>
      <c r="J16" s="278">
        <f t="shared" si="0"/>
        <v>26924.205195000013</v>
      </c>
      <c r="L16" s="279">
        <f>'Cap&amp;OpEx 2020'!K12-L15-'2020 Capital Budget'!N86</f>
        <v>246947.12000000081</v>
      </c>
      <c r="N16" s="278">
        <f t="shared" si="1"/>
        <v>333.37861200000117</v>
      </c>
      <c r="P16" s="278">
        <f t="shared" si="2"/>
        <v>27257.583807000014</v>
      </c>
      <c r="R16" s="278">
        <f t="shared" si="3"/>
        <v>10218874.970000004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'202008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2020'!K13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'202008 Bk Depr'!R18</f>
        <v>42735879.70000001</v>
      </c>
      <c r="H18" s="1">
        <f t="shared" si="5"/>
        <v>2.7000000000000006E-3</v>
      </c>
      <c r="J18" s="278">
        <f t="shared" si="0"/>
        <v>115386.87519000005</v>
      </c>
      <c r="L18" s="280">
        <f>'Cap&amp;OpEx 2020'!K14-'2020 Capital Budget'!N89</f>
        <v>1164298.7700000014</v>
      </c>
      <c r="N18" s="278">
        <f t="shared" si="1"/>
        <v>1571.8033395000023</v>
      </c>
      <c r="P18" s="278">
        <f t="shared" si="2"/>
        <v>116958.67852950006</v>
      </c>
      <c r="R18" s="278">
        <f t="shared" si="3"/>
        <v>43900178.470000014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67392759.840000004</v>
      </c>
      <c r="J19" s="276">
        <f>SUM(J13:J18)</f>
        <v>171879.22930050007</v>
      </c>
      <c r="L19" s="276">
        <f>SUM(L13:L18)</f>
        <v>1411959.6400000022</v>
      </c>
      <c r="N19" s="276">
        <f>SUM(N13:N18)</f>
        <v>1905.6637327500034</v>
      </c>
      <c r="P19" s="276">
        <f>SUM(P13:P18)</f>
        <v>173784.89303325006</v>
      </c>
      <c r="R19" s="276">
        <f>SUM(R13:R18)</f>
        <v>68804719.480000019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'202008 Bk Depr'!R22</f>
        <v>-87326.15</v>
      </c>
      <c r="H22" s="1">
        <f>1.62%/12</f>
        <v>1.3500000000000003E-3</v>
      </c>
      <c r="J22" s="278">
        <f t="shared" ref="J22:J27" si="6">F22*H22</f>
        <v>-117.89030250000002</v>
      </c>
      <c r="L22" s="279">
        <f>'Cap&amp;OpEx 2020'!K17</f>
        <v>0</v>
      </c>
      <c r="N22" s="486">
        <f>H22*L22*0.5</f>
        <v>0</v>
      </c>
      <c r="P22" s="278">
        <f t="shared" ref="P22:P27" si="7">J22+N22</f>
        <v>-117.89030250000002</v>
      </c>
      <c r="R22" s="278">
        <f t="shared" ref="R22:R27" si="8">L22+F22</f>
        <v>-87326.15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'202008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2020'!K18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'202008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'202008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2020'!K19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'202008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2020'!K20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'202008 Bk Depr'!R27</f>
        <v>-63255.53</v>
      </c>
      <c r="G27" s="389"/>
      <c r="H27" s="392">
        <f>3.24%/12</f>
        <v>2.7000000000000006E-3</v>
      </c>
      <c r="I27" s="389"/>
      <c r="J27" s="326">
        <f t="shared" si="6"/>
        <v>-170.78993100000002</v>
      </c>
      <c r="K27" s="389"/>
      <c r="L27" s="396">
        <f>'Cap&amp;OpEx 2020'!K21</f>
        <v>0</v>
      </c>
      <c r="M27" s="389"/>
      <c r="N27" s="487">
        <f t="shared" si="10"/>
        <v>0</v>
      </c>
      <c r="O27" s="389"/>
      <c r="P27" s="326">
        <f t="shared" si="7"/>
        <v>-170.78993100000002</v>
      </c>
      <c r="Q27" s="389"/>
      <c r="R27" s="32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-150581.68</v>
      </c>
      <c r="J28" s="276">
        <f>SUM(J22:J27)</f>
        <v>-288.68023350000004</v>
      </c>
      <c r="L28" s="276">
        <f>SUM(L22:L27)</f>
        <v>0</v>
      </c>
      <c r="N28" s="276">
        <f>SUM(N22:N27)</f>
        <v>0</v>
      </c>
      <c r="P28" s="276">
        <f>SUM(P22:P27)</f>
        <v>-288.68023350000004</v>
      </c>
      <c r="R28" s="276">
        <f>SUM(R22:R27)</f>
        <v>-150581.68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67242178.159999996</v>
      </c>
      <c r="G30" s="411"/>
      <c r="I30" s="411"/>
      <c r="J30" s="413">
        <f>J19+J28</f>
        <v>171590.54906700007</v>
      </c>
      <c r="K30" s="411"/>
      <c r="L30" s="413">
        <f>L19+L28</f>
        <v>1411959.6400000022</v>
      </c>
      <c r="M30" s="411"/>
      <c r="N30" s="413">
        <f>N19+N28</f>
        <v>1905.6637327500034</v>
      </c>
      <c r="O30" s="411"/>
      <c r="P30" s="413">
        <f>P19+P28</f>
        <v>173496.21279975006</v>
      </c>
      <c r="Q30" s="411"/>
      <c r="R30" s="413">
        <f>R19+R28</f>
        <v>68654137.800000012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'202008 Bk Depr'!R33</f>
        <v>1927915.84</v>
      </c>
      <c r="J33" s="278"/>
      <c r="L33" s="279">
        <f>'Cap&amp;OpEx 2020'!K31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'202008 Bk Depr'!R34</f>
        <v>0</v>
      </c>
      <c r="G34" s="389"/>
      <c r="H34" s="390"/>
      <c r="I34" s="389"/>
      <c r="J34" s="326"/>
      <c r="K34" s="389"/>
      <c r="L34" s="393">
        <f>'Cap&amp;OpEx 2020'!K32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'202008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'202008 Bk Depr'!R36</f>
        <v>6764469.9500000002</v>
      </c>
      <c r="J36" s="278"/>
      <c r="L36" s="415">
        <f>'Cap&amp;OpEx 2020'!K33</f>
        <v>43699.11</v>
      </c>
      <c r="N36" s="278"/>
      <c r="P36" s="278"/>
      <c r="R36" s="417">
        <f t="shared" si="11"/>
        <v>6808169.0600000005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'202008 Bk Depr'!R37</f>
        <v>160988.60999999999</v>
      </c>
      <c r="G37" s="397"/>
      <c r="I37" s="397"/>
      <c r="J37" s="274"/>
      <c r="K37" s="397"/>
      <c r="L37" s="415">
        <f>'Cap&amp;OpEx 2020'!K34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'202008 Bk Depr'!R38</f>
        <v>3105852.41</v>
      </c>
      <c r="G38" s="389"/>
      <c r="H38" s="390"/>
      <c r="I38" s="389"/>
      <c r="J38" s="326"/>
      <c r="K38" s="389"/>
      <c r="L38" s="416">
        <f>'Cap&amp;OpEx 2020'!K35</f>
        <v>315259.77999999997</v>
      </c>
      <c r="M38" s="389"/>
      <c r="N38" s="326"/>
      <c r="O38" s="389"/>
      <c r="P38" s="326"/>
      <c r="Q38" s="389"/>
      <c r="R38" s="417">
        <f t="shared" si="11"/>
        <v>3421112.19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11959226.810000001</v>
      </c>
      <c r="G39" s="389"/>
      <c r="H39" s="390"/>
      <c r="I39" s="389"/>
      <c r="J39" s="401">
        <f>SUM(J33:J38)</f>
        <v>0</v>
      </c>
      <c r="K39" s="389"/>
      <c r="L39" s="401">
        <f>SUM(L33:L38)</f>
        <v>358958.88999999996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12318185.699999999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13 of 18&amp;L&amp;1#&amp;"Calibri"&amp;14&amp;K000000Business Use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12455-CBD5-4268-8ACE-7E1012FBCE53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503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'202009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2020'!L10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'202009 Bk Depr'!R14</f>
        <v>0</v>
      </c>
      <c r="H14" s="1">
        <f>2.05%/12</f>
        <v>1.7083333333333332E-3</v>
      </c>
      <c r="J14" s="278">
        <f t="shared" si="0"/>
        <v>0</v>
      </c>
      <c r="L14" s="279">
        <f>20154687.29+19903590.64+SUM('2020 Capital Budget'!F23:O24)</f>
        <v>72711408.920000002</v>
      </c>
      <c r="N14" s="278">
        <f t="shared" si="1"/>
        <v>62107.661785833327</v>
      </c>
      <c r="P14" s="278">
        <f t="shared" si="2"/>
        <v>62107.661785833327</v>
      </c>
      <c r="R14" s="278">
        <f t="shared" si="3"/>
        <v>72711408.920000002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'202009 Bk Depr'!R15</f>
        <v>6772.2099999999482</v>
      </c>
      <c r="H15" s="1">
        <f>1.62%/12</f>
        <v>1.3500000000000003E-3</v>
      </c>
      <c r="J15" s="278">
        <f t="shared" si="0"/>
        <v>9.1424834999999316</v>
      </c>
      <c r="L15" s="279">
        <f>'2020 Capital Budget'!O29</f>
        <v>665.11999999999534</v>
      </c>
      <c r="N15" s="278">
        <f t="shared" si="1"/>
        <v>0.44895599999999697</v>
      </c>
      <c r="P15" s="278">
        <f t="shared" si="2"/>
        <v>9.5914394999999288</v>
      </c>
      <c r="R15" s="278">
        <f t="shared" si="3"/>
        <v>7437.3299999999435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'202009 Bk Depr'!R16</f>
        <v>10218874.970000004</v>
      </c>
      <c r="H16" s="1">
        <f t="shared" ref="H16:H18" si="5">3.24%/12</f>
        <v>2.7000000000000006E-3</v>
      </c>
      <c r="J16" s="278">
        <f t="shared" si="0"/>
        <v>27590.962419000018</v>
      </c>
      <c r="L16" s="279">
        <f>'Cap&amp;OpEx 2020'!L12-L15-'2020 Capital Budget'!O86</f>
        <v>162136.1499999997</v>
      </c>
      <c r="N16" s="278">
        <f t="shared" si="1"/>
        <v>218.88380249999963</v>
      </c>
      <c r="P16" s="278">
        <f t="shared" si="2"/>
        <v>27809.846221500018</v>
      </c>
      <c r="R16" s="278">
        <f t="shared" si="3"/>
        <v>10381011.120000005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'202009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2020'!L13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'202009 Bk Depr'!R18</f>
        <v>43900178.470000014</v>
      </c>
      <c r="H18" s="1">
        <f t="shared" si="5"/>
        <v>2.7000000000000006E-3</v>
      </c>
      <c r="J18" s="278">
        <f t="shared" si="0"/>
        <v>118530.48186900007</v>
      </c>
      <c r="L18" s="280">
        <f>'Cap&amp;OpEx 2020'!L14-'2020 Capital Budget'!O89</f>
        <v>1416333.2200000007</v>
      </c>
      <c r="N18" s="278">
        <f t="shared" si="1"/>
        <v>1912.0498470000014</v>
      </c>
      <c r="P18" s="278">
        <f t="shared" si="2"/>
        <v>120442.53171600007</v>
      </c>
      <c r="R18" s="278">
        <f t="shared" si="3"/>
        <v>45316511.690000013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68804719.480000019</v>
      </c>
      <c r="J19" s="276">
        <f>SUM(J13:J18)</f>
        <v>175690.55676600011</v>
      </c>
      <c r="L19" s="276">
        <f>SUM(L13:L18)</f>
        <v>74290543.410000011</v>
      </c>
      <c r="N19" s="276">
        <f>SUM(N13:N18)</f>
        <v>64239.044391333329</v>
      </c>
      <c r="P19" s="276">
        <f>SUM(P13:P18)</f>
        <v>239929.60115733341</v>
      </c>
      <c r="R19" s="276">
        <f>SUM(R13:R18)</f>
        <v>143095262.89000002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'202009 Bk Depr'!R22</f>
        <v>-87326.15</v>
      </c>
      <c r="H22" s="1">
        <f>1.62%/12</f>
        <v>1.3500000000000003E-3</v>
      </c>
      <c r="J22" s="278">
        <f t="shared" ref="J22:J27" si="6">F22*H22</f>
        <v>-117.89030250000002</v>
      </c>
      <c r="L22" s="279">
        <f>'Cap&amp;OpEx 2020'!L17</f>
        <v>0</v>
      </c>
      <c r="N22" s="486">
        <f>H22*L22*0.5</f>
        <v>0</v>
      </c>
      <c r="P22" s="278">
        <f t="shared" ref="P22:P27" si="7">J22+N22</f>
        <v>-117.89030250000002</v>
      </c>
      <c r="R22" s="278">
        <f t="shared" ref="R22:R27" si="8">L22+F22</f>
        <v>-87326.15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'202009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2020'!L18</f>
        <v>-215742.57</v>
      </c>
      <c r="M23" s="389"/>
      <c r="N23" s="487">
        <f t="shared" ref="N23:N27" si="10">H23*L23*0.5</f>
        <v>-184.28011187499999</v>
      </c>
      <c r="O23" s="389"/>
      <c r="P23" s="326">
        <f t="shared" si="7"/>
        <v>-184.28011187499999</v>
      </c>
      <c r="Q23" s="389"/>
      <c r="R23" s="326">
        <f t="shared" si="8"/>
        <v>-215742.57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'202009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'202009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2020'!L19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'202009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2020'!L20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'202009 Bk Depr'!R27</f>
        <v>-63255.53</v>
      </c>
      <c r="G27" s="389"/>
      <c r="H27" s="392">
        <f>3.24%/12</f>
        <v>2.7000000000000006E-3</v>
      </c>
      <c r="I27" s="389"/>
      <c r="J27" s="326">
        <f t="shared" si="6"/>
        <v>-170.78993100000002</v>
      </c>
      <c r="K27" s="389"/>
      <c r="L27" s="396">
        <f>'Cap&amp;OpEx 2020'!L21</f>
        <v>0</v>
      </c>
      <c r="M27" s="389"/>
      <c r="N27" s="487">
        <f t="shared" si="10"/>
        <v>0</v>
      </c>
      <c r="O27" s="389"/>
      <c r="P27" s="326">
        <f t="shared" si="7"/>
        <v>-170.78993100000002</v>
      </c>
      <c r="Q27" s="389"/>
      <c r="R27" s="32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-150581.68</v>
      </c>
      <c r="J28" s="276">
        <f>SUM(J22:J27)</f>
        <v>-288.68023350000004</v>
      </c>
      <c r="L28" s="276">
        <f>SUM(L22:L27)</f>
        <v>-215742.57</v>
      </c>
      <c r="N28" s="276">
        <f>SUM(N22:N27)</f>
        <v>-184.28011187499999</v>
      </c>
      <c r="P28" s="276">
        <f>SUM(P22:P27)</f>
        <v>-472.96034537500003</v>
      </c>
      <c r="R28" s="276">
        <f>SUM(R22:R27)</f>
        <v>-366324.25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68654137.800000012</v>
      </c>
      <c r="G30" s="411"/>
      <c r="I30" s="411"/>
      <c r="J30" s="413">
        <f>J19+J28</f>
        <v>175401.87653250011</v>
      </c>
      <c r="K30" s="411"/>
      <c r="L30" s="413">
        <f>L19+L28</f>
        <v>74074800.840000018</v>
      </c>
      <c r="M30" s="411"/>
      <c r="N30" s="413">
        <f>N19+N28</f>
        <v>64054.76427945833</v>
      </c>
      <c r="O30" s="411"/>
      <c r="P30" s="413">
        <f>P19+P28</f>
        <v>239456.64081195841</v>
      </c>
      <c r="Q30" s="411"/>
      <c r="R30" s="413">
        <f>R19+R28</f>
        <v>142728938.64000002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'202009 Bk Depr'!R33</f>
        <v>1927915.84</v>
      </c>
      <c r="J33" s="278"/>
      <c r="L33" s="279">
        <f>'Cap&amp;OpEx 2020'!L31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'202009 Bk Depr'!R34</f>
        <v>0</v>
      </c>
      <c r="G34" s="389"/>
      <c r="H34" s="390"/>
      <c r="I34" s="389"/>
      <c r="J34" s="326"/>
      <c r="K34" s="389"/>
      <c r="L34" s="393">
        <f>'Cap&amp;OpEx 2020'!L32</f>
        <v>40412.29</v>
      </c>
      <c r="M34" s="389"/>
      <c r="N34" s="326"/>
      <c r="O34" s="389"/>
      <c r="P34" s="326"/>
      <c r="Q34" s="389"/>
      <c r="R34" s="326">
        <f t="shared" si="11"/>
        <v>40412.29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'202009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'202009 Bk Depr'!R36</f>
        <v>6808169.0600000005</v>
      </c>
      <c r="J36" s="278"/>
      <c r="L36" s="415">
        <f>'Cap&amp;OpEx 2020'!L33</f>
        <v>186553.30000000002</v>
      </c>
      <c r="N36" s="278"/>
      <c r="P36" s="278"/>
      <c r="R36" s="417">
        <f t="shared" si="11"/>
        <v>6994722.3600000003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'202009 Bk Depr'!R37</f>
        <v>160988.60999999999</v>
      </c>
      <c r="G37" s="397"/>
      <c r="I37" s="397"/>
      <c r="J37" s="274"/>
      <c r="K37" s="397"/>
      <c r="L37" s="415">
        <f>'Cap&amp;OpEx 2020'!L34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'202009 Bk Depr'!R38</f>
        <v>3421112.19</v>
      </c>
      <c r="G38" s="389"/>
      <c r="H38" s="390"/>
      <c r="I38" s="389"/>
      <c r="J38" s="326"/>
      <c r="K38" s="389"/>
      <c r="L38" s="416">
        <f>'Cap&amp;OpEx 2020'!L35</f>
        <v>379986.17</v>
      </c>
      <c r="M38" s="389"/>
      <c r="N38" s="326"/>
      <c r="O38" s="389"/>
      <c r="P38" s="326"/>
      <c r="Q38" s="389"/>
      <c r="R38" s="417">
        <f t="shared" si="11"/>
        <v>3801098.36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12318185.699999999</v>
      </c>
      <c r="G39" s="389"/>
      <c r="H39" s="390"/>
      <c r="I39" s="389"/>
      <c r="J39" s="401">
        <f>SUM(J33:J38)</f>
        <v>0</v>
      </c>
      <c r="K39" s="389"/>
      <c r="L39" s="401">
        <f>SUM(L33:L38)</f>
        <v>606951.76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12925137.459999999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14 of 18&amp;L&amp;1#&amp;"Calibri"&amp;14&amp;K000000Business Use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3431-F00B-4099-B4E5-53EF1AF4BAFE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504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'202010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2020'!M10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'202010 Bk Depr'!R14</f>
        <v>72711408.920000002</v>
      </c>
      <c r="H14" s="1">
        <f>2.05%/12</f>
        <v>1.7083333333333332E-3</v>
      </c>
      <c r="J14" s="278">
        <f t="shared" si="0"/>
        <v>124215.32357166665</v>
      </c>
      <c r="L14" s="279">
        <f>SUM('2020 Capital Budget'!P23:P24)</f>
        <v>2252606.2300000042</v>
      </c>
      <c r="N14" s="278">
        <f t="shared" si="1"/>
        <v>1924.1011547916701</v>
      </c>
      <c r="P14" s="278">
        <f t="shared" si="2"/>
        <v>126139.42472645832</v>
      </c>
      <c r="R14" s="278">
        <f t="shared" si="3"/>
        <v>74964015.150000006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'202010 Bk Depr'!R15</f>
        <v>7437.3299999999435</v>
      </c>
      <c r="H15" s="1">
        <f>1.62%/12</f>
        <v>1.3500000000000003E-3</v>
      </c>
      <c r="J15" s="278">
        <f t="shared" si="0"/>
        <v>10.040395499999926</v>
      </c>
      <c r="L15" s="279">
        <f>'2020 Capital Budget'!P29</f>
        <v>604.81000000005588</v>
      </c>
      <c r="N15" s="278">
        <f t="shared" si="1"/>
        <v>0.40824675000003779</v>
      </c>
      <c r="P15" s="278">
        <f t="shared" si="2"/>
        <v>10.448642249999963</v>
      </c>
      <c r="R15" s="278">
        <f t="shared" si="3"/>
        <v>8042.1399999999994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'202010 Bk Depr'!R16</f>
        <v>10381011.120000005</v>
      </c>
      <c r="H16" s="1">
        <f t="shared" ref="H16:H18" si="5">3.24%/12</f>
        <v>2.7000000000000006E-3</v>
      </c>
      <c r="J16" s="278">
        <f t="shared" si="0"/>
        <v>28028.730024000019</v>
      </c>
      <c r="L16" s="279">
        <f>'Cap&amp;OpEx 2020'!M12-L15-'2020 Capital Budget'!P86</f>
        <v>261352.84999999934</v>
      </c>
      <c r="N16" s="278">
        <f t="shared" si="1"/>
        <v>352.8263474999992</v>
      </c>
      <c r="P16" s="278">
        <f t="shared" si="2"/>
        <v>28381.556371500017</v>
      </c>
      <c r="R16" s="278">
        <f t="shared" si="3"/>
        <v>10642363.970000004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'202010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2020'!M13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'202010 Bk Depr'!R18</f>
        <v>45316511.690000013</v>
      </c>
      <c r="H18" s="1">
        <f t="shared" si="5"/>
        <v>2.7000000000000006E-3</v>
      </c>
      <c r="J18" s="278">
        <f t="shared" si="0"/>
        <v>122354.58156300006</v>
      </c>
      <c r="L18" s="280">
        <f>'Cap&amp;OpEx 2020'!M14-'2020 Capital Budget'!P89</f>
        <v>1076094.9199999985</v>
      </c>
      <c r="N18" s="278">
        <f t="shared" si="1"/>
        <v>1452.7281419999983</v>
      </c>
      <c r="P18" s="278">
        <f t="shared" si="2"/>
        <v>123807.30970500005</v>
      </c>
      <c r="R18" s="278">
        <f t="shared" si="3"/>
        <v>46392606.610000014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143095262.89000002</v>
      </c>
      <c r="J19" s="276">
        <f>SUM(J13:J18)</f>
        <v>304168.64554866671</v>
      </c>
      <c r="L19" s="276">
        <f>SUM(L13:L18)</f>
        <v>3590658.8100000019</v>
      </c>
      <c r="N19" s="276">
        <f>SUM(N13:N18)</f>
        <v>3730.0638910416674</v>
      </c>
      <c r="P19" s="276">
        <f>SUM(P13:P18)</f>
        <v>307898.70943970839</v>
      </c>
      <c r="R19" s="276">
        <f>SUM(R13:R18)</f>
        <v>146685921.70000002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'202010 Bk Depr'!R22</f>
        <v>-87326.15</v>
      </c>
      <c r="H22" s="1">
        <f>1.62%/12</f>
        <v>1.3500000000000003E-3</v>
      </c>
      <c r="J22" s="278">
        <f t="shared" ref="J22:J27" si="6">F22*H22</f>
        <v>-117.89030250000002</v>
      </c>
      <c r="L22" s="279">
        <f>'Cap&amp;OpEx 2020'!M17</f>
        <v>0</v>
      </c>
      <c r="N22" s="486">
        <f>H22*L22*0.5</f>
        <v>0</v>
      </c>
      <c r="P22" s="278">
        <f t="shared" ref="P22:P27" si="7">J22+N22</f>
        <v>-117.89030250000002</v>
      </c>
      <c r="R22" s="278">
        <f t="shared" ref="R22:R27" si="8">L22+F22</f>
        <v>-87326.15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'202010 Bk Depr'!R23</f>
        <v>-215742.57</v>
      </c>
      <c r="G23" s="389"/>
      <c r="H23" s="392">
        <f>2.05%/12</f>
        <v>1.7083333333333332E-3</v>
      </c>
      <c r="I23" s="389"/>
      <c r="J23" s="326">
        <f t="shared" si="6"/>
        <v>-368.56022374999998</v>
      </c>
      <c r="K23" s="389"/>
      <c r="L23" s="393">
        <f>'Cap&amp;OpEx 2020'!M18</f>
        <v>0</v>
      </c>
      <c r="M23" s="389"/>
      <c r="N23" s="487">
        <f t="shared" ref="N23:N27" si="10">H23*L23*0.5</f>
        <v>0</v>
      </c>
      <c r="O23" s="389"/>
      <c r="P23" s="326">
        <f t="shared" si="7"/>
        <v>-368.56022374999998</v>
      </c>
      <c r="Q23" s="389"/>
      <c r="R23" s="326">
        <f t="shared" si="8"/>
        <v>-215742.57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'202010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'202010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2020'!M19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'202010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2020'!M20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>A26+1</f>
        <v>13</v>
      </c>
      <c r="B27" s="390"/>
      <c r="C27" s="394" t="s">
        <v>160</v>
      </c>
      <c r="D27" s="389">
        <v>380</v>
      </c>
      <c r="E27" s="389"/>
      <c r="F27" s="395">
        <f>'202010 Bk Depr'!R27</f>
        <v>-63255.53</v>
      </c>
      <c r="G27" s="389"/>
      <c r="H27" s="392">
        <f>3.24%/12</f>
        <v>2.7000000000000006E-3</v>
      </c>
      <c r="I27" s="389"/>
      <c r="J27" s="326">
        <f t="shared" si="6"/>
        <v>-170.78993100000002</v>
      </c>
      <c r="K27" s="389"/>
      <c r="L27" s="396">
        <f>'Cap&amp;OpEx 2020'!M21</f>
        <v>0</v>
      </c>
      <c r="M27" s="389"/>
      <c r="N27" s="487">
        <f t="shared" si="10"/>
        <v>0</v>
      </c>
      <c r="O27" s="389"/>
      <c r="P27" s="326">
        <f t="shared" si="7"/>
        <v>-170.78993100000002</v>
      </c>
      <c r="Q27" s="389"/>
      <c r="R27" s="32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-366324.25</v>
      </c>
      <c r="J28" s="276">
        <f>SUM(J22:J27)</f>
        <v>-657.24045724999996</v>
      </c>
      <c r="L28" s="276">
        <f>SUM(L22:L27)</f>
        <v>0</v>
      </c>
      <c r="N28" s="276">
        <f>SUM(N22:N27)</f>
        <v>0</v>
      </c>
      <c r="P28" s="276">
        <f>SUM(P22:P27)</f>
        <v>-657.24045724999996</v>
      </c>
      <c r="R28" s="276">
        <f>SUM(R22:R27)</f>
        <v>-366324.25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142728938.64000002</v>
      </c>
      <c r="G30" s="411"/>
      <c r="I30" s="411"/>
      <c r="J30" s="413">
        <f>J19+J28</f>
        <v>303511.40509141673</v>
      </c>
      <c r="K30" s="411"/>
      <c r="L30" s="413">
        <f>L19+L28</f>
        <v>3590658.8100000019</v>
      </c>
      <c r="M30" s="411"/>
      <c r="N30" s="413">
        <f>N19+N28</f>
        <v>3730.0638910416674</v>
      </c>
      <c r="O30" s="411"/>
      <c r="P30" s="413">
        <f>P19+P28</f>
        <v>307241.46898245841</v>
      </c>
      <c r="Q30" s="411"/>
      <c r="R30" s="413">
        <f>R19+R28</f>
        <v>146319597.45000002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'202010 Bk Depr'!R33</f>
        <v>1927915.84</v>
      </c>
      <c r="J33" s="278"/>
      <c r="L33" s="279">
        <f>'Cap&amp;OpEx 2020'!M31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'202010 Bk Depr'!R34</f>
        <v>40412.29</v>
      </c>
      <c r="G34" s="389"/>
      <c r="H34" s="390"/>
      <c r="I34" s="389"/>
      <c r="J34" s="326"/>
      <c r="K34" s="389"/>
      <c r="L34" s="393">
        <f>'Cap&amp;OpEx 2020'!M32</f>
        <v>4646.0200000000004</v>
      </c>
      <c r="M34" s="389"/>
      <c r="N34" s="326"/>
      <c r="O34" s="389"/>
      <c r="P34" s="326"/>
      <c r="Q34" s="389"/>
      <c r="R34" s="326">
        <f t="shared" si="11"/>
        <v>45058.31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'202010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'202010 Bk Depr'!R36</f>
        <v>6994722.3600000003</v>
      </c>
      <c r="J36" s="278"/>
      <c r="L36" s="415">
        <f>'Cap&amp;OpEx 2020'!M33</f>
        <v>110719.84</v>
      </c>
      <c r="N36" s="278"/>
      <c r="P36" s="278"/>
      <c r="R36" s="417">
        <f t="shared" si="11"/>
        <v>7105442.2000000002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'202010 Bk Depr'!R37</f>
        <v>160988.60999999999</v>
      </c>
      <c r="G37" s="397"/>
      <c r="I37" s="397"/>
      <c r="J37" s="274"/>
      <c r="K37" s="397"/>
      <c r="L37" s="415">
        <f>'Cap&amp;OpEx 2020'!M34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'202010 Bk Depr'!R38</f>
        <v>3801098.36</v>
      </c>
      <c r="G38" s="389"/>
      <c r="H38" s="390"/>
      <c r="I38" s="389"/>
      <c r="J38" s="326"/>
      <c r="K38" s="389"/>
      <c r="L38" s="416">
        <f>'Cap&amp;OpEx 2020'!M35</f>
        <v>279990.17</v>
      </c>
      <c r="M38" s="389"/>
      <c r="N38" s="326"/>
      <c r="O38" s="389"/>
      <c r="P38" s="326"/>
      <c r="Q38" s="389"/>
      <c r="R38" s="417">
        <f t="shared" si="11"/>
        <v>4081088.53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12925137.459999999</v>
      </c>
      <c r="G39" s="389"/>
      <c r="H39" s="390"/>
      <c r="I39" s="389"/>
      <c r="J39" s="401">
        <f>SUM(J33:J38)</f>
        <v>0</v>
      </c>
      <c r="K39" s="389"/>
      <c r="L39" s="401">
        <f>SUM(L33:L38)</f>
        <v>395356.02999999997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13320493.489999998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15 of 18&amp;L&amp;1#&amp;"Calibri"&amp;14&amp;K000000Business Use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189F-C9BF-4541-B018-ED29F20D932E}">
  <sheetPr>
    <tabColor theme="6" tint="0.39997558519241921"/>
    <pageSetUpPr fitToPage="1"/>
  </sheetPr>
  <dimension ref="A1:S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12.140625" style="4" bestFit="1" customWidth="1"/>
    <col min="20" max="16384" width="9.140625" style="4"/>
  </cols>
  <sheetData>
    <row r="1" spans="1:19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9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9" ht="18.75">
      <c r="A3" s="196" t="s">
        <v>505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9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9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9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9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9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9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9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9">
      <c r="B12" s="10" t="s">
        <v>20</v>
      </c>
      <c r="C12" s="10"/>
    </row>
    <row r="13" spans="1:19">
      <c r="A13" s="6">
        <v>1</v>
      </c>
      <c r="B13" s="4"/>
      <c r="C13" s="4" t="s">
        <v>413</v>
      </c>
      <c r="D13" s="6">
        <v>376</v>
      </c>
      <c r="F13" s="274">
        <f>'202011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2020'!N10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9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'202011 Bk Depr'!R14</f>
        <v>74964015.150000006</v>
      </c>
      <c r="H14" s="1">
        <f>2.05%/12</f>
        <v>1.7083333333333332E-3</v>
      </c>
      <c r="J14" s="278">
        <f t="shared" si="0"/>
        <v>128063.52588125</v>
      </c>
      <c r="L14" s="279">
        <f>SUM('2020 Capital Budget'!Q23:Q24)</f>
        <v>1121187.4899999946</v>
      </c>
      <c r="N14" s="278">
        <f t="shared" si="1"/>
        <v>957.68098104166199</v>
      </c>
      <c r="P14" s="278">
        <f t="shared" si="2"/>
        <v>129021.20686229166</v>
      </c>
      <c r="R14" s="278">
        <f t="shared" si="3"/>
        <v>76085202.640000001</v>
      </c>
      <c r="S14" s="367"/>
    </row>
    <row r="15" spans="1:19">
      <c r="A15" s="6">
        <f t="shared" si="4"/>
        <v>3</v>
      </c>
      <c r="B15" s="4"/>
      <c r="C15" s="9" t="s">
        <v>62</v>
      </c>
      <c r="D15" s="6">
        <v>376</v>
      </c>
      <c r="F15" s="274">
        <f>'202011 Bk Depr'!R15</f>
        <v>8042.1399999999994</v>
      </c>
      <c r="H15" s="1">
        <f>1.62%/12</f>
        <v>1.3500000000000003E-3</v>
      </c>
      <c r="J15" s="278">
        <f t="shared" si="0"/>
        <v>10.856889000000001</v>
      </c>
      <c r="L15" s="279">
        <f>'2020 Capital Budget'!Q29</f>
        <v>-25076.04000000007</v>
      </c>
      <c r="N15" s="278">
        <f t="shared" si="1"/>
        <v>-16.92632700000005</v>
      </c>
      <c r="P15" s="278">
        <f t="shared" si="2"/>
        <v>-6.0694380000000496</v>
      </c>
      <c r="R15" s="278">
        <f t="shared" si="3"/>
        <v>-17033.900000000071</v>
      </c>
      <c r="S15" s="367"/>
    </row>
    <row r="16" spans="1:19">
      <c r="A16" s="6">
        <f t="shared" si="4"/>
        <v>4</v>
      </c>
      <c r="B16" s="4"/>
      <c r="C16" s="9" t="s">
        <v>62</v>
      </c>
      <c r="D16" s="6">
        <v>380</v>
      </c>
      <c r="F16" s="274">
        <f>'202011 Bk Depr'!R16</f>
        <v>10642363.970000004</v>
      </c>
      <c r="H16" s="1">
        <f t="shared" ref="H16:H18" si="5">3.24%/12</f>
        <v>2.7000000000000006E-3</v>
      </c>
      <c r="J16" s="278">
        <f t="shared" si="0"/>
        <v>28734.382719000019</v>
      </c>
      <c r="L16" s="279">
        <f>'Cap&amp;OpEx 2020'!N12-L15-'2020 Capital Budget'!Q86</f>
        <v>-56901.699999999255</v>
      </c>
      <c r="N16" s="278">
        <f t="shared" si="1"/>
        <v>-76.817294999999007</v>
      </c>
      <c r="P16" s="278">
        <f t="shared" si="2"/>
        <v>28657.565424000019</v>
      </c>
      <c r="R16" s="278">
        <f t="shared" si="3"/>
        <v>10585462.270000005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'202011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2020'!N13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'202011 Bk Depr'!R18</f>
        <v>46392606.610000014</v>
      </c>
      <c r="H18" s="1">
        <f t="shared" si="5"/>
        <v>2.7000000000000006E-3</v>
      </c>
      <c r="J18" s="278">
        <f t="shared" si="0"/>
        <v>125260.03784700007</v>
      </c>
      <c r="L18" s="280">
        <f>'Cap&amp;OpEx 2020'!N14-'2020 Capital Budget'!Q89</f>
        <v>1052295.860000001</v>
      </c>
      <c r="N18" s="278">
        <f t="shared" si="1"/>
        <v>1420.5994110000017</v>
      </c>
      <c r="P18" s="278">
        <f t="shared" si="2"/>
        <v>126680.63725800008</v>
      </c>
      <c r="R18" s="278">
        <f t="shared" si="3"/>
        <v>47444902.470000014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146685921.70000002</v>
      </c>
      <c r="J19" s="276">
        <f>SUM(J13:J18)</f>
        <v>311628.77333075006</v>
      </c>
      <c r="L19" s="276">
        <f>SUM(L13:L18)</f>
        <v>2091505.6099999964</v>
      </c>
      <c r="N19" s="276">
        <f>SUM(N13:N18)</f>
        <v>2284.5367700416646</v>
      </c>
      <c r="P19" s="276">
        <f>SUM(P13:P18)</f>
        <v>313913.3101007918</v>
      </c>
      <c r="R19" s="276">
        <f>SUM(R13:R18)</f>
        <v>148777427.31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'202011 Bk Depr'!R22</f>
        <v>-87326.15</v>
      </c>
      <c r="H22" s="1">
        <f>1.62%/12</f>
        <v>1.3500000000000003E-3</v>
      </c>
      <c r="J22" s="278">
        <f t="shared" ref="J22:J27" si="6">F22*H22</f>
        <v>-117.89030250000002</v>
      </c>
      <c r="L22" s="279">
        <f>'Cap&amp;OpEx 2020'!N17</f>
        <v>0</v>
      </c>
      <c r="N22" s="486">
        <f>H22*L22*0.5</f>
        <v>0</v>
      </c>
      <c r="P22" s="278">
        <f t="shared" ref="P22:P27" si="7">J22+N22</f>
        <v>-117.89030250000002</v>
      </c>
      <c r="R22" s="278">
        <f t="shared" ref="R22:R27" si="8">L22+F22</f>
        <v>-87326.15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'202011 Bk Depr'!R23</f>
        <v>-215742.57</v>
      </c>
      <c r="G23" s="389"/>
      <c r="H23" s="392">
        <f>2.05%/12</f>
        <v>1.7083333333333332E-3</v>
      </c>
      <c r="I23" s="389"/>
      <c r="J23" s="326">
        <f t="shared" si="6"/>
        <v>-368.56022374999998</v>
      </c>
      <c r="K23" s="389"/>
      <c r="L23" s="393">
        <f>'Cap&amp;OpEx 2020'!N18</f>
        <v>0</v>
      </c>
      <c r="M23" s="389"/>
      <c r="N23" s="487">
        <f t="shared" ref="N23:N27" si="10">H23*L23*0.5</f>
        <v>0</v>
      </c>
      <c r="O23" s="389"/>
      <c r="P23" s="326">
        <f t="shared" si="7"/>
        <v>-368.56022374999998</v>
      </c>
      <c r="Q23" s="389"/>
      <c r="R23" s="326">
        <f t="shared" si="8"/>
        <v>-215742.57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'202011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'202011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2020'!N19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'202011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2020'!N20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'202011 Bk Depr'!R27</f>
        <v>-63255.53</v>
      </c>
      <c r="G27" s="389"/>
      <c r="H27" s="392">
        <f>3.24%/12</f>
        <v>2.7000000000000006E-3</v>
      </c>
      <c r="I27" s="389"/>
      <c r="J27" s="326">
        <f t="shared" si="6"/>
        <v>-170.78993100000002</v>
      </c>
      <c r="K27" s="389"/>
      <c r="L27" s="396">
        <f>'Cap&amp;OpEx 2020'!N21</f>
        <v>0</v>
      </c>
      <c r="M27" s="389"/>
      <c r="N27" s="487">
        <f t="shared" si="10"/>
        <v>0</v>
      </c>
      <c r="O27" s="389"/>
      <c r="P27" s="326">
        <f t="shared" si="7"/>
        <v>-170.78993100000002</v>
      </c>
      <c r="Q27" s="389"/>
      <c r="R27" s="32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-366324.25</v>
      </c>
      <c r="J28" s="276">
        <f>SUM(J22:J27)</f>
        <v>-657.24045724999996</v>
      </c>
      <c r="L28" s="276">
        <f>SUM(L22:L27)</f>
        <v>0</v>
      </c>
      <c r="N28" s="276">
        <f>SUM(N22:N27)</f>
        <v>0</v>
      </c>
      <c r="P28" s="276">
        <f>SUM(P22:P27)</f>
        <v>-657.24045724999996</v>
      </c>
      <c r="R28" s="276">
        <f>SUM(R22:R27)</f>
        <v>-366324.25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146319597.45000002</v>
      </c>
      <c r="G30" s="411"/>
      <c r="I30" s="411"/>
      <c r="J30" s="413">
        <f>J19+J28</f>
        <v>310971.53287350008</v>
      </c>
      <c r="K30" s="411"/>
      <c r="L30" s="413">
        <f>L19+L28</f>
        <v>2091505.6099999964</v>
      </c>
      <c r="M30" s="411"/>
      <c r="N30" s="413">
        <f>N19+N28</f>
        <v>2284.5367700416646</v>
      </c>
      <c r="O30" s="411"/>
      <c r="P30" s="413">
        <f>P19+P28</f>
        <v>313256.06964354182</v>
      </c>
      <c r="Q30" s="411"/>
      <c r="R30" s="413">
        <f>R19+R28</f>
        <v>148411103.06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'202011 Bk Depr'!R33</f>
        <v>1927915.84</v>
      </c>
      <c r="J33" s="278"/>
      <c r="L33" s="279">
        <f>'Cap&amp;OpEx 2020'!N31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'202011 Bk Depr'!R34</f>
        <v>45058.31</v>
      </c>
      <c r="G34" s="389"/>
      <c r="H34" s="390"/>
      <c r="I34" s="389"/>
      <c r="J34" s="326"/>
      <c r="K34" s="389"/>
      <c r="L34" s="393">
        <f>'Cap&amp;OpEx 2020'!N32</f>
        <v>0</v>
      </c>
      <c r="M34" s="389"/>
      <c r="N34" s="326"/>
      <c r="O34" s="389"/>
      <c r="P34" s="326"/>
      <c r="Q34" s="389"/>
      <c r="R34" s="326">
        <f t="shared" si="11"/>
        <v>45058.31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'202011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'202011 Bk Depr'!R36</f>
        <v>7105442.2000000002</v>
      </c>
      <c r="J36" s="278"/>
      <c r="L36" s="415">
        <f>'Cap&amp;OpEx 2020'!N33</f>
        <v>-4495.0799999999981</v>
      </c>
      <c r="N36" s="278"/>
      <c r="P36" s="278"/>
      <c r="R36" s="417">
        <f t="shared" si="11"/>
        <v>7100947.1200000001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'202011 Bk Depr'!R37</f>
        <v>160988.60999999999</v>
      </c>
      <c r="G37" s="397"/>
      <c r="I37" s="397"/>
      <c r="J37" s="274"/>
      <c r="K37" s="397"/>
      <c r="L37" s="415">
        <f>'Cap&amp;OpEx 2020'!N34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'202011 Bk Depr'!R38</f>
        <v>4081088.53</v>
      </c>
      <c r="G38" s="389"/>
      <c r="H38" s="390"/>
      <c r="I38" s="389"/>
      <c r="J38" s="326"/>
      <c r="K38" s="389"/>
      <c r="L38" s="416">
        <f>'Cap&amp;OpEx 2020'!N35</f>
        <v>260101.99</v>
      </c>
      <c r="M38" s="389"/>
      <c r="N38" s="326"/>
      <c r="O38" s="389"/>
      <c r="P38" s="326"/>
      <c r="Q38" s="389"/>
      <c r="R38" s="417">
        <f t="shared" si="11"/>
        <v>4341190.5199999996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13320493.489999998</v>
      </c>
      <c r="G39" s="389"/>
      <c r="H39" s="390"/>
      <c r="I39" s="389"/>
      <c r="J39" s="401">
        <f>SUM(J33:J38)</f>
        <v>0</v>
      </c>
      <c r="K39" s="389"/>
      <c r="L39" s="401">
        <f>SUM(L33:L38)</f>
        <v>255606.91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13576100.399999999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16 of 18&amp;L&amp;1#&amp;"Calibri"&amp;14&amp;K000000Business Use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16FA-8028-4D3A-B971-D55D275D72DE}">
  <sheetPr>
    <tabColor theme="6" tint="0.39997558519241921"/>
    <pageSetUpPr fitToPage="1"/>
  </sheetPr>
  <dimension ref="A1:AC93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bestFit="1" customWidth="1"/>
    <col min="9" max="11" width="14.140625" style="52" customWidth="1"/>
    <col min="12" max="12" width="15" style="52" bestFit="1" customWidth="1"/>
    <col min="13" max="13" width="13.85546875" style="52" bestFit="1" customWidth="1"/>
    <col min="14" max="14" width="14.42578125" style="52" bestFit="1" customWidth="1"/>
    <col min="15" max="15" width="13.85546875" style="52" bestFit="1" customWidth="1"/>
    <col min="16" max="16" width="11.5703125" style="52" bestFit="1" customWidth="1"/>
    <col min="17" max="17" width="10.85546875" style="52" customWidth="1"/>
    <col min="18" max="18" width="11.42578125" style="52" customWidth="1"/>
    <col min="19" max="19" width="11.140625" style="52" customWidth="1"/>
    <col min="20" max="20" width="14.85546875" style="52" customWidth="1"/>
    <col min="21" max="21" width="12" style="52" customWidth="1"/>
    <col min="22" max="22" width="9.140625" style="52"/>
    <col min="23" max="23" width="13.85546875" style="52" customWidth="1"/>
    <col min="24" max="25" width="9.140625" style="52"/>
    <col min="26" max="26" width="9.85546875" style="52" bestFit="1" customWidth="1"/>
    <col min="27" max="27" width="11.85546875" style="52" bestFit="1" customWidth="1"/>
    <col min="28" max="28" width="10.5703125" style="52" bestFit="1" customWidth="1"/>
    <col min="29" max="29" width="9.5703125" style="52" bestFit="1" customWidth="1"/>
    <col min="30" max="16384" width="9.140625" style="52"/>
  </cols>
  <sheetData>
    <row r="1" spans="1:29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9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9" ht="18.75">
      <c r="A3" s="191" t="s">
        <v>551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</row>
    <row r="4" spans="1:29">
      <c r="A4" s="53"/>
    </row>
    <row r="6" spans="1:29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155"/>
      <c r="M6" s="54"/>
      <c r="N6" s="54"/>
      <c r="O6" s="54"/>
      <c r="P6" s="54"/>
      <c r="Q6" s="54"/>
      <c r="R6" s="54"/>
      <c r="S6" s="54"/>
      <c r="T6" s="54"/>
    </row>
    <row r="7" spans="1:29" ht="25.5">
      <c r="A7" s="54"/>
      <c r="B7" s="54"/>
      <c r="C7" s="55"/>
      <c r="D7" s="54" t="s">
        <v>25</v>
      </c>
      <c r="E7" s="421" t="s">
        <v>555</v>
      </c>
      <c r="F7" s="54"/>
      <c r="G7" s="54"/>
      <c r="H7" s="54"/>
      <c r="I7" s="54"/>
      <c r="J7" s="54"/>
      <c r="K7" s="54"/>
      <c r="L7" s="54"/>
      <c r="M7" s="54" t="s">
        <v>35</v>
      </c>
      <c r="N7" s="54"/>
      <c r="O7" s="54"/>
      <c r="P7" s="55" t="s">
        <v>178</v>
      </c>
      <c r="Q7" s="55" t="s">
        <v>179</v>
      </c>
      <c r="R7" s="55" t="s">
        <v>184</v>
      </c>
      <c r="S7" s="55" t="s">
        <v>186</v>
      </c>
      <c r="T7" s="54" t="s">
        <v>41</v>
      </c>
      <c r="U7" s="55" t="s">
        <v>161</v>
      </c>
      <c r="V7" s="55"/>
      <c r="W7" s="55" t="s">
        <v>233</v>
      </c>
    </row>
    <row r="8" spans="1:29">
      <c r="A8" s="54" t="s">
        <v>4</v>
      </c>
      <c r="B8" s="54"/>
      <c r="C8" s="54"/>
      <c r="D8" s="54" t="s">
        <v>26</v>
      </c>
      <c r="E8" s="422" t="s">
        <v>556</v>
      </c>
      <c r="F8" s="54"/>
      <c r="G8" s="54"/>
      <c r="H8" s="422">
        <v>2017</v>
      </c>
      <c r="I8" s="422">
        <v>2018</v>
      </c>
      <c r="J8" s="422">
        <v>2019</v>
      </c>
      <c r="K8" s="422">
        <v>2020</v>
      </c>
      <c r="L8" s="54" t="s">
        <v>34</v>
      </c>
      <c r="M8" s="54" t="s">
        <v>36</v>
      </c>
      <c r="N8" s="54" t="s">
        <v>38</v>
      </c>
      <c r="O8" s="54"/>
      <c r="P8" s="54" t="s">
        <v>34</v>
      </c>
      <c r="Q8" s="54" t="s">
        <v>34</v>
      </c>
      <c r="R8" s="54" t="s">
        <v>185</v>
      </c>
      <c r="S8" s="54" t="s">
        <v>187</v>
      </c>
      <c r="T8" s="54" t="s">
        <v>40</v>
      </c>
      <c r="U8" s="54" t="s">
        <v>234</v>
      </c>
      <c r="V8" s="54" t="s">
        <v>161</v>
      </c>
      <c r="W8" s="54" t="s">
        <v>40</v>
      </c>
      <c r="Z8" s="54" t="s">
        <v>633</v>
      </c>
      <c r="AA8" s="54" t="s">
        <v>635</v>
      </c>
      <c r="AB8" s="54" t="s">
        <v>634</v>
      </c>
      <c r="AC8" s="54" t="s">
        <v>636</v>
      </c>
    </row>
    <row r="9" spans="1:29">
      <c r="A9" s="350" t="s">
        <v>5</v>
      </c>
      <c r="B9" s="350"/>
      <c r="C9" s="350"/>
      <c r="D9" s="350" t="s">
        <v>2</v>
      </c>
      <c r="E9" s="423" t="s">
        <v>557</v>
      </c>
      <c r="F9" s="350"/>
      <c r="G9" s="350" t="s">
        <v>105</v>
      </c>
      <c r="H9" s="350" t="s">
        <v>20</v>
      </c>
      <c r="I9" s="350" t="s">
        <v>20</v>
      </c>
      <c r="J9" s="350" t="s">
        <v>20</v>
      </c>
      <c r="K9" s="350" t="s">
        <v>20</v>
      </c>
      <c r="L9" s="350" t="s">
        <v>0</v>
      </c>
      <c r="M9" s="350" t="s">
        <v>37</v>
      </c>
      <c r="N9" s="350" t="s">
        <v>0</v>
      </c>
      <c r="O9" s="350" t="s">
        <v>39</v>
      </c>
      <c r="P9" s="56" t="s">
        <v>340</v>
      </c>
      <c r="Q9" s="56" t="s">
        <v>183</v>
      </c>
      <c r="R9" s="56" t="s">
        <v>340</v>
      </c>
      <c r="S9" s="56" t="s">
        <v>12</v>
      </c>
      <c r="T9" s="350" t="s">
        <v>42</v>
      </c>
      <c r="U9" s="56" t="s">
        <v>235</v>
      </c>
      <c r="V9" s="56" t="s">
        <v>236</v>
      </c>
      <c r="W9" s="350" t="s">
        <v>42</v>
      </c>
      <c r="Z9" s="56" t="s">
        <v>20</v>
      </c>
      <c r="AA9" s="56" t="s">
        <v>20</v>
      </c>
      <c r="AB9" s="56" t="s">
        <v>20</v>
      </c>
      <c r="AC9" s="56" t="s">
        <v>637</v>
      </c>
    </row>
    <row r="10" spans="1:29">
      <c r="C10" s="57"/>
      <c r="D10" s="57" t="s">
        <v>69</v>
      </c>
      <c r="E10" s="424"/>
      <c r="F10" s="58"/>
      <c r="G10" s="58"/>
      <c r="H10" s="424" t="s">
        <v>163</v>
      </c>
      <c r="I10" s="424" t="s">
        <v>164</v>
      </c>
      <c r="J10" s="424" t="s">
        <v>165</v>
      </c>
      <c r="K10" s="424" t="s">
        <v>174</v>
      </c>
    </row>
    <row r="11" spans="1:29">
      <c r="A11" s="52">
        <v>1</v>
      </c>
      <c r="C11" s="57" t="s">
        <v>68</v>
      </c>
      <c r="D11" s="59"/>
      <c r="E11" s="424"/>
      <c r="H11" s="27">
        <f>'Tax Depr 2017'!L11</f>
        <v>8664070.7300000023</v>
      </c>
      <c r="I11" s="27">
        <f>'Tax Depr 2018'!H11</f>
        <v>12433934.719999999</v>
      </c>
      <c r="J11" s="27">
        <f>'Tax Depr 2019'!I11</f>
        <v>14207969.879999999</v>
      </c>
      <c r="K11" s="27">
        <f>'2020 Capital Budget'!R30-K12-SUM('2020 Capital Budget'!R16:R19,'2020 Capital Budget'!R22:R24,'2020 Capital Budget'!R28)</f>
        <v>12186112.289999984</v>
      </c>
    </row>
    <row r="12" spans="1:29">
      <c r="A12" s="52">
        <v>2</v>
      </c>
      <c r="C12" s="57" t="s">
        <v>72</v>
      </c>
      <c r="D12" s="59"/>
      <c r="E12" s="424"/>
      <c r="H12" s="27">
        <f>'Tax Depr 2017'!L12</f>
        <v>4210527.95</v>
      </c>
      <c r="I12" s="27">
        <f>'Tax Depr 2018'!H12</f>
        <v>5000082.9600000009</v>
      </c>
      <c r="J12" s="27">
        <f>'Tax Depr 2019'!I12</f>
        <v>6478540.9299999997</v>
      </c>
      <c r="K12" s="27">
        <f>SUM('2020 Capital Budget'!R9:R11,'2020 Capital Budget'!R20:R21,'2020 Capital Budget'!R29)</f>
        <v>4703450.4099999983</v>
      </c>
    </row>
    <row r="13" spans="1:29">
      <c r="A13" s="52">
        <v>3</v>
      </c>
      <c r="C13" s="57" t="s">
        <v>182</v>
      </c>
      <c r="D13" s="59"/>
      <c r="E13" s="424"/>
      <c r="H13" s="27">
        <f>'Tax Depr 2017'!L13</f>
        <v>4807381.1899999995</v>
      </c>
      <c r="I13" s="27">
        <f>'Tax Depr 2018'!H13</f>
        <v>0</v>
      </c>
      <c r="J13" s="27">
        <f>'Tax Depr 2019'!I13</f>
        <v>0</v>
      </c>
      <c r="K13" s="27">
        <v>0</v>
      </c>
    </row>
    <row r="14" spans="1:29">
      <c r="C14" s="59"/>
      <c r="E14" s="425"/>
      <c r="Y14" s="50"/>
      <c r="Z14" s="50"/>
      <c r="AA14" s="50"/>
      <c r="AB14" s="50"/>
    </row>
    <row r="15" spans="1:29">
      <c r="C15" s="422" t="s">
        <v>561</v>
      </c>
      <c r="E15" s="426"/>
      <c r="H15" s="195"/>
      <c r="I15" s="195"/>
      <c r="J15" s="195"/>
      <c r="K15" s="195"/>
      <c r="L15" s="195"/>
      <c r="M15" s="195"/>
      <c r="N15" s="244"/>
      <c r="Y15" s="50"/>
      <c r="Z15" s="50"/>
      <c r="AA15" s="50"/>
      <c r="AB15" s="50"/>
    </row>
    <row r="16" spans="1:29">
      <c r="C16" s="422" t="s">
        <v>562</v>
      </c>
      <c r="E16" s="426"/>
      <c r="H16" s="424" t="s">
        <v>163</v>
      </c>
      <c r="I16" s="424" t="s">
        <v>164</v>
      </c>
      <c r="J16" s="424" t="s">
        <v>165</v>
      </c>
      <c r="K16" s="424" t="s">
        <v>174</v>
      </c>
      <c r="S16" s="27">
        <v>0</v>
      </c>
      <c r="T16" s="27">
        <f>S16+'Tax Depr 2019'!R28</f>
        <v>8790723.2920829672</v>
      </c>
      <c r="U16" s="27"/>
      <c r="W16" s="27">
        <f>T16</f>
        <v>8790723.2920829672</v>
      </c>
      <c r="Y16" s="50"/>
      <c r="Z16" s="469"/>
      <c r="AA16" s="469"/>
      <c r="AB16" s="469"/>
    </row>
    <row r="17" spans="1:29">
      <c r="A17" s="52">
        <f>A13+1</f>
        <v>4</v>
      </c>
      <c r="C17" s="61">
        <v>3.7499999999999999E-2</v>
      </c>
      <c r="D17" s="61">
        <v>0.05</v>
      </c>
      <c r="E17" s="427">
        <v>1</v>
      </c>
      <c r="G17" s="52">
        <v>1</v>
      </c>
      <c r="H17" s="27">
        <f>$H$11*$C$20/12</f>
        <v>44598.304082675015</v>
      </c>
      <c r="I17" s="27">
        <f>$I$11*$C$19/12</f>
        <v>69184.48510453332</v>
      </c>
      <c r="J17" s="27">
        <f>$J$11*$C$18/12</f>
        <v>85472.778803099995</v>
      </c>
      <c r="K17" s="27">
        <f>AC17</f>
        <v>47967.051093750015</v>
      </c>
      <c r="L17" s="27">
        <f>SUM(H17:K17)</f>
        <v>247222.61908405836</v>
      </c>
      <c r="M17" s="27">
        <f>SUM('202001 Bk Depr'!$L$33,'202001 Bk Depr'!$L$35:$L$38)+'Cap&amp;OpEx 2020'!C31</f>
        <v>370170.22</v>
      </c>
      <c r="N17" s="27">
        <f>SUM('202001 Bk Depr'!P13,'202001 Bk Depr'!P15:P18)</f>
        <v>142011.17514450004</v>
      </c>
      <c r="O17" s="27">
        <f t="shared" ref="O17:O28" si="0">L17+M17-N17</f>
        <v>475381.66393955826</v>
      </c>
      <c r="P17" s="27">
        <f t="shared" ref="P17:P22" si="1">O17*0.21</f>
        <v>99830.149427307231</v>
      </c>
      <c r="Q17" s="27">
        <f t="shared" ref="Q17:Q28" si="2">P61</f>
        <v>25006.382930754164</v>
      </c>
      <c r="R17" s="27">
        <f t="shared" ref="R17:R22" si="3">-Q17*0.21</f>
        <v>-5251.3404154583741</v>
      </c>
      <c r="S17" s="27"/>
      <c r="T17" s="27">
        <f t="shared" ref="T17:T28" si="4">T16+P17+Q17+R17+S17</f>
        <v>8910308.4840255696</v>
      </c>
      <c r="U17" s="27">
        <f>T17-T16</f>
        <v>119585.1919426024</v>
      </c>
      <c r="V17" s="247" t="s">
        <v>518</v>
      </c>
      <c r="W17" s="27">
        <f>W16+U17*336/366</f>
        <v>8900506.4191122409</v>
      </c>
      <c r="Z17" s="27">
        <f>(((('202001 Bk Depr'!$L$19-'202001 Bk Depr'!$L$14-SUM('2020 Capital Budget'!$F$9:$F$11,'2020 Capital Budget'!$F$20:$F$21,'2020 Capital Budget'!$F$29)-(1/12*$K$13))*$C$17))/12)</f>
        <v>1562.518593750008</v>
      </c>
      <c r="AA17" s="27">
        <f>SUM('2020 Capital Budget'!$F$9:$F$11,'2020 Capital Budget'!$F$20:$F$21,'2020 Capital Budget'!$F$29,-'2020 Capital Budget'!$F$86)*1/12</f>
        <v>46404.532500000008</v>
      </c>
      <c r="AB17" s="27">
        <f>(1/12*$K$13)</f>
        <v>0</v>
      </c>
      <c r="AC17" s="27">
        <f>SUM(Z17:AB17)</f>
        <v>47967.051093750015</v>
      </c>
    </row>
    <row r="18" spans="1:29">
      <c r="A18" s="52">
        <f>A17+1</f>
        <v>5</v>
      </c>
      <c r="C18" s="61">
        <v>7.2190000000000004E-2</v>
      </c>
      <c r="D18" s="61">
        <v>9.5000000000000001E-2</v>
      </c>
      <c r="E18" s="427">
        <v>2</v>
      </c>
      <c r="G18" s="52">
        <v>2</v>
      </c>
      <c r="H18" s="27">
        <f t="shared" ref="H18:H28" si="5">$H$11*$C$20/12</f>
        <v>44598.304082675015</v>
      </c>
      <c r="I18" s="27">
        <f t="shared" ref="I18:I28" si="6">$I$11*$C$19/12</f>
        <v>69184.48510453332</v>
      </c>
      <c r="J18" s="27">
        <f t="shared" ref="J18:J28" si="7">$J$11*$C$18/12</f>
        <v>85472.778803099995</v>
      </c>
      <c r="K18" s="27">
        <f t="shared" ref="K18:K28" si="8">AC18</f>
        <v>118375.44619791655</v>
      </c>
      <c r="L18" s="27">
        <f t="shared" ref="L18:L28" si="9">SUM(H18:K18)</f>
        <v>317631.01418822492</v>
      </c>
      <c r="M18" s="27">
        <f>SUM('202002 Bk Depr'!$L$33,'202002 Bk Depr'!$L$35:$L$38)+'Cap&amp;OpEx 2020'!D31</f>
        <v>528502.6</v>
      </c>
      <c r="N18" s="27">
        <f>SUM('202002 Bk Depr'!P13,'202002 Bk Depr'!P15:P18)</f>
        <v>144538.13720700005</v>
      </c>
      <c r="O18" s="27">
        <f t="shared" si="0"/>
        <v>701595.47698122484</v>
      </c>
      <c r="P18" s="27">
        <f t="shared" si="1"/>
        <v>147335.05016605722</v>
      </c>
      <c r="Q18" s="27">
        <f t="shared" si="2"/>
        <v>36317.073582837496</v>
      </c>
      <c r="R18" s="27">
        <f t="shared" si="3"/>
        <v>-7626.5854523958742</v>
      </c>
      <c r="S18" s="27"/>
      <c r="T18" s="27">
        <f t="shared" si="4"/>
        <v>9086334.022322068</v>
      </c>
      <c r="U18" s="27">
        <f t="shared" ref="U18:U28" si="10">T18-T17</f>
        <v>176025.53829649836</v>
      </c>
      <c r="V18" s="247" t="s">
        <v>508</v>
      </c>
      <c r="W18" s="27">
        <f>W17+U18*307/366</f>
        <v>9048156.255880069</v>
      </c>
      <c r="Z18" s="27">
        <f>(((('202001 Bk Depr'!$L$19-'202001 Bk Depr'!$L$14+'202002 Bk Depr'!$L$19-'202002 Bk Depr'!$L$14-SUM('2020 Capital Budget'!$F$9:$F$11,'2020 Capital Budget'!$F$20:$F$21,'2020 Capital Budget'!$F$29,-'2020 Capital Budget'!$F$86,'2020 Capital Budget'!$G$9:$G$11,'2020 Capital Budget'!$G$20:$G$21,'2020 Capital Budget'!$G$29,-'2020 Capital Budget'!$G$86)-(1/12*$K$13))*$C$17))*2/12)-Z17</f>
        <v>4193.5820312499654</v>
      </c>
      <c r="AA18" s="27">
        <f>SUM('2020 Capital Budget'!$F$9:$F$11,'2020 Capital Budget'!$F$20:$F$21,'2020 Capital Budget'!$F$29,-'2020 Capital Budget'!$F$86,'2020 Capital Budget'!$G$9:$G$11,'2020 Capital Budget'!$G$20:$G$21,'2020 Capital Budget'!$G$29,-'2020 Capital Budget'!$G$86)*2/12-AA17</f>
        <v>114181.86416666658</v>
      </c>
      <c r="AB18" s="27">
        <f t="shared" ref="AB18:AB28" si="11">(1/12*$K$13)</f>
        <v>0</v>
      </c>
      <c r="AC18" s="27">
        <f t="shared" ref="AC18:AC28" si="12">SUM(Z18:AB18)</f>
        <v>118375.44619791655</v>
      </c>
    </row>
    <row r="19" spans="1:29">
      <c r="A19" s="52">
        <f t="shared" ref="A19:A44" si="13">A18+1</f>
        <v>6</v>
      </c>
      <c r="C19" s="61">
        <v>6.6769999999999996E-2</v>
      </c>
      <c r="D19" s="61">
        <v>8.5500000000000007E-2</v>
      </c>
      <c r="E19" s="427">
        <v>3</v>
      </c>
      <c r="G19" s="52">
        <v>3</v>
      </c>
      <c r="H19" s="27">
        <f t="shared" si="5"/>
        <v>44598.304082675015</v>
      </c>
      <c r="I19" s="27">
        <f t="shared" si="6"/>
        <v>69184.48510453332</v>
      </c>
      <c r="J19" s="27">
        <f t="shared" si="7"/>
        <v>85472.778803099995</v>
      </c>
      <c r="K19" s="27">
        <f t="shared" si="8"/>
        <v>233461.43952083329</v>
      </c>
      <c r="L19" s="27">
        <f t="shared" si="9"/>
        <v>432717.00751114159</v>
      </c>
      <c r="M19" s="27">
        <f>SUM('202003 Bk Depr'!$L$33,'202003 Bk Depr'!$L$35:$L$38)+'Cap&amp;OpEx 2020'!E31</f>
        <v>665896.83000000007</v>
      </c>
      <c r="N19" s="27">
        <f>SUM('202003 Bk Depr'!P13,'202003 Bk Depr'!P15:P18)</f>
        <v>149374.72467675008</v>
      </c>
      <c r="O19" s="27">
        <f t="shared" si="0"/>
        <v>949239.11283439165</v>
      </c>
      <c r="P19" s="27">
        <f t="shared" si="1"/>
        <v>199340.21369522225</v>
      </c>
      <c r="Q19" s="27">
        <f t="shared" si="2"/>
        <v>48699.255375495835</v>
      </c>
      <c r="R19" s="27">
        <f t="shared" si="3"/>
        <v>-10226.843628854125</v>
      </c>
      <c r="S19" s="27"/>
      <c r="T19" s="27">
        <f t="shared" si="4"/>
        <v>9324146.6477639321</v>
      </c>
      <c r="U19" s="27">
        <f t="shared" si="10"/>
        <v>237812.62544186413</v>
      </c>
      <c r="V19" s="247" t="s">
        <v>509</v>
      </c>
      <c r="W19" s="27">
        <f>W18+U19*276/366</f>
        <v>9227490.3668690156</v>
      </c>
      <c r="Z19" s="27">
        <f>(((('202001 Bk Depr'!$L$19-'202001 Bk Depr'!$L$14+'202002 Bk Depr'!$L$19-'202002 Bk Depr'!$L$14+'202003 Bk Depr'!$L$19-'202003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Budget'!$H$86)-(1/12*$K$13))*$C$17))*3/12)-Z18-Z17</f>
        <v>23997.686187500025</v>
      </c>
      <c r="AA19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Budget'!$H$86)*3/12-AA18-AA17</f>
        <v>209463.75333333327</v>
      </c>
      <c r="AB19" s="27">
        <f t="shared" si="11"/>
        <v>0</v>
      </c>
      <c r="AC19" s="27">
        <f t="shared" si="12"/>
        <v>233461.43952083329</v>
      </c>
    </row>
    <row r="20" spans="1:29">
      <c r="A20" s="52">
        <f t="shared" si="13"/>
        <v>7</v>
      </c>
      <c r="C20" s="61">
        <v>6.1769999999999999E-2</v>
      </c>
      <c r="D20" s="61">
        <v>7.6999999999999999E-2</v>
      </c>
      <c r="E20" s="427">
        <v>4</v>
      </c>
      <c r="G20" s="52">
        <v>4</v>
      </c>
      <c r="H20" s="27">
        <f t="shared" si="5"/>
        <v>44598.304082675015</v>
      </c>
      <c r="I20" s="27">
        <f t="shared" si="6"/>
        <v>69184.48510453332</v>
      </c>
      <c r="J20" s="27">
        <f t="shared" si="7"/>
        <v>85472.778803099995</v>
      </c>
      <c r="K20" s="27">
        <f t="shared" si="8"/>
        <v>308429.99768750032</v>
      </c>
      <c r="L20" s="27">
        <f t="shared" si="9"/>
        <v>507685.56567780866</v>
      </c>
      <c r="M20" s="27">
        <f>SUM('202004 Bk Depr'!$L$33,'202004 Bk Depr'!$L$35:$L$38)+'Cap&amp;OpEx 2020'!F31</f>
        <v>666383.49</v>
      </c>
      <c r="N20" s="27">
        <f>SUM('202004 Bk Depr'!P13,'202004 Bk Depr'!P15:P18)</f>
        <v>154753.45548750006</v>
      </c>
      <c r="O20" s="27">
        <f t="shared" si="0"/>
        <v>1019315.6001903085</v>
      </c>
      <c r="P20" s="27">
        <f t="shared" si="1"/>
        <v>214056.27603996478</v>
      </c>
      <c r="Q20" s="27">
        <f t="shared" si="2"/>
        <v>52203.079743291681</v>
      </c>
      <c r="R20" s="27">
        <f t="shared" si="3"/>
        <v>-10962.646746091252</v>
      </c>
      <c r="S20" s="27"/>
      <c r="T20" s="27">
        <f t="shared" si="4"/>
        <v>9579443.3568010982</v>
      </c>
      <c r="U20" s="27">
        <f t="shared" si="10"/>
        <v>255296.70903716609</v>
      </c>
      <c r="V20" s="247" t="s">
        <v>510</v>
      </c>
      <c r="W20" s="27">
        <f>W19+U20*246/366</f>
        <v>9399083.2368776035</v>
      </c>
      <c r="Z20" s="27">
        <f>(((('202001 Bk Depr'!$L$19-'202001 Bk Depr'!$L$14+'202002 Bk Depr'!$L$19-'202002 Bk Depr'!$L$14+'202003 Bk Depr'!$L$19-'202003 Bk Depr'!$L$14+'202004 Bk Depr'!$L$19-'202004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Budget'!$I$86)-(1/12*$K$13))*$C$17))*4/12)-Z19-Z18-Z17</f>
        <v>19017.347687500071</v>
      </c>
      <c r="AA20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Budget'!$I$86)*4/12-AA19-AA18-AA17</f>
        <v>289412.65000000026</v>
      </c>
      <c r="AB20" s="27">
        <f t="shared" si="11"/>
        <v>0</v>
      </c>
      <c r="AC20" s="27">
        <f t="shared" si="12"/>
        <v>308429.99768750032</v>
      </c>
    </row>
    <row r="21" spans="1:29">
      <c r="A21" s="52">
        <f t="shared" si="13"/>
        <v>8</v>
      </c>
      <c r="C21" s="61">
        <v>5.713E-2</v>
      </c>
      <c r="D21" s="61">
        <v>6.93E-2</v>
      </c>
      <c r="E21" s="427">
        <v>5</v>
      </c>
      <c r="G21" s="52">
        <v>5</v>
      </c>
      <c r="H21" s="27">
        <f t="shared" si="5"/>
        <v>44598.304082675015</v>
      </c>
      <c r="I21" s="27">
        <f t="shared" si="6"/>
        <v>69184.48510453332</v>
      </c>
      <c r="J21" s="27">
        <f t="shared" si="7"/>
        <v>85472.778803099995</v>
      </c>
      <c r="K21" s="27">
        <f t="shared" si="8"/>
        <v>380075.098885416</v>
      </c>
      <c r="L21" s="27">
        <f t="shared" si="9"/>
        <v>579330.66687572433</v>
      </c>
      <c r="M21" s="27">
        <f>SUM('202005 Bk Depr'!$L$33,'202005 Bk Depr'!$L$35:$L$38)+'Cap&amp;OpEx 2020'!G31</f>
        <v>529101.43999999994</v>
      </c>
      <c r="N21" s="27">
        <f>SUM('202005 Bk Depr'!P13,'202005 Bk Depr'!P15:P18)</f>
        <v>158244.87846150005</v>
      </c>
      <c r="O21" s="27">
        <f t="shared" si="0"/>
        <v>950187.22841422411</v>
      </c>
      <c r="P21" s="27">
        <f t="shared" si="1"/>
        <v>199539.31796698706</v>
      </c>
      <c r="Q21" s="27">
        <f t="shared" si="2"/>
        <v>48746.661154487461</v>
      </c>
      <c r="R21" s="27">
        <f t="shared" si="3"/>
        <v>-10236.798842442366</v>
      </c>
      <c r="S21" s="27"/>
      <c r="T21" s="27">
        <f t="shared" si="4"/>
        <v>9817492.5370801296</v>
      </c>
      <c r="U21" s="27">
        <f t="shared" si="10"/>
        <v>238049.1802790314</v>
      </c>
      <c r="V21" s="247" t="s">
        <v>511</v>
      </c>
      <c r="W21" s="27">
        <f>W20+U21*215/366</f>
        <v>9538920.8701016251</v>
      </c>
      <c r="Z21" s="27">
        <f>(((('202001 Bk Depr'!$L$19-'202001 Bk Depr'!$L$14+'202002 Bk Depr'!$L$19-'202002 Bk Depr'!$L$14+'202003 Bk Depr'!$L$19-'202003 Bk Depr'!$L$14+'202004 Bk Depr'!$L$19-'202004 Bk Depr'!$L$14+'202005 Bk Depr'!$L$19-'202005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Budget'!$J$88)-(1/12*$K$13))*$C$17))*5/12)-Z20-Z19-Z18-Z17</f>
        <v>26038.782218749919</v>
      </c>
      <c r="AA21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Budget'!$J$88)*5/12-AA20-AA19-AA18-AA17</f>
        <v>354036.31666666607</v>
      </c>
      <c r="AB21" s="27">
        <f t="shared" si="11"/>
        <v>0</v>
      </c>
      <c r="AC21" s="27">
        <f t="shared" si="12"/>
        <v>380075.098885416</v>
      </c>
    </row>
    <row r="22" spans="1:29">
      <c r="A22" s="52">
        <f t="shared" si="13"/>
        <v>9</v>
      </c>
      <c r="C22" s="61">
        <v>5.2850000000000001E-2</v>
      </c>
      <c r="D22" s="61">
        <v>6.2300000000000001E-2</v>
      </c>
      <c r="E22" s="427">
        <v>6</v>
      </c>
      <c r="G22" s="52">
        <v>6</v>
      </c>
      <c r="H22" s="27">
        <f t="shared" si="5"/>
        <v>44598.304082675015</v>
      </c>
      <c r="I22" s="27">
        <f t="shared" si="6"/>
        <v>69184.48510453332</v>
      </c>
      <c r="J22" s="27">
        <f t="shared" si="7"/>
        <v>85472.778803099995</v>
      </c>
      <c r="K22" s="27">
        <f t="shared" si="8"/>
        <v>455085.29992708325</v>
      </c>
      <c r="L22" s="27">
        <f t="shared" si="9"/>
        <v>654340.86791739159</v>
      </c>
      <c r="M22" s="27">
        <f>SUM('202006 Bk Depr'!$L$33,'202006 Bk Depr'!$L$35:$L$38)+'Cap&amp;OpEx 2020'!H31</f>
        <v>374139.23</v>
      </c>
      <c r="N22" s="27">
        <f>SUM('202006 Bk Depr'!P13,'202006 Bk Depr'!P15:P18)</f>
        <v>162122.92097625005</v>
      </c>
      <c r="O22" s="27">
        <f t="shared" si="0"/>
        <v>866357.17694114149</v>
      </c>
      <c r="P22" s="27">
        <f t="shared" si="1"/>
        <v>181935.00715763972</v>
      </c>
      <c r="Q22" s="27">
        <f t="shared" si="2"/>
        <v>44555.158580833318</v>
      </c>
      <c r="R22" s="27">
        <f t="shared" si="3"/>
        <v>-9356.5833019749971</v>
      </c>
      <c r="S22" s="27"/>
      <c r="T22" s="27">
        <f t="shared" si="4"/>
        <v>10034626.11951663</v>
      </c>
      <c r="U22" s="27">
        <f t="shared" si="10"/>
        <v>217133.58243650012</v>
      </c>
      <c r="V22" s="247" t="s">
        <v>512</v>
      </c>
      <c r="W22" s="27">
        <f>W21+U22*185/366</f>
        <v>9648674.1836282723</v>
      </c>
      <c r="Z22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Budget'!$K$88)-(1/12*$K$13))*$C$17))*6/12)-Z21-Z20-Z19-Z18-Z17</f>
        <v>35152.366593750026</v>
      </c>
      <c r="AA22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Budget'!$K$88)*6/12-AA21-AA20-AA19-AA18-AA17</f>
        <v>419932.93333333323</v>
      </c>
      <c r="AB22" s="27">
        <f t="shared" si="11"/>
        <v>0</v>
      </c>
      <c r="AC22" s="27">
        <f t="shared" si="12"/>
        <v>455085.29992708325</v>
      </c>
    </row>
    <row r="23" spans="1:29">
      <c r="A23" s="52">
        <f t="shared" si="13"/>
        <v>10</v>
      </c>
      <c r="C23" s="61">
        <v>4.888E-2</v>
      </c>
      <c r="D23" s="61">
        <v>5.8999999999999997E-2</v>
      </c>
      <c r="E23" s="427">
        <v>7</v>
      </c>
      <c r="G23" s="52">
        <v>7</v>
      </c>
      <c r="H23" s="27">
        <f>$H$11*$C$20/12</f>
        <v>44598.304082675015</v>
      </c>
      <c r="I23" s="27">
        <f t="shared" si="6"/>
        <v>69184.48510453332</v>
      </c>
      <c r="J23" s="27">
        <f t="shared" si="7"/>
        <v>85472.778803099995</v>
      </c>
      <c r="K23" s="27">
        <f t="shared" si="8"/>
        <v>506583.16108333285</v>
      </c>
      <c r="L23" s="27">
        <f t="shared" si="9"/>
        <v>705838.72907364112</v>
      </c>
      <c r="M23" s="27">
        <f>SUM('202007 Bk Depr'!$L$33,'202007 Bk Depr'!$L$35:$L$38)+'Cap&amp;OpEx 2020'!I31</f>
        <v>344571.41</v>
      </c>
      <c r="N23" s="27">
        <f>SUM('202007 Bk Depr'!P13,'202007 Bk Depr'!P15:P18)</f>
        <v>165956.34341250005</v>
      </c>
      <c r="O23" s="27">
        <f t="shared" si="0"/>
        <v>884453.79566114093</v>
      </c>
      <c r="P23" s="27">
        <f>O23*0.21</f>
        <v>185735.29708883958</v>
      </c>
      <c r="Q23" s="27">
        <f t="shared" si="2"/>
        <v>45459.989516833302</v>
      </c>
      <c r="R23" s="27">
        <f>-Q23*0.21</f>
        <v>-9546.5977985349928</v>
      </c>
      <c r="S23" s="27"/>
      <c r="T23" s="27">
        <f t="shared" si="4"/>
        <v>10256274.808323767</v>
      </c>
      <c r="U23" s="27">
        <f t="shared" si="10"/>
        <v>221648.68880713731</v>
      </c>
      <c r="V23" s="247" t="s">
        <v>513</v>
      </c>
      <c r="W23" s="27">
        <f>W22+U23*154/366</f>
        <v>9741936.2002301831</v>
      </c>
      <c r="Z23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Budget'!$K$88,'2020 Capital Budget'!$L$9:$L$11,'2020 Capital Budget'!$L$20:$L$21,'2020 Capital Budget'!$L$29,-'2020 Capital Budget'!$L$86,-'2020 Capital Budget'!$L$88)-(1/12*$K$13))*$C$17))*7/12)-Z22-Z21-Z20-Z19-Z18-Z17</f>
        <v>38817.690249999971</v>
      </c>
      <c r="AA23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Budget'!$K$88,'2020 Capital Budget'!$L$9:$L$11,'2020 Capital Budget'!$L$20:$L$21,'2020 Capital Budget'!$L$29,-'2020 Capital Budget'!$L$86,-'2020 Capital Budget'!$L$88)*7/12-AA22-AA21-AA20-AA19-AA18-AA17</f>
        <v>467765.47083333286</v>
      </c>
      <c r="AB23" s="27">
        <f t="shared" si="11"/>
        <v>0</v>
      </c>
      <c r="AC23" s="27">
        <f t="shared" si="12"/>
        <v>506583.16108333285</v>
      </c>
    </row>
    <row r="24" spans="1:29">
      <c r="A24" s="52">
        <f t="shared" si="13"/>
        <v>11</v>
      </c>
      <c r="C24" s="61">
        <v>4.5220000000000003E-2</v>
      </c>
      <c r="D24" s="61">
        <v>5.8999999999999997E-2</v>
      </c>
      <c r="E24" s="427">
        <v>8</v>
      </c>
      <c r="G24" s="52">
        <v>8</v>
      </c>
      <c r="H24" s="27">
        <f t="shared" si="5"/>
        <v>44598.304082675015</v>
      </c>
      <c r="I24" s="27">
        <f t="shared" si="6"/>
        <v>69184.48510453332</v>
      </c>
      <c r="J24" s="27">
        <f t="shared" si="7"/>
        <v>85472.778803099995</v>
      </c>
      <c r="K24" s="27">
        <f t="shared" si="8"/>
        <v>570942.58268750017</v>
      </c>
      <c r="L24" s="27">
        <f t="shared" si="9"/>
        <v>770198.15067780856</v>
      </c>
      <c r="M24" s="27">
        <f>SUM('202008 Bk Depr'!$L$33,'202008 Bk Depr'!$L$35:$L$38)+'Cap&amp;OpEx 2020'!J31</f>
        <v>390739.53</v>
      </c>
      <c r="N24" s="27">
        <f>SUM('202008 Bk Depr'!P13,'202008 Bk Depr'!P15:P18)</f>
        <v>169814.63860650008</v>
      </c>
      <c r="O24" s="27">
        <f t="shared" si="0"/>
        <v>991123.04207130847</v>
      </c>
      <c r="P24" s="27">
        <f t="shared" ref="P24:P28" si="14">O24*0.21</f>
        <v>208135.83883497477</v>
      </c>
      <c r="Q24" s="27">
        <f t="shared" si="2"/>
        <v>50793.451837341679</v>
      </c>
      <c r="R24" s="27">
        <f t="shared" ref="R24:R28" si="15">-Q24*0.21</f>
        <v>-10666.624885841753</v>
      </c>
      <c r="S24" s="27"/>
      <c r="T24" s="27">
        <f t="shared" si="4"/>
        <v>10504537.474110242</v>
      </c>
      <c r="U24" s="27">
        <f t="shared" si="10"/>
        <v>248262.66578647494</v>
      </c>
      <c r="V24" s="247" t="s">
        <v>514</v>
      </c>
      <c r="W24" s="27">
        <f>W23+U24*123/366</f>
        <v>9825368.7354535069</v>
      </c>
      <c r="Z24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Budget'!$M$86)-(1/12*$K$13))*$C$17))*8/12)-Z23-Z22-Z21-Z20-Z19-Z18-Z17</f>
        <v>50151.750187500016</v>
      </c>
      <c r="AA24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Budget'!$M$86)*8/12-AA23-AA22-AA21-AA20-AA19-AA18-AA17</f>
        <v>520790.83250000019</v>
      </c>
      <c r="AB24" s="27">
        <f t="shared" si="11"/>
        <v>0</v>
      </c>
      <c r="AC24" s="27">
        <f t="shared" si="12"/>
        <v>570942.58268750017</v>
      </c>
    </row>
    <row r="25" spans="1:29">
      <c r="A25" s="52">
        <f t="shared" si="13"/>
        <v>12</v>
      </c>
      <c r="C25" s="61">
        <v>4.462E-2</v>
      </c>
      <c r="D25" s="61">
        <v>5.91E-2</v>
      </c>
      <c r="E25" s="427">
        <v>9</v>
      </c>
      <c r="G25" s="52">
        <v>9</v>
      </c>
      <c r="H25" s="27">
        <f t="shared" si="5"/>
        <v>44598.304082675015</v>
      </c>
      <c r="I25" s="27">
        <f t="shared" si="6"/>
        <v>69184.48510453332</v>
      </c>
      <c r="J25" s="27">
        <f t="shared" si="7"/>
        <v>85472.778803099995</v>
      </c>
      <c r="K25" s="27">
        <f t="shared" si="8"/>
        <v>718407.85526041756</v>
      </c>
      <c r="L25" s="27">
        <f t="shared" si="9"/>
        <v>917663.42325072596</v>
      </c>
      <c r="M25" s="27">
        <f>SUM('202009 Bk Depr'!$L$33,'202009 Bk Depr'!$L$35:$L$38)+'Cap&amp;OpEx 2020'!K31</f>
        <v>358958.88999999996</v>
      </c>
      <c r="N25" s="27">
        <f>SUM('202009 Bk Depr'!P13,'202009 Bk Depr'!P15:P18)</f>
        <v>173784.89303325006</v>
      </c>
      <c r="O25" s="27">
        <f t="shared" si="0"/>
        <v>1102837.4202174759</v>
      </c>
      <c r="P25" s="27">
        <f t="shared" si="14"/>
        <v>231595.85824566992</v>
      </c>
      <c r="Q25" s="27">
        <f t="shared" si="2"/>
        <v>56379.170744650044</v>
      </c>
      <c r="R25" s="27">
        <f t="shared" si="15"/>
        <v>-11839.62585637651</v>
      </c>
      <c r="S25" s="27"/>
      <c r="T25" s="27">
        <f t="shared" si="4"/>
        <v>10780672.877244186</v>
      </c>
      <c r="U25" s="27">
        <f t="shared" si="10"/>
        <v>276135.40313394368</v>
      </c>
      <c r="V25" s="247" t="s">
        <v>515</v>
      </c>
      <c r="W25" s="27">
        <f>W24+U25*93/366</f>
        <v>9895534.2887088526</v>
      </c>
      <c r="Z25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Budget'!$N$86)-(1/12*$K$13))*$C$17))*9/12)-Z24-Z23-Z22-Z21-Z20-Z19-Z18-Z17</f>
        <v>50899.331093749948</v>
      </c>
      <c r="AA25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Budget'!$N$86)*9/12-AA24-AA23-AA22-AA21-AA20-AA19-AA18-AA17</f>
        <v>667508.5241666676</v>
      </c>
      <c r="AB25" s="27">
        <f t="shared" si="11"/>
        <v>0</v>
      </c>
      <c r="AC25" s="27">
        <f t="shared" si="12"/>
        <v>718407.85526041756</v>
      </c>
    </row>
    <row r="26" spans="1:29">
      <c r="A26" s="52">
        <f t="shared" si="13"/>
        <v>13</v>
      </c>
      <c r="C26" s="61">
        <v>4.4609999999999997E-2</v>
      </c>
      <c r="D26" s="61">
        <v>5.8999999999999997E-2</v>
      </c>
      <c r="E26" s="427">
        <v>10</v>
      </c>
      <c r="G26" s="52">
        <v>10</v>
      </c>
      <c r="H26" s="27">
        <f t="shared" si="5"/>
        <v>44598.304082675015</v>
      </c>
      <c r="I26" s="27">
        <f t="shared" si="6"/>
        <v>69184.48510453332</v>
      </c>
      <c r="J26" s="27">
        <f t="shared" si="7"/>
        <v>85472.778803099995</v>
      </c>
      <c r="K26" s="27">
        <f t="shared" si="8"/>
        <v>704832.66442708508</v>
      </c>
      <c r="L26" s="27">
        <f t="shared" si="9"/>
        <v>904088.23241739348</v>
      </c>
      <c r="M26" s="27">
        <f>SUM('202010 Bk Depr'!$L$33,'202010 Bk Depr'!$L$35:$L$38)+'Cap&amp;OpEx 2020'!L31</f>
        <v>566539.47</v>
      </c>
      <c r="N26" s="27">
        <f>SUM('202010 Bk Depr'!P13,'202010 Bk Depr'!P15:P18)</f>
        <v>177821.93937150011</v>
      </c>
      <c r="O26" s="27">
        <f t="shared" si="0"/>
        <v>1292805.7630458933</v>
      </c>
      <c r="P26" s="27">
        <f t="shared" si="14"/>
        <v>271489.21023963758</v>
      </c>
      <c r="Q26" s="27">
        <f t="shared" si="2"/>
        <v>65877.58788607092</v>
      </c>
      <c r="R26" s="27">
        <f t="shared" si="15"/>
        <v>-13834.293456074893</v>
      </c>
      <c r="S26" s="27"/>
      <c r="T26" s="27">
        <f t="shared" si="4"/>
        <v>11104205.381913818</v>
      </c>
      <c r="U26" s="27">
        <f t="shared" si="10"/>
        <v>323532.50466963276</v>
      </c>
      <c r="V26" s="247" t="s">
        <v>516</v>
      </c>
      <c r="W26" s="27">
        <f>W25+U26*62/366</f>
        <v>9950340.3414124511</v>
      </c>
      <c r="Z26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Budget'!$O$86)-(1/12*$K$13))*$C$17))*10/12)-Z25-Z24-Z23-Z22-Z21-Z20-Z19-Z18-Z17</f>
        <v>66024.558593750451</v>
      </c>
      <c r="AA26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Budget'!$O$86)*10/12-AA25-AA24-AA23-AA22-AA21-AA20-AA19-AA18-AA17</f>
        <v>638808.10583333462</v>
      </c>
      <c r="AB26" s="27">
        <f t="shared" si="11"/>
        <v>0</v>
      </c>
      <c r="AC26" s="27">
        <f t="shared" si="12"/>
        <v>704832.66442708508</v>
      </c>
    </row>
    <row r="27" spans="1:29">
      <c r="A27" s="52">
        <f t="shared" si="13"/>
        <v>14</v>
      </c>
      <c r="C27" s="61">
        <v>4.462E-2</v>
      </c>
      <c r="D27" s="61">
        <v>5.91E-2</v>
      </c>
      <c r="E27" s="427">
        <v>11</v>
      </c>
      <c r="G27" s="52">
        <v>11</v>
      </c>
      <c r="H27" s="27">
        <f t="shared" si="5"/>
        <v>44598.304082675015</v>
      </c>
      <c r="I27" s="27">
        <f t="shared" si="6"/>
        <v>69184.48510453332</v>
      </c>
      <c r="J27" s="27">
        <f t="shared" si="7"/>
        <v>85472.778803099995</v>
      </c>
      <c r="K27" s="27">
        <f t="shared" si="8"/>
        <v>831732.10233333113</v>
      </c>
      <c r="L27" s="27">
        <f t="shared" si="9"/>
        <v>1030987.6703236394</v>
      </c>
      <c r="M27" s="27">
        <f>SUM('202011 Bk Depr'!$L$33,'202011 Bk Depr'!$L$35:$L$38)+'Cap&amp;OpEx 2020'!M31</f>
        <v>390710.01</v>
      </c>
      <c r="N27" s="27">
        <f>SUM('202011 Bk Depr'!P13,'202011 Bk Depr'!P15:P18)</f>
        <v>181759.28471325006</v>
      </c>
      <c r="O27" s="27">
        <f t="shared" si="0"/>
        <v>1239938.3956103893</v>
      </c>
      <c r="P27" s="27">
        <f t="shared" si="14"/>
        <v>260387.06307818173</v>
      </c>
      <c r="Q27" s="27">
        <f t="shared" si="2"/>
        <v>63234.219514295721</v>
      </c>
      <c r="R27" s="27">
        <f t="shared" si="15"/>
        <v>-13279.186098002101</v>
      </c>
      <c r="S27" s="27"/>
      <c r="T27" s="27">
        <f t="shared" si="4"/>
        <v>11414547.478408294</v>
      </c>
      <c r="U27" s="27">
        <f t="shared" si="10"/>
        <v>310342.09649447538</v>
      </c>
      <c r="V27" s="247" t="s">
        <v>517</v>
      </c>
      <c r="W27" s="27">
        <f>W26+U27*32/366</f>
        <v>9977474.0766250826</v>
      </c>
      <c r="Z27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Depr'!$L$14+'202011 Bk Depr'!$L$19-'202011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Budget'!$P$86)-(1/12*$K$13))*$C$17))*11/12)-Z26-Z25-Z24-Z23-Z22-Z21-Z20-Z19-Z18-Z17</f>
        <v>62724.476499999982</v>
      </c>
      <c r="AA27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Budget'!$P$86)*11/12-AA26-AA25-AA24-AA23-AA22-AA21-AA20-AA19-AA18-AA17</f>
        <v>769007.62583333114</v>
      </c>
      <c r="AB27" s="27">
        <f t="shared" si="11"/>
        <v>0</v>
      </c>
      <c r="AC27" s="27">
        <f t="shared" si="12"/>
        <v>831732.10233333113</v>
      </c>
    </row>
    <row r="28" spans="1:29">
      <c r="A28" s="52">
        <f t="shared" si="13"/>
        <v>15</v>
      </c>
      <c r="C28" s="61">
        <v>4.4609999999999997E-2</v>
      </c>
      <c r="D28" s="61">
        <v>5.8999999999999997E-2</v>
      </c>
      <c r="E28" s="427">
        <v>12</v>
      </c>
      <c r="G28" s="52">
        <v>12</v>
      </c>
      <c r="H28" s="27">
        <f t="shared" si="5"/>
        <v>44598.304082675015</v>
      </c>
      <c r="I28" s="27">
        <f t="shared" si="6"/>
        <v>69184.48510453332</v>
      </c>
      <c r="J28" s="27">
        <f t="shared" si="7"/>
        <v>85472.778803099995</v>
      </c>
      <c r="K28" s="27">
        <f t="shared" si="8"/>
        <v>284690.53177083511</v>
      </c>
      <c r="L28" s="27">
        <f t="shared" si="9"/>
        <v>483946.09976114344</v>
      </c>
      <c r="M28" s="27">
        <f>SUM('202012 Bk Depr'!$L$33,'202012 Bk Depr'!$L$35:$L$38)+'Cap&amp;OpEx 2020'!N31</f>
        <v>255606.91</v>
      </c>
      <c r="N28" s="27">
        <f>SUM('202012 Bk Depr'!P13,'202012 Bk Depr'!P15:P18)</f>
        <v>184892.1032385001</v>
      </c>
      <c r="O28" s="27">
        <f t="shared" si="0"/>
        <v>554660.9065226434</v>
      </c>
      <c r="P28" s="27">
        <f t="shared" si="14"/>
        <v>116478.79036975511</v>
      </c>
      <c r="Q28" s="27">
        <f t="shared" si="2"/>
        <v>28970.345059908421</v>
      </c>
      <c r="R28" s="27">
        <f t="shared" si="15"/>
        <v>-6083.7724625807678</v>
      </c>
      <c r="S28" s="27"/>
      <c r="T28" s="27">
        <f t="shared" si="4"/>
        <v>11553912.841375377</v>
      </c>
      <c r="U28" s="27">
        <f t="shared" si="10"/>
        <v>139365.36296708323</v>
      </c>
      <c r="V28" s="247" t="s">
        <v>507</v>
      </c>
      <c r="W28" s="27">
        <f>W27+U28*1/366</f>
        <v>9977854.8563053198</v>
      </c>
      <c r="Z28" s="27">
        <f>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Depr'!$L$14+'202011 Bk Depr'!$L$19-'202011 Bk Depr'!$L$14+'202012 Bk Depr'!$L$19-'202012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Budget'!$P$86,'2020 Capital Budget'!$Q$9:$Q$11,'2020 Capital Budget'!$Q$20:$Q$21,'2020 Capital Budget'!$Q$29,-'2020 Capital Budget'!$Q$86)-(1/12*$K$13))*$C$17)-Z27-Z26-Z25-Z24-Z23-Z22-Z21-Z20-Z19-Z18-Z17</f>
        <v>78399.120937500076</v>
      </c>
      <c r="AA28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Budget'!$P$86,'2020 Capital Budget'!$Q$9:$Q$11,'2020 Capital Budget'!$Q$20:$Q$21,'2020 Capital Budget'!$Q$29,-'2020 Capital Budget'!$Q$86)*1-AA27-AA26-AA25-AA24-AA23-AA22-AA21-AA20-AA19-AA18-AA17</f>
        <v>206291.41083333505</v>
      </c>
      <c r="AB28" s="27">
        <f t="shared" si="11"/>
        <v>0</v>
      </c>
      <c r="AC28" s="27">
        <f t="shared" si="12"/>
        <v>284690.53177083511</v>
      </c>
    </row>
    <row r="29" spans="1:29">
      <c r="A29" s="52">
        <f t="shared" si="13"/>
        <v>16</v>
      </c>
      <c r="C29" s="61">
        <v>4.462E-2</v>
      </c>
      <c r="D29" s="61">
        <v>5.91E-2</v>
      </c>
      <c r="E29" s="427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 t="str">
        <f t="shared" ref="S29:S43" si="16">IF(R29="","",R29*0.389)</f>
        <v/>
      </c>
      <c r="T29" s="62"/>
      <c r="W29" s="27"/>
    </row>
    <row r="30" spans="1:29">
      <c r="A30" s="52">
        <f t="shared" si="13"/>
        <v>17</v>
      </c>
      <c r="C30" s="61">
        <v>4.4609999999999997E-2</v>
      </c>
      <c r="D30" s="61">
        <v>5.8999999999999997E-2</v>
      </c>
      <c r="E30" s="427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 t="str">
        <f t="shared" si="16"/>
        <v/>
      </c>
      <c r="T30" s="27" t="str">
        <f t="shared" ref="T30:T43" si="17">IF(P30="","",T29+P30)</f>
        <v/>
      </c>
    </row>
    <row r="31" spans="1:29">
      <c r="A31" s="52">
        <f t="shared" si="13"/>
        <v>18</v>
      </c>
      <c r="C31" s="61">
        <v>4.462E-2</v>
      </c>
      <c r="D31" s="61">
        <v>5.91E-2</v>
      </c>
      <c r="E31" s="427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 t="str">
        <f t="shared" si="16"/>
        <v/>
      </c>
      <c r="T31" s="27" t="str">
        <f t="shared" si="17"/>
        <v/>
      </c>
    </row>
    <row r="32" spans="1:29">
      <c r="A32" s="52">
        <f t="shared" si="13"/>
        <v>19</v>
      </c>
      <c r="C32" s="61">
        <v>4.4609999999999997E-2</v>
      </c>
      <c r="D32" s="61">
        <v>2.9499999999999998E-2</v>
      </c>
      <c r="E32" s="427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 t="str">
        <f t="shared" si="16"/>
        <v/>
      </c>
      <c r="T32" s="27" t="str">
        <f t="shared" si="17"/>
        <v/>
      </c>
    </row>
    <row r="33" spans="1:20">
      <c r="A33" s="52">
        <f t="shared" si="13"/>
        <v>20</v>
      </c>
      <c r="C33" s="61">
        <v>4.462E-2</v>
      </c>
      <c r="D33" s="61">
        <v>0</v>
      </c>
      <c r="E33" s="427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 t="str">
        <f t="shared" si="16"/>
        <v/>
      </c>
      <c r="T33" s="27" t="str">
        <f t="shared" si="17"/>
        <v/>
      </c>
    </row>
    <row r="34" spans="1:20">
      <c r="A34" s="52">
        <f t="shared" si="13"/>
        <v>21</v>
      </c>
      <c r="C34" s="61">
        <v>4.4609999999999997E-2</v>
      </c>
      <c r="D34" s="61">
        <v>0</v>
      </c>
      <c r="E34" s="427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 t="str">
        <f t="shared" si="16"/>
        <v/>
      </c>
      <c r="T34" s="27" t="str">
        <f t="shared" si="17"/>
        <v/>
      </c>
    </row>
    <row r="35" spans="1:20">
      <c r="A35" s="52">
        <f t="shared" si="13"/>
        <v>22</v>
      </c>
      <c r="C35" s="61">
        <v>4.462E-2</v>
      </c>
      <c r="D35" s="61">
        <v>0</v>
      </c>
      <c r="E35" s="427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 t="str">
        <f t="shared" si="16"/>
        <v/>
      </c>
      <c r="T35" s="27" t="str">
        <f t="shared" si="17"/>
        <v/>
      </c>
    </row>
    <row r="36" spans="1:20">
      <c r="A36" s="52">
        <f t="shared" si="13"/>
        <v>23</v>
      </c>
      <c r="C36" s="61">
        <v>4.4609999999999997E-2</v>
      </c>
      <c r="D36" s="61">
        <v>0</v>
      </c>
      <c r="E36" s="427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 t="str">
        <f t="shared" si="16"/>
        <v/>
      </c>
      <c r="T36" s="27" t="str">
        <f t="shared" si="17"/>
        <v/>
      </c>
    </row>
    <row r="37" spans="1:20">
      <c r="A37" s="52">
        <f t="shared" si="13"/>
        <v>24</v>
      </c>
      <c r="C37" s="61">
        <v>2.231E-2</v>
      </c>
      <c r="D37" s="61">
        <v>0</v>
      </c>
      <c r="E37" s="427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 t="str">
        <f t="shared" si="16"/>
        <v/>
      </c>
      <c r="T37" s="27" t="str">
        <f t="shared" si="17"/>
        <v/>
      </c>
    </row>
    <row r="38" spans="1:20">
      <c r="A38" s="52">
        <f t="shared" si="13"/>
        <v>25</v>
      </c>
      <c r="C38" s="61">
        <v>0</v>
      </c>
      <c r="D38" s="61">
        <v>0</v>
      </c>
      <c r="E38" s="427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 t="str">
        <f t="shared" si="16"/>
        <v/>
      </c>
      <c r="T38" s="27" t="str">
        <f t="shared" si="17"/>
        <v/>
      </c>
    </row>
    <row r="39" spans="1:20">
      <c r="A39" s="52">
        <f t="shared" si="13"/>
        <v>26</v>
      </c>
      <c r="C39" s="61">
        <v>0</v>
      </c>
      <c r="E39" s="427">
        <v>23</v>
      </c>
      <c r="H39" s="27"/>
      <c r="I39" s="27"/>
      <c r="J39" s="27"/>
      <c r="K39" s="27"/>
      <c r="L39" s="27"/>
      <c r="O39" s="27"/>
      <c r="P39" s="27"/>
      <c r="Q39" s="27"/>
      <c r="R39" s="27"/>
      <c r="S39" s="27" t="str">
        <f t="shared" si="16"/>
        <v/>
      </c>
      <c r="T39" s="27" t="str">
        <f t="shared" si="17"/>
        <v/>
      </c>
    </row>
    <row r="40" spans="1:20">
      <c r="A40" s="52">
        <f t="shared" si="13"/>
        <v>27</v>
      </c>
      <c r="C40" s="61">
        <v>0</v>
      </c>
      <c r="E40" s="427">
        <v>24</v>
      </c>
      <c r="H40" s="27"/>
      <c r="I40" s="27"/>
      <c r="J40" s="27"/>
      <c r="K40" s="27"/>
      <c r="L40" s="27"/>
      <c r="O40" s="27"/>
      <c r="P40" s="27"/>
      <c r="Q40" s="27"/>
      <c r="R40" s="27"/>
      <c r="S40" s="27" t="str">
        <f t="shared" si="16"/>
        <v/>
      </c>
      <c r="T40" s="27" t="str">
        <f t="shared" si="17"/>
        <v/>
      </c>
    </row>
    <row r="41" spans="1:20">
      <c r="A41" s="52">
        <f t="shared" si="13"/>
        <v>28</v>
      </c>
      <c r="C41" s="61">
        <v>0</v>
      </c>
      <c r="E41" s="427">
        <v>25</v>
      </c>
      <c r="H41" s="27"/>
      <c r="I41" s="27"/>
      <c r="J41" s="27"/>
      <c r="K41" s="27"/>
      <c r="L41" s="27"/>
      <c r="O41" s="27"/>
      <c r="P41" s="27"/>
      <c r="Q41" s="27"/>
      <c r="R41" s="27"/>
      <c r="S41" s="27" t="str">
        <f t="shared" si="16"/>
        <v/>
      </c>
      <c r="T41" s="27" t="str">
        <f t="shared" si="17"/>
        <v/>
      </c>
    </row>
    <row r="42" spans="1:20">
      <c r="A42" s="52">
        <f t="shared" si="13"/>
        <v>29</v>
      </c>
      <c r="C42" s="61">
        <v>0</v>
      </c>
      <c r="E42" s="427">
        <v>26</v>
      </c>
      <c r="H42" s="27"/>
      <c r="I42" s="27"/>
      <c r="J42" s="27"/>
      <c r="K42" s="27"/>
      <c r="L42" s="27"/>
      <c r="O42" s="27"/>
      <c r="P42" s="27"/>
      <c r="Q42" s="27"/>
      <c r="R42" s="27"/>
      <c r="S42" s="27" t="str">
        <f t="shared" si="16"/>
        <v/>
      </c>
      <c r="T42" s="27" t="str">
        <f t="shared" si="17"/>
        <v/>
      </c>
    </row>
    <row r="43" spans="1:20">
      <c r="A43" s="52">
        <f t="shared" si="13"/>
        <v>30</v>
      </c>
      <c r="C43" s="61">
        <v>0</v>
      </c>
      <c r="E43" s="427">
        <v>27</v>
      </c>
      <c r="L43" s="27"/>
      <c r="O43" s="27"/>
      <c r="P43" s="27"/>
      <c r="Q43" s="27"/>
      <c r="R43" s="27"/>
      <c r="S43" s="27" t="str">
        <f t="shared" si="16"/>
        <v/>
      </c>
      <c r="T43" s="27" t="str">
        <f t="shared" si="17"/>
        <v/>
      </c>
    </row>
    <row r="44" spans="1:20">
      <c r="A44" s="52">
        <f t="shared" si="13"/>
        <v>31</v>
      </c>
      <c r="E44" s="403"/>
      <c r="H44" s="27">
        <f>SUM(H17:H43)</f>
        <v>535179.64899210015</v>
      </c>
      <c r="I44" s="27">
        <f>SUM(I17:I43)</f>
        <v>830213.82125440007</v>
      </c>
      <c r="J44" s="27">
        <f t="shared" ref="J44:S44" si="18">SUM(J17:J43)</f>
        <v>1025673.3456371999</v>
      </c>
      <c r="K44" s="27">
        <f>SUM(K17:K43)</f>
        <v>5160583.2308750013</v>
      </c>
      <c r="L44" s="27">
        <f t="shared" si="18"/>
        <v>7551650.0467587011</v>
      </c>
      <c r="M44" s="27">
        <f t="shared" si="18"/>
        <v>5441320.0299999993</v>
      </c>
      <c r="N44" s="27">
        <f t="shared" si="18"/>
        <v>1965074.4943290011</v>
      </c>
      <c r="O44" s="27">
        <f t="shared" si="18"/>
        <v>11027895.5824297</v>
      </c>
      <c r="P44" s="27">
        <f t="shared" si="18"/>
        <v>2315858.0723102367</v>
      </c>
      <c r="Q44" s="27">
        <f t="shared" si="18"/>
        <v>566242.37592680007</v>
      </c>
      <c r="R44" s="27">
        <f t="shared" si="18"/>
        <v>-118910.89894462802</v>
      </c>
      <c r="S44" s="27">
        <f t="shared" si="18"/>
        <v>0</v>
      </c>
      <c r="T44" s="27">
        <f>AVERAGE(T16:T28)</f>
        <v>10089017.332382161</v>
      </c>
    </row>
    <row r="45" spans="1:20">
      <c r="E45" s="403"/>
      <c r="H45" s="27"/>
      <c r="I45" s="27"/>
      <c r="J45" s="27"/>
      <c r="K45" s="468"/>
      <c r="L45" s="27"/>
      <c r="M45" s="27"/>
      <c r="N45" s="27"/>
      <c r="T45" s="27"/>
    </row>
    <row r="46" spans="1:20">
      <c r="B46" s="60" t="s">
        <v>163</v>
      </c>
      <c r="C46" s="52" t="s">
        <v>558</v>
      </c>
      <c r="E46" s="403"/>
      <c r="Q46" s="27"/>
      <c r="R46" s="27"/>
      <c r="S46" s="27"/>
    </row>
    <row r="47" spans="1:20">
      <c r="B47" s="60" t="s">
        <v>164</v>
      </c>
      <c r="C47" s="52" t="s">
        <v>559</v>
      </c>
      <c r="E47" s="403"/>
      <c r="Q47" s="54"/>
      <c r="R47" s="54"/>
      <c r="S47" s="54"/>
    </row>
    <row r="48" spans="1:20">
      <c r="B48" s="60" t="s">
        <v>165</v>
      </c>
      <c r="C48" s="52" t="s">
        <v>560</v>
      </c>
      <c r="D48" s="245"/>
      <c r="E48" s="403"/>
      <c r="Q48" s="48"/>
      <c r="R48" s="48"/>
      <c r="S48" s="48"/>
    </row>
    <row r="49" spans="1:20">
      <c r="B49" s="60" t="s">
        <v>174</v>
      </c>
      <c r="C49" s="52" t="s">
        <v>506</v>
      </c>
      <c r="D49" s="245"/>
      <c r="E49" s="403"/>
      <c r="Q49" s="48"/>
      <c r="R49" s="48"/>
      <c r="S49" s="48"/>
    </row>
    <row r="50" spans="1:20">
      <c r="A50" s="54"/>
      <c r="B50" s="54"/>
      <c r="C50" s="54"/>
      <c r="D50" s="54" t="s">
        <v>24</v>
      </c>
      <c r="E50" s="402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49"/>
      <c r="R50" s="49"/>
      <c r="S50" s="49"/>
      <c r="T50" s="54"/>
    </row>
    <row r="51" spans="1:20" ht="25.5">
      <c r="A51" s="54"/>
      <c r="B51" s="54"/>
      <c r="C51" s="55"/>
      <c r="D51" s="54" t="s">
        <v>25</v>
      </c>
      <c r="E51" s="421" t="s">
        <v>555</v>
      </c>
      <c r="F51" s="54"/>
      <c r="G51" s="54"/>
      <c r="H51" s="54">
        <v>2017</v>
      </c>
      <c r="I51" s="54">
        <v>2018</v>
      </c>
      <c r="J51" s="54">
        <v>2019</v>
      </c>
      <c r="K51" s="54">
        <v>2020</v>
      </c>
      <c r="L51" s="54"/>
      <c r="M51" s="54" t="s">
        <v>35</v>
      </c>
      <c r="N51" s="54"/>
      <c r="O51" s="54"/>
      <c r="P51" s="55" t="s">
        <v>179</v>
      </c>
      <c r="T51" s="49"/>
    </row>
    <row r="52" spans="1:20">
      <c r="A52" s="54" t="s">
        <v>4</v>
      </c>
      <c r="B52" s="54"/>
      <c r="C52" s="54"/>
      <c r="D52" s="54" t="s">
        <v>26</v>
      </c>
      <c r="E52" s="422" t="s">
        <v>556</v>
      </c>
      <c r="F52" s="54"/>
      <c r="G52" s="54"/>
      <c r="H52" s="54" t="s">
        <v>28</v>
      </c>
      <c r="I52" s="54" t="s">
        <v>29</v>
      </c>
      <c r="J52" s="54" t="s">
        <v>30</v>
      </c>
      <c r="K52" s="54" t="s">
        <v>31</v>
      </c>
      <c r="L52" s="54" t="s">
        <v>34</v>
      </c>
      <c r="M52" s="54" t="s">
        <v>36</v>
      </c>
      <c r="N52" s="54" t="s">
        <v>38</v>
      </c>
      <c r="O52" s="54"/>
      <c r="P52" s="54" t="s">
        <v>34</v>
      </c>
      <c r="T52" s="49"/>
    </row>
    <row r="53" spans="1:20">
      <c r="A53" s="350" t="s">
        <v>5</v>
      </c>
      <c r="B53" s="350"/>
      <c r="C53" s="350"/>
      <c r="D53" s="350" t="s">
        <v>2</v>
      </c>
      <c r="E53" s="423" t="s">
        <v>557</v>
      </c>
      <c r="F53" s="350"/>
      <c r="G53" s="350" t="s">
        <v>105</v>
      </c>
      <c r="H53" s="350" t="s">
        <v>20</v>
      </c>
      <c r="I53" s="350" t="s">
        <v>20</v>
      </c>
      <c r="J53" s="350" t="s">
        <v>20</v>
      </c>
      <c r="K53" s="350" t="s">
        <v>20</v>
      </c>
      <c r="L53" s="350" t="s">
        <v>0</v>
      </c>
      <c r="M53" s="350" t="s">
        <v>37</v>
      </c>
      <c r="N53" s="350" t="s">
        <v>0</v>
      </c>
      <c r="O53" s="350" t="s">
        <v>39</v>
      </c>
      <c r="P53" s="56" t="s">
        <v>453</v>
      </c>
      <c r="T53" s="49"/>
    </row>
    <row r="54" spans="1:20">
      <c r="C54" s="57"/>
      <c r="D54" s="57" t="s">
        <v>69</v>
      </c>
      <c r="E54" s="424"/>
      <c r="F54" s="58"/>
      <c r="G54" s="58"/>
      <c r="H54" s="424" t="s">
        <v>163</v>
      </c>
      <c r="I54" s="424" t="s">
        <v>164</v>
      </c>
      <c r="J54" s="424" t="s">
        <v>165</v>
      </c>
      <c r="K54" s="424" t="s">
        <v>174</v>
      </c>
      <c r="T54" s="50"/>
    </row>
    <row r="55" spans="1:20">
      <c r="A55" s="52">
        <v>1</v>
      </c>
      <c r="C55" s="57" t="s">
        <v>68</v>
      </c>
      <c r="D55" s="59"/>
      <c r="E55" s="424"/>
      <c r="H55" s="27">
        <f>H11+H13</f>
        <v>13471451.920000002</v>
      </c>
      <c r="I55" s="27">
        <f>I11+I13</f>
        <v>12433934.719999999</v>
      </c>
      <c r="J55" s="27">
        <f>J11</f>
        <v>14207969.879999999</v>
      </c>
      <c r="K55" s="27">
        <f>K11</f>
        <v>12186112.289999984</v>
      </c>
      <c r="L55" s="62"/>
      <c r="T55" s="50"/>
    </row>
    <row r="56" spans="1:20">
      <c r="A56" s="52">
        <v>2</v>
      </c>
      <c r="C56" s="57" t="s">
        <v>72</v>
      </c>
      <c r="D56" s="59"/>
      <c r="E56" s="424"/>
      <c r="H56" s="27"/>
      <c r="I56" s="27"/>
      <c r="J56" s="27"/>
      <c r="K56" s="27">
        <f>K12</f>
        <v>4703450.4099999983</v>
      </c>
      <c r="T56" s="50"/>
    </row>
    <row r="57" spans="1:20">
      <c r="A57" s="52">
        <v>3</v>
      </c>
      <c r="C57" s="57" t="s">
        <v>182</v>
      </c>
      <c r="D57" s="59"/>
      <c r="E57" s="424"/>
      <c r="H57" s="27"/>
      <c r="I57" s="27"/>
      <c r="J57" s="27"/>
      <c r="K57" s="27"/>
      <c r="T57" s="50"/>
    </row>
    <row r="58" spans="1:20">
      <c r="C58" s="59"/>
      <c r="E58" s="425"/>
      <c r="T58" s="50"/>
    </row>
    <row r="59" spans="1:20">
      <c r="C59" s="422" t="s">
        <v>561</v>
      </c>
      <c r="E59" s="426"/>
      <c r="H59" s="195"/>
      <c r="I59" s="195"/>
      <c r="J59" s="195"/>
      <c r="K59" s="195"/>
      <c r="L59" s="195"/>
      <c r="M59" s="195"/>
      <c r="N59" s="244"/>
      <c r="T59" s="50"/>
    </row>
    <row r="60" spans="1:20">
      <c r="C60" s="422" t="s">
        <v>562</v>
      </c>
      <c r="E60" s="426"/>
      <c r="H60" s="424" t="s">
        <v>163</v>
      </c>
      <c r="I60" s="424" t="s">
        <v>164</v>
      </c>
      <c r="J60" s="424" t="s">
        <v>165</v>
      </c>
      <c r="K60" s="424" t="s">
        <v>174</v>
      </c>
      <c r="T60" s="51"/>
    </row>
    <row r="61" spans="1:20">
      <c r="A61" s="52">
        <f>A57+1</f>
        <v>4</v>
      </c>
      <c r="C61" s="61">
        <v>3.7499999999999999E-2</v>
      </c>
      <c r="D61" s="61">
        <v>0.05</v>
      </c>
      <c r="E61" s="427">
        <v>1</v>
      </c>
      <c r="G61" s="52">
        <v>1</v>
      </c>
      <c r="H61" s="27">
        <f>$H$55*$C$64/12</f>
        <v>69344.298758200006</v>
      </c>
      <c r="I61" s="27">
        <f>$I$55*$C$63/12</f>
        <v>69184.48510453332</v>
      </c>
      <c r="J61" s="27">
        <f>$J$55*$C$62/12</f>
        <v>85472.778803099995</v>
      </c>
      <c r="K61" s="27">
        <f>K17</f>
        <v>47967.051093750015</v>
      </c>
      <c r="L61" s="27">
        <f>SUM(H61:K61)</f>
        <v>271968.61375958333</v>
      </c>
      <c r="M61" s="27">
        <f>M17</f>
        <v>370170.22</v>
      </c>
      <c r="N61" s="27">
        <f>N17</f>
        <v>142011.17514450004</v>
      </c>
      <c r="O61" s="27">
        <f t="shared" ref="O61:O72" si="19">L61+M61-N61</f>
        <v>500127.65861508326</v>
      </c>
      <c r="P61" s="27">
        <f>O61*0.05</f>
        <v>25006.382930754164</v>
      </c>
      <c r="T61" s="51"/>
    </row>
    <row r="62" spans="1:20">
      <c r="A62" s="52">
        <f>A61+1</f>
        <v>5</v>
      </c>
      <c r="C62" s="61">
        <v>7.2190000000000004E-2</v>
      </c>
      <c r="D62" s="61">
        <v>9.5000000000000001E-2</v>
      </c>
      <c r="E62" s="427">
        <v>2</v>
      </c>
      <c r="G62" s="52">
        <v>2</v>
      </c>
      <c r="H62" s="27">
        <f t="shared" ref="H62:H72" si="20">$H$55*$C$64/12</f>
        <v>69344.298758200006</v>
      </c>
      <c r="I62" s="27">
        <f t="shared" ref="I62:I72" si="21">$I$55*$C$63/12</f>
        <v>69184.48510453332</v>
      </c>
      <c r="J62" s="27">
        <f t="shared" ref="J62:J72" si="22">$J$55*$C$62/12</f>
        <v>85472.778803099995</v>
      </c>
      <c r="K62" s="27">
        <f t="shared" ref="K62:K72" si="23">K18</f>
        <v>118375.44619791655</v>
      </c>
      <c r="L62" s="27">
        <f t="shared" ref="L62:L72" si="24">SUM(H62:K62)</f>
        <v>342377.00886374991</v>
      </c>
      <c r="M62" s="27">
        <f t="shared" ref="M62:N71" si="25">M18</f>
        <v>528502.6</v>
      </c>
      <c r="N62" s="27">
        <f t="shared" si="25"/>
        <v>144538.13720700005</v>
      </c>
      <c r="O62" s="27">
        <f t="shared" si="19"/>
        <v>726341.47165674984</v>
      </c>
      <c r="P62" s="27">
        <f t="shared" ref="P62:P72" si="26">O62*0.05</f>
        <v>36317.073582837496</v>
      </c>
      <c r="T62" s="51"/>
    </row>
    <row r="63" spans="1:20">
      <c r="A63" s="52">
        <f t="shared" ref="A63:A88" si="27">A62+1</f>
        <v>6</v>
      </c>
      <c r="C63" s="61">
        <v>6.6769999999999996E-2</v>
      </c>
      <c r="D63" s="61">
        <v>8.5500000000000007E-2</v>
      </c>
      <c r="E63" s="427">
        <v>3</v>
      </c>
      <c r="G63" s="52">
        <v>3</v>
      </c>
      <c r="H63" s="27">
        <f>$H$55*$C$64/12</f>
        <v>69344.298758200006</v>
      </c>
      <c r="I63" s="27">
        <f t="shared" si="21"/>
        <v>69184.48510453332</v>
      </c>
      <c r="J63" s="27">
        <f t="shared" si="22"/>
        <v>85472.778803099995</v>
      </c>
      <c r="K63" s="27">
        <f t="shared" si="23"/>
        <v>233461.43952083329</v>
      </c>
      <c r="L63" s="27">
        <f t="shared" si="24"/>
        <v>457463.00218666659</v>
      </c>
      <c r="M63" s="27">
        <f t="shared" si="25"/>
        <v>665896.83000000007</v>
      </c>
      <c r="N63" s="27">
        <f t="shared" si="25"/>
        <v>149374.72467675008</v>
      </c>
      <c r="O63" s="27">
        <f t="shared" si="19"/>
        <v>973985.10750991665</v>
      </c>
      <c r="P63" s="27">
        <f t="shared" si="26"/>
        <v>48699.255375495835</v>
      </c>
      <c r="T63" s="51"/>
    </row>
    <row r="64" spans="1:20">
      <c r="A64" s="52">
        <f t="shared" si="27"/>
        <v>7</v>
      </c>
      <c r="C64" s="61">
        <v>6.1769999999999999E-2</v>
      </c>
      <c r="D64" s="61">
        <v>7.6999999999999999E-2</v>
      </c>
      <c r="E64" s="427">
        <v>4</v>
      </c>
      <c r="G64" s="52">
        <v>4</v>
      </c>
      <c r="H64" s="27">
        <f t="shared" si="20"/>
        <v>69344.298758200006</v>
      </c>
      <c r="I64" s="27">
        <f t="shared" si="21"/>
        <v>69184.48510453332</v>
      </c>
      <c r="J64" s="27">
        <f t="shared" si="22"/>
        <v>85472.778803099995</v>
      </c>
      <c r="K64" s="27">
        <f t="shared" si="23"/>
        <v>308429.99768750032</v>
      </c>
      <c r="L64" s="27">
        <f t="shared" si="24"/>
        <v>532431.5603533336</v>
      </c>
      <c r="M64" s="27">
        <f t="shared" si="25"/>
        <v>666383.49</v>
      </c>
      <c r="N64" s="27">
        <f t="shared" si="25"/>
        <v>154753.45548750006</v>
      </c>
      <c r="O64" s="27">
        <f t="shared" si="19"/>
        <v>1044061.5948658335</v>
      </c>
      <c r="P64" s="27">
        <f t="shared" si="26"/>
        <v>52203.079743291681</v>
      </c>
      <c r="T64" s="51"/>
    </row>
    <row r="65" spans="1:20">
      <c r="A65" s="52">
        <f t="shared" si="27"/>
        <v>8</v>
      </c>
      <c r="C65" s="61">
        <v>5.713E-2</v>
      </c>
      <c r="D65" s="61">
        <v>6.93E-2</v>
      </c>
      <c r="E65" s="427">
        <v>5</v>
      </c>
      <c r="G65" s="52">
        <v>5</v>
      </c>
      <c r="H65" s="27">
        <f t="shared" si="20"/>
        <v>69344.298758200006</v>
      </c>
      <c r="I65" s="27">
        <f t="shared" si="21"/>
        <v>69184.48510453332</v>
      </c>
      <c r="J65" s="27">
        <f t="shared" si="22"/>
        <v>85472.778803099995</v>
      </c>
      <c r="K65" s="27">
        <f t="shared" si="23"/>
        <v>380075.098885416</v>
      </c>
      <c r="L65" s="27">
        <f t="shared" si="24"/>
        <v>604076.66155124933</v>
      </c>
      <c r="M65" s="27">
        <f t="shared" si="25"/>
        <v>529101.43999999994</v>
      </c>
      <c r="N65" s="27">
        <f t="shared" si="25"/>
        <v>158244.87846150005</v>
      </c>
      <c r="O65" s="27">
        <f t="shared" si="19"/>
        <v>974933.22308974911</v>
      </c>
      <c r="P65" s="27">
        <f t="shared" si="26"/>
        <v>48746.661154487461</v>
      </c>
      <c r="T65" s="51"/>
    </row>
    <row r="66" spans="1:20">
      <c r="A66" s="52">
        <f t="shared" si="27"/>
        <v>9</v>
      </c>
      <c r="C66" s="61">
        <v>5.2850000000000001E-2</v>
      </c>
      <c r="D66" s="61">
        <v>6.2300000000000001E-2</v>
      </c>
      <c r="E66" s="427">
        <v>6</v>
      </c>
      <c r="G66" s="52">
        <v>6</v>
      </c>
      <c r="H66" s="27">
        <f t="shared" si="20"/>
        <v>69344.298758200006</v>
      </c>
      <c r="I66" s="27">
        <f t="shared" si="21"/>
        <v>69184.48510453332</v>
      </c>
      <c r="J66" s="27">
        <f t="shared" si="22"/>
        <v>85472.778803099995</v>
      </c>
      <c r="K66" s="27">
        <f t="shared" si="23"/>
        <v>455085.29992708325</v>
      </c>
      <c r="L66" s="27">
        <f t="shared" si="24"/>
        <v>679086.86259291659</v>
      </c>
      <c r="M66" s="27">
        <f t="shared" si="25"/>
        <v>374139.23</v>
      </c>
      <c r="N66" s="27">
        <f t="shared" si="25"/>
        <v>162122.92097625005</v>
      </c>
      <c r="O66" s="27">
        <f t="shared" si="19"/>
        <v>891103.17161666637</v>
      </c>
      <c r="P66" s="27">
        <f t="shared" si="26"/>
        <v>44555.158580833318</v>
      </c>
      <c r="T66" s="51"/>
    </row>
    <row r="67" spans="1:20">
      <c r="A67" s="52">
        <f t="shared" si="27"/>
        <v>10</v>
      </c>
      <c r="C67" s="61">
        <v>4.888E-2</v>
      </c>
      <c r="D67" s="61">
        <v>5.8999999999999997E-2</v>
      </c>
      <c r="E67" s="427">
        <v>7</v>
      </c>
      <c r="G67" s="52">
        <v>7</v>
      </c>
      <c r="H67" s="27">
        <f t="shared" si="20"/>
        <v>69344.298758200006</v>
      </c>
      <c r="I67" s="27">
        <f t="shared" si="21"/>
        <v>69184.48510453332</v>
      </c>
      <c r="J67" s="27">
        <f t="shared" si="22"/>
        <v>85472.778803099995</v>
      </c>
      <c r="K67" s="27">
        <f t="shared" si="23"/>
        <v>506583.16108333285</v>
      </c>
      <c r="L67" s="27">
        <f t="shared" si="24"/>
        <v>730584.72374916612</v>
      </c>
      <c r="M67" s="27">
        <f t="shared" si="25"/>
        <v>344571.41</v>
      </c>
      <c r="N67" s="27">
        <f t="shared" si="25"/>
        <v>165956.34341250005</v>
      </c>
      <c r="O67" s="27">
        <f t="shared" si="19"/>
        <v>909199.79033666593</v>
      </c>
      <c r="P67" s="27">
        <f t="shared" si="26"/>
        <v>45459.989516833302</v>
      </c>
      <c r="T67" s="51"/>
    </row>
    <row r="68" spans="1:20">
      <c r="A68" s="52">
        <f t="shared" si="27"/>
        <v>11</v>
      </c>
      <c r="C68" s="61">
        <v>4.5220000000000003E-2</v>
      </c>
      <c r="D68" s="61">
        <v>5.8999999999999997E-2</v>
      </c>
      <c r="E68" s="427">
        <v>8</v>
      </c>
      <c r="G68" s="52">
        <v>8</v>
      </c>
      <c r="H68" s="27">
        <f t="shared" si="20"/>
        <v>69344.298758200006</v>
      </c>
      <c r="I68" s="27">
        <f t="shared" si="21"/>
        <v>69184.48510453332</v>
      </c>
      <c r="J68" s="27">
        <f t="shared" si="22"/>
        <v>85472.778803099995</v>
      </c>
      <c r="K68" s="27">
        <f t="shared" si="23"/>
        <v>570942.58268750017</v>
      </c>
      <c r="L68" s="27">
        <f t="shared" si="24"/>
        <v>794944.14535333356</v>
      </c>
      <c r="M68" s="27">
        <f t="shared" si="25"/>
        <v>390739.53</v>
      </c>
      <c r="N68" s="27">
        <f t="shared" si="25"/>
        <v>169814.63860650008</v>
      </c>
      <c r="O68" s="27">
        <f t="shared" si="19"/>
        <v>1015869.0367468335</v>
      </c>
      <c r="P68" s="27">
        <f t="shared" si="26"/>
        <v>50793.451837341679</v>
      </c>
      <c r="T68" s="51"/>
    </row>
    <row r="69" spans="1:20">
      <c r="A69" s="52">
        <f t="shared" si="27"/>
        <v>12</v>
      </c>
      <c r="C69" s="61">
        <v>4.462E-2</v>
      </c>
      <c r="D69" s="61">
        <v>5.91E-2</v>
      </c>
      <c r="E69" s="427">
        <v>9</v>
      </c>
      <c r="G69" s="52">
        <v>9</v>
      </c>
      <c r="H69" s="27">
        <f t="shared" si="20"/>
        <v>69344.298758200006</v>
      </c>
      <c r="I69" s="27">
        <f t="shared" si="21"/>
        <v>69184.48510453332</v>
      </c>
      <c r="J69" s="27">
        <f t="shared" si="22"/>
        <v>85472.778803099995</v>
      </c>
      <c r="K69" s="27">
        <f t="shared" si="23"/>
        <v>718407.85526041756</v>
      </c>
      <c r="L69" s="27">
        <f t="shared" si="24"/>
        <v>942409.41792625096</v>
      </c>
      <c r="M69" s="27">
        <f t="shared" si="25"/>
        <v>358958.88999999996</v>
      </c>
      <c r="N69" s="27">
        <f t="shared" si="25"/>
        <v>173784.89303325006</v>
      </c>
      <c r="O69" s="27">
        <f t="shared" si="19"/>
        <v>1127583.4148930009</v>
      </c>
      <c r="P69" s="27">
        <f t="shared" si="26"/>
        <v>56379.170744650044</v>
      </c>
      <c r="T69" s="51"/>
    </row>
    <row r="70" spans="1:20">
      <c r="A70" s="52">
        <f t="shared" si="27"/>
        <v>13</v>
      </c>
      <c r="C70" s="61">
        <v>4.4609999999999997E-2</v>
      </c>
      <c r="D70" s="61">
        <v>5.8999999999999997E-2</v>
      </c>
      <c r="E70" s="427">
        <v>10</v>
      </c>
      <c r="G70" s="52">
        <v>10</v>
      </c>
      <c r="H70" s="27">
        <f t="shared" si="20"/>
        <v>69344.298758200006</v>
      </c>
      <c r="I70" s="27">
        <f t="shared" si="21"/>
        <v>69184.48510453332</v>
      </c>
      <c r="J70" s="27">
        <f t="shared" si="22"/>
        <v>85472.778803099995</v>
      </c>
      <c r="K70" s="27">
        <f t="shared" si="23"/>
        <v>704832.66442708508</v>
      </c>
      <c r="L70" s="27">
        <f t="shared" si="24"/>
        <v>928834.22709291847</v>
      </c>
      <c r="M70" s="27">
        <f t="shared" si="25"/>
        <v>566539.47</v>
      </c>
      <c r="N70" s="27">
        <f t="shared" si="25"/>
        <v>177821.93937150011</v>
      </c>
      <c r="O70" s="27">
        <f t="shared" si="19"/>
        <v>1317551.7577214183</v>
      </c>
      <c r="P70" s="27">
        <f t="shared" si="26"/>
        <v>65877.58788607092</v>
      </c>
      <c r="T70" s="51"/>
    </row>
    <row r="71" spans="1:20">
      <c r="A71" s="52">
        <f t="shared" si="27"/>
        <v>14</v>
      </c>
      <c r="C71" s="61">
        <v>4.462E-2</v>
      </c>
      <c r="D71" s="61">
        <v>5.91E-2</v>
      </c>
      <c r="E71" s="427">
        <v>11</v>
      </c>
      <c r="G71" s="52">
        <v>11</v>
      </c>
      <c r="H71" s="27">
        <f t="shared" si="20"/>
        <v>69344.298758200006</v>
      </c>
      <c r="I71" s="27">
        <f t="shared" si="21"/>
        <v>69184.48510453332</v>
      </c>
      <c r="J71" s="27">
        <f t="shared" si="22"/>
        <v>85472.778803099995</v>
      </c>
      <c r="K71" s="27">
        <f t="shared" si="23"/>
        <v>831732.10233333113</v>
      </c>
      <c r="L71" s="27">
        <f t="shared" si="24"/>
        <v>1055733.6649991644</v>
      </c>
      <c r="M71" s="27">
        <f t="shared" si="25"/>
        <v>390710.01</v>
      </c>
      <c r="N71" s="27">
        <f t="shared" si="25"/>
        <v>181759.28471325006</v>
      </c>
      <c r="O71" s="27">
        <f t="shared" si="19"/>
        <v>1264684.3902859143</v>
      </c>
      <c r="P71" s="27">
        <f t="shared" si="26"/>
        <v>63234.219514295721</v>
      </c>
      <c r="T71" s="51"/>
    </row>
    <row r="72" spans="1:20">
      <c r="A72" s="52">
        <f t="shared" si="27"/>
        <v>15</v>
      </c>
      <c r="C72" s="61">
        <v>4.4609999999999997E-2</v>
      </c>
      <c r="D72" s="61">
        <v>5.8999999999999997E-2</v>
      </c>
      <c r="E72" s="427">
        <v>12</v>
      </c>
      <c r="G72" s="52">
        <v>12</v>
      </c>
      <c r="H72" s="27">
        <f t="shared" si="20"/>
        <v>69344.298758200006</v>
      </c>
      <c r="I72" s="27">
        <f t="shared" si="21"/>
        <v>69184.48510453332</v>
      </c>
      <c r="J72" s="27">
        <f t="shared" si="22"/>
        <v>85472.778803099995</v>
      </c>
      <c r="K72" s="27">
        <f t="shared" si="23"/>
        <v>284690.53177083511</v>
      </c>
      <c r="L72" s="27">
        <f t="shared" si="24"/>
        <v>508692.09443666844</v>
      </c>
      <c r="M72" s="27">
        <f>M28</f>
        <v>255606.91</v>
      </c>
      <c r="N72" s="27">
        <f t="shared" ref="N72" si="28">N28</f>
        <v>184892.1032385001</v>
      </c>
      <c r="O72" s="27">
        <f t="shared" si="19"/>
        <v>579406.9011981684</v>
      </c>
      <c r="P72" s="27">
        <f t="shared" si="26"/>
        <v>28970.345059908421</v>
      </c>
      <c r="T72" s="51"/>
    </row>
    <row r="73" spans="1:20">
      <c r="A73" s="52">
        <f t="shared" si="27"/>
        <v>16</v>
      </c>
      <c r="C73" s="61">
        <v>4.462E-2</v>
      </c>
      <c r="D73" s="61">
        <v>5.91E-2</v>
      </c>
      <c r="E73" s="427">
        <v>13</v>
      </c>
      <c r="H73" s="27"/>
      <c r="I73" s="27"/>
      <c r="J73" s="27"/>
      <c r="K73" s="27"/>
      <c r="L73" s="27"/>
      <c r="M73" s="27"/>
      <c r="N73" s="27"/>
      <c r="O73" s="27" t="str">
        <f t="shared" ref="O73:O87" si="29">IF(N73=0,"",L73+M73-N73)</f>
        <v/>
      </c>
      <c r="P73" s="27" t="str">
        <f t="shared" ref="P73:P87" si="30">IF(O73="","",O73*0.389)</f>
        <v/>
      </c>
      <c r="Q73" s="51"/>
      <c r="R73" s="51"/>
      <c r="S73" s="51"/>
      <c r="T73" s="27" t="str">
        <f t="shared" ref="T73:T87" si="31">IF(P73="","",T72+P73)</f>
        <v/>
      </c>
    </row>
    <row r="74" spans="1:20">
      <c r="A74" s="52">
        <f t="shared" si="27"/>
        <v>17</v>
      </c>
      <c r="C74" s="61">
        <v>4.4609999999999997E-2</v>
      </c>
      <c r="D74" s="61">
        <v>5.8999999999999997E-2</v>
      </c>
      <c r="E74" s="427">
        <v>14</v>
      </c>
      <c r="H74" s="27"/>
      <c r="I74" s="27"/>
      <c r="J74" s="27"/>
      <c r="K74" s="27"/>
      <c r="L74" s="27"/>
      <c r="M74" s="27"/>
      <c r="N74" s="27"/>
      <c r="O74" s="27" t="str">
        <f t="shared" si="29"/>
        <v/>
      </c>
      <c r="P74" s="27" t="str">
        <f t="shared" si="30"/>
        <v/>
      </c>
      <c r="Q74" s="51"/>
      <c r="R74" s="51"/>
      <c r="S74" s="51"/>
      <c r="T74" s="27" t="str">
        <f t="shared" si="31"/>
        <v/>
      </c>
    </row>
    <row r="75" spans="1:20">
      <c r="A75" s="52">
        <f t="shared" si="27"/>
        <v>18</v>
      </c>
      <c r="C75" s="61">
        <v>4.462E-2</v>
      </c>
      <c r="D75" s="61">
        <v>5.91E-2</v>
      </c>
      <c r="E75" s="427">
        <v>15</v>
      </c>
      <c r="H75" s="27"/>
      <c r="I75" s="27"/>
      <c r="J75" s="27"/>
      <c r="K75" s="27"/>
      <c r="L75" s="27"/>
      <c r="M75" s="27"/>
      <c r="N75" s="27"/>
      <c r="O75" s="27" t="str">
        <f t="shared" si="29"/>
        <v/>
      </c>
      <c r="P75" s="27" t="str">
        <f t="shared" si="30"/>
        <v/>
      </c>
      <c r="Q75" s="51"/>
      <c r="R75" s="51"/>
      <c r="S75" s="51"/>
      <c r="T75" s="27" t="str">
        <f t="shared" si="31"/>
        <v/>
      </c>
    </row>
    <row r="76" spans="1:20">
      <c r="A76" s="52">
        <f t="shared" si="27"/>
        <v>19</v>
      </c>
      <c r="C76" s="61">
        <v>4.4609999999999997E-2</v>
      </c>
      <c r="D76" s="61">
        <v>2.9499999999999998E-2</v>
      </c>
      <c r="E76" s="427">
        <v>16</v>
      </c>
      <c r="H76" s="27"/>
      <c r="I76" s="27"/>
      <c r="J76" s="27"/>
      <c r="K76" s="27"/>
      <c r="L76" s="27"/>
      <c r="M76" s="27"/>
      <c r="N76" s="27"/>
      <c r="O76" s="27" t="str">
        <f t="shared" si="29"/>
        <v/>
      </c>
      <c r="P76" s="27" t="str">
        <f t="shared" si="30"/>
        <v/>
      </c>
      <c r="Q76" s="51"/>
      <c r="R76" s="51"/>
      <c r="S76" s="51"/>
      <c r="T76" s="27" t="str">
        <f t="shared" si="31"/>
        <v/>
      </c>
    </row>
    <row r="77" spans="1:20">
      <c r="A77" s="52">
        <f t="shared" si="27"/>
        <v>20</v>
      </c>
      <c r="C77" s="61">
        <v>4.462E-2</v>
      </c>
      <c r="D77" s="61">
        <v>0</v>
      </c>
      <c r="E77" s="427">
        <v>17</v>
      </c>
      <c r="H77" s="27"/>
      <c r="I77" s="27"/>
      <c r="J77" s="27"/>
      <c r="K77" s="27"/>
      <c r="L77" s="27"/>
      <c r="M77" s="27"/>
      <c r="N77" s="27"/>
      <c r="O77" s="27" t="str">
        <f t="shared" si="29"/>
        <v/>
      </c>
      <c r="P77" s="27" t="str">
        <f t="shared" si="30"/>
        <v/>
      </c>
      <c r="Q77" s="51"/>
      <c r="R77" s="51"/>
      <c r="S77" s="51"/>
      <c r="T77" s="27" t="str">
        <f t="shared" si="31"/>
        <v/>
      </c>
    </row>
    <row r="78" spans="1:20">
      <c r="A78" s="52">
        <f t="shared" si="27"/>
        <v>21</v>
      </c>
      <c r="C78" s="61">
        <v>4.4609999999999997E-2</v>
      </c>
      <c r="D78" s="61">
        <v>0</v>
      </c>
      <c r="E78" s="427">
        <v>18</v>
      </c>
      <c r="H78" s="27"/>
      <c r="I78" s="27"/>
      <c r="J78" s="27"/>
      <c r="K78" s="27"/>
      <c r="L78" s="27"/>
      <c r="M78" s="27"/>
      <c r="N78" s="27"/>
      <c r="O78" s="27" t="str">
        <f t="shared" si="29"/>
        <v/>
      </c>
      <c r="P78" s="27" t="str">
        <f t="shared" si="30"/>
        <v/>
      </c>
      <c r="Q78" s="51"/>
      <c r="R78" s="51"/>
      <c r="S78" s="51"/>
      <c r="T78" s="27" t="str">
        <f t="shared" si="31"/>
        <v/>
      </c>
    </row>
    <row r="79" spans="1:20">
      <c r="A79" s="52">
        <f t="shared" si="27"/>
        <v>22</v>
      </c>
      <c r="C79" s="61">
        <v>4.462E-2</v>
      </c>
      <c r="D79" s="61">
        <v>0</v>
      </c>
      <c r="E79" s="427">
        <v>19</v>
      </c>
      <c r="H79" s="27"/>
      <c r="I79" s="27"/>
      <c r="J79" s="27"/>
      <c r="K79" s="27"/>
      <c r="L79" s="27"/>
      <c r="M79" s="27"/>
      <c r="N79" s="27"/>
      <c r="O79" s="27" t="str">
        <f t="shared" si="29"/>
        <v/>
      </c>
      <c r="P79" s="27" t="str">
        <f t="shared" si="30"/>
        <v/>
      </c>
      <c r="Q79" s="51"/>
      <c r="R79" s="51"/>
      <c r="S79" s="51"/>
      <c r="T79" s="27" t="str">
        <f t="shared" si="31"/>
        <v/>
      </c>
    </row>
    <row r="80" spans="1:20">
      <c r="A80" s="52">
        <f t="shared" si="27"/>
        <v>23</v>
      </c>
      <c r="C80" s="61">
        <v>4.4609999999999997E-2</v>
      </c>
      <c r="D80" s="61">
        <v>0</v>
      </c>
      <c r="E80" s="427">
        <v>20</v>
      </c>
      <c r="H80" s="27"/>
      <c r="I80" s="27"/>
      <c r="J80" s="27"/>
      <c r="K80" s="27"/>
      <c r="L80" s="27"/>
      <c r="M80" s="27"/>
      <c r="N80" s="27"/>
      <c r="O80" s="27" t="str">
        <f t="shared" si="29"/>
        <v/>
      </c>
      <c r="P80" s="27" t="str">
        <f t="shared" si="30"/>
        <v/>
      </c>
      <c r="Q80" s="51"/>
      <c r="R80" s="51"/>
      <c r="S80" s="51"/>
      <c r="T80" s="27" t="str">
        <f t="shared" si="31"/>
        <v/>
      </c>
    </row>
    <row r="81" spans="1:20">
      <c r="A81" s="52">
        <f t="shared" si="27"/>
        <v>24</v>
      </c>
      <c r="C81" s="61">
        <v>2.231E-2</v>
      </c>
      <c r="D81" s="61">
        <v>0</v>
      </c>
      <c r="E81" s="427">
        <v>21</v>
      </c>
      <c r="H81" s="27"/>
      <c r="I81" s="27"/>
      <c r="J81" s="27"/>
      <c r="K81" s="27"/>
      <c r="L81" s="27"/>
      <c r="M81" s="27"/>
      <c r="N81" s="27"/>
      <c r="O81" s="27" t="str">
        <f t="shared" si="29"/>
        <v/>
      </c>
      <c r="P81" s="27" t="str">
        <f t="shared" si="30"/>
        <v/>
      </c>
      <c r="Q81" s="51"/>
      <c r="R81" s="51"/>
      <c r="S81" s="51"/>
      <c r="T81" s="27" t="str">
        <f t="shared" si="31"/>
        <v/>
      </c>
    </row>
    <row r="82" spans="1:20">
      <c r="A82" s="52">
        <f t="shared" si="27"/>
        <v>25</v>
      </c>
      <c r="C82" s="61">
        <v>0</v>
      </c>
      <c r="D82" s="61">
        <v>0</v>
      </c>
      <c r="E82" s="427">
        <v>22</v>
      </c>
      <c r="H82" s="27"/>
      <c r="I82" s="27"/>
      <c r="J82" s="27"/>
      <c r="K82" s="27"/>
      <c r="L82" s="27"/>
      <c r="M82" s="27"/>
      <c r="N82" s="27"/>
      <c r="O82" s="27" t="str">
        <f t="shared" si="29"/>
        <v/>
      </c>
      <c r="P82" s="27" t="str">
        <f t="shared" si="30"/>
        <v/>
      </c>
      <c r="Q82" s="51"/>
      <c r="R82" s="51"/>
      <c r="S82" s="51"/>
      <c r="T82" s="27" t="str">
        <f t="shared" si="31"/>
        <v/>
      </c>
    </row>
    <row r="83" spans="1:20">
      <c r="A83" s="52">
        <f t="shared" si="27"/>
        <v>26</v>
      </c>
      <c r="C83" s="61">
        <v>0</v>
      </c>
      <c r="E83" s="427">
        <v>23</v>
      </c>
      <c r="H83" s="27"/>
      <c r="I83" s="27"/>
      <c r="J83" s="27"/>
      <c r="K83" s="27"/>
      <c r="L83" s="27"/>
      <c r="O83" s="27" t="str">
        <f t="shared" si="29"/>
        <v/>
      </c>
      <c r="P83" s="27" t="str">
        <f t="shared" si="30"/>
        <v/>
      </c>
      <c r="Q83" s="51"/>
      <c r="R83" s="51"/>
      <c r="S83" s="51"/>
      <c r="T83" s="27" t="str">
        <f t="shared" si="31"/>
        <v/>
      </c>
    </row>
    <row r="84" spans="1:20">
      <c r="A84" s="52">
        <f t="shared" si="27"/>
        <v>27</v>
      </c>
      <c r="C84" s="61">
        <v>0</v>
      </c>
      <c r="E84" s="427">
        <v>24</v>
      </c>
      <c r="H84" s="27"/>
      <c r="I84" s="27"/>
      <c r="J84" s="27"/>
      <c r="K84" s="27"/>
      <c r="L84" s="27"/>
      <c r="O84" s="27" t="str">
        <f t="shared" si="29"/>
        <v/>
      </c>
      <c r="P84" s="27" t="str">
        <f t="shared" si="30"/>
        <v/>
      </c>
      <c r="Q84" s="51"/>
      <c r="R84" s="51"/>
      <c r="S84" s="51"/>
      <c r="T84" s="27" t="str">
        <f t="shared" si="31"/>
        <v/>
      </c>
    </row>
    <row r="85" spans="1:20">
      <c r="A85" s="52">
        <f t="shared" si="27"/>
        <v>28</v>
      </c>
      <c r="C85" s="61">
        <v>0</v>
      </c>
      <c r="E85" s="427">
        <v>25</v>
      </c>
      <c r="H85" s="27"/>
      <c r="I85" s="27"/>
      <c r="J85" s="27"/>
      <c r="K85" s="27"/>
      <c r="L85" s="27"/>
      <c r="O85" s="27" t="str">
        <f t="shared" si="29"/>
        <v/>
      </c>
      <c r="P85" s="27" t="str">
        <f t="shared" si="30"/>
        <v/>
      </c>
      <c r="Q85" s="51"/>
      <c r="R85" s="51"/>
      <c r="S85" s="51"/>
      <c r="T85" s="27" t="str">
        <f t="shared" si="31"/>
        <v/>
      </c>
    </row>
    <row r="86" spans="1:20">
      <c r="A86" s="52">
        <f t="shared" si="27"/>
        <v>29</v>
      </c>
      <c r="C86" s="61">
        <v>0</v>
      </c>
      <c r="E86" s="427">
        <v>26</v>
      </c>
      <c r="H86" s="27"/>
      <c r="I86" s="27"/>
      <c r="J86" s="27"/>
      <c r="K86" s="27"/>
      <c r="L86" s="27"/>
      <c r="O86" s="27" t="str">
        <f t="shared" si="29"/>
        <v/>
      </c>
      <c r="P86" s="27" t="str">
        <f t="shared" si="30"/>
        <v/>
      </c>
      <c r="Q86" s="51"/>
      <c r="R86" s="51"/>
      <c r="S86" s="51"/>
      <c r="T86" s="27" t="str">
        <f t="shared" si="31"/>
        <v/>
      </c>
    </row>
    <row r="87" spans="1:20">
      <c r="A87" s="52">
        <f t="shared" si="27"/>
        <v>30</v>
      </c>
      <c r="C87" s="61">
        <v>0</v>
      </c>
      <c r="E87" s="427">
        <v>27</v>
      </c>
      <c r="L87" s="27"/>
      <c r="O87" s="27" t="str">
        <f t="shared" si="29"/>
        <v/>
      </c>
      <c r="P87" s="27" t="str">
        <f t="shared" si="30"/>
        <v/>
      </c>
      <c r="T87" s="27" t="str">
        <f t="shared" si="31"/>
        <v/>
      </c>
    </row>
    <row r="88" spans="1:20">
      <c r="A88" s="52">
        <f t="shared" si="27"/>
        <v>31</v>
      </c>
      <c r="E88" s="403"/>
      <c r="H88" s="27">
        <f t="shared" ref="H88:P88" si="32">SUM(H61:H87)</f>
        <v>832131.58509840013</v>
      </c>
      <c r="I88" s="27">
        <f t="shared" si="32"/>
        <v>830213.82125440007</v>
      </c>
      <c r="J88" s="27">
        <f t="shared" si="32"/>
        <v>1025673.3456371999</v>
      </c>
      <c r="K88" s="27">
        <f t="shared" si="32"/>
        <v>5160583.2308750013</v>
      </c>
      <c r="L88" s="27">
        <f t="shared" si="32"/>
        <v>7848601.9828650029</v>
      </c>
      <c r="M88" s="27">
        <f t="shared" si="32"/>
        <v>5441320.0299999993</v>
      </c>
      <c r="N88" s="27">
        <f t="shared" si="32"/>
        <v>1965074.4943290011</v>
      </c>
      <c r="O88" s="27">
        <f t="shared" si="32"/>
        <v>11324847.518536001</v>
      </c>
      <c r="P88" s="27">
        <f t="shared" si="32"/>
        <v>566242.37592680007</v>
      </c>
      <c r="Q88" s="27"/>
      <c r="R88" s="27"/>
      <c r="S88" s="27"/>
      <c r="T88" s="27"/>
    </row>
    <row r="89" spans="1:20">
      <c r="H89" s="27"/>
      <c r="I89" s="27"/>
      <c r="J89" s="27"/>
      <c r="K89" s="27"/>
      <c r="L89" s="27"/>
      <c r="M89" s="27"/>
      <c r="N89" s="27"/>
      <c r="T89" s="27"/>
    </row>
    <row r="90" spans="1:20">
      <c r="B90" s="52" t="s">
        <v>163</v>
      </c>
      <c r="C90" s="52" t="s">
        <v>558</v>
      </c>
    </row>
    <row r="91" spans="1:20">
      <c r="B91" s="60" t="s">
        <v>164</v>
      </c>
      <c r="C91" s="52" t="s">
        <v>559</v>
      </c>
    </row>
    <row r="92" spans="1:20">
      <c r="B92" s="60" t="s">
        <v>165</v>
      </c>
      <c r="C92" s="52" t="s">
        <v>560</v>
      </c>
      <c r="D92" s="245"/>
    </row>
    <row r="93" spans="1:20">
      <c r="B93" s="60" t="s">
        <v>174</v>
      </c>
      <c r="C93" s="52" t="s">
        <v>506</v>
      </c>
    </row>
  </sheetData>
  <pageMargins left="0.7" right="0.7" top="0.75" bottom="0.75" header="0.3" footer="0.3"/>
  <pageSetup scale="42" orientation="landscape" r:id="rId1"/>
  <headerFooter>
    <oddFooter>&amp;R&amp;"Times New Roman,Bold"&amp;17Exhibit 4
Page 17 of 18&amp;L&amp;1#&amp;"Calibri"&amp;14&amp;K000000Business Use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6A51-FCA5-4448-889F-460430BC9084}">
  <sheetPr>
    <tabColor theme="6" tint="0.39997558519241921"/>
    <pageSetUpPr fitToPage="1"/>
  </sheetPr>
  <dimension ref="A1:Z87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customWidth="1"/>
    <col min="9" max="9" width="15" style="52" bestFit="1" customWidth="1"/>
    <col min="10" max="10" width="13.85546875" style="52" bestFit="1" customWidth="1"/>
    <col min="11" max="11" width="14.42578125" style="52" bestFit="1" customWidth="1"/>
    <col min="12" max="12" width="13.85546875" style="52" bestFit="1" customWidth="1"/>
    <col min="13" max="13" width="11.5703125" style="52" bestFit="1" customWidth="1"/>
    <col min="14" max="14" width="10.85546875" style="52" customWidth="1"/>
    <col min="15" max="15" width="11.42578125" style="52" customWidth="1"/>
    <col min="16" max="16" width="11.140625" style="52" customWidth="1"/>
    <col min="17" max="17" width="14.85546875" style="52" customWidth="1"/>
    <col min="18" max="18" width="12" style="52" customWidth="1"/>
    <col min="19" max="19" width="9.140625" style="52"/>
    <col min="20" max="20" width="13.85546875" style="52" customWidth="1"/>
    <col min="21" max="22" width="9.140625" style="52"/>
    <col min="23" max="23" width="12.140625" style="52" bestFit="1" customWidth="1"/>
    <col min="24" max="24" width="15" style="52" bestFit="1" customWidth="1"/>
    <col min="25" max="25" width="13.5703125" style="52" bestFit="1" customWidth="1"/>
    <col min="26" max="26" width="11.28515625" style="52" bestFit="1" customWidth="1"/>
    <col min="27" max="16384" width="9.140625" style="52"/>
  </cols>
  <sheetData>
    <row r="1" spans="1:26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</row>
    <row r="3" spans="1:26" ht="18.75">
      <c r="A3" s="191" t="s">
        <v>550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6">
      <c r="A4" s="53"/>
    </row>
    <row r="6" spans="1:26">
      <c r="A6" s="54"/>
      <c r="B6" s="54"/>
      <c r="C6" s="54"/>
      <c r="D6" s="54" t="s">
        <v>24</v>
      </c>
      <c r="E6" s="54"/>
      <c r="F6" s="54"/>
      <c r="G6" s="54"/>
      <c r="H6" s="54"/>
      <c r="I6" s="155"/>
      <c r="J6" s="54"/>
      <c r="K6" s="54"/>
      <c r="L6" s="54"/>
      <c r="M6" s="54"/>
      <c r="N6" s="54"/>
      <c r="O6" s="54"/>
      <c r="P6" s="54"/>
      <c r="Q6" s="54"/>
    </row>
    <row r="7" spans="1:26" ht="25.5">
      <c r="A7" s="54"/>
      <c r="B7" s="54"/>
      <c r="C7" s="55"/>
      <c r="D7" s="54" t="s">
        <v>25</v>
      </c>
      <c r="E7" s="421" t="s">
        <v>555</v>
      </c>
      <c r="F7" s="54"/>
      <c r="G7" s="54"/>
      <c r="H7" s="54">
        <v>2020</v>
      </c>
      <c r="I7" s="54"/>
      <c r="J7" s="54" t="s">
        <v>35</v>
      </c>
      <c r="K7" s="54"/>
      <c r="L7" s="54"/>
      <c r="M7" s="55" t="s">
        <v>178</v>
      </c>
      <c r="N7" s="55" t="s">
        <v>179</v>
      </c>
      <c r="O7" s="55" t="s">
        <v>184</v>
      </c>
      <c r="P7" s="55" t="s">
        <v>186</v>
      </c>
      <c r="Q7" s="54" t="s">
        <v>41</v>
      </c>
      <c r="R7" s="55" t="s">
        <v>161</v>
      </c>
      <c r="S7" s="55"/>
      <c r="T7" s="55" t="s">
        <v>233</v>
      </c>
    </row>
    <row r="8" spans="1:26">
      <c r="A8" s="54" t="s">
        <v>4</v>
      </c>
      <c r="B8" s="54"/>
      <c r="C8" s="54"/>
      <c r="D8" s="54" t="s">
        <v>26</v>
      </c>
      <c r="E8" s="422" t="s">
        <v>556</v>
      </c>
      <c r="F8" s="54"/>
      <c r="G8" s="54"/>
      <c r="H8" s="54" t="s">
        <v>31</v>
      </c>
      <c r="I8" s="54" t="s">
        <v>34</v>
      </c>
      <c r="J8" s="54" t="s">
        <v>36</v>
      </c>
      <c r="K8" s="54" t="s">
        <v>38</v>
      </c>
      <c r="L8" s="54"/>
      <c r="M8" s="54" t="s">
        <v>34</v>
      </c>
      <c r="N8" s="54" t="s">
        <v>34</v>
      </c>
      <c r="O8" s="54" t="s">
        <v>185</v>
      </c>
      <c r="P8" s="54" t="s">
        <v>187</v>
      </c>
      <c r="Q8" s="54" t="s">
        <v>40</v>
      </c>
      <c r="R8" s="54" t="s">
        <v>234</v>
      </c>
      <c r="S8" s="54" t="s">
        <v>161</v>
      </c>
      <c r="T8" s="54" t="s">
        <v>40</v>
      </c>
      <c r="W8" s="54" t="s">
        <v>633</v>
      </c>
      <c r="X8" s="54" t="s">
        <v>635</v>
      </c>
      <c r="Y8" s="54" t="s">
        <v>634</v>
      </c>
      <c r="Z8" s="54" t="s">
        <v>636</v>
      </c>
    </row>
    <row r="9" spans="1:26">
      <c r="A9" s="366" t="s">
        <v>5</v>
      </c>
      <c r="B9" s="366"/>
      <c r="C9" s="366"/>
      <c r="D9" s="366" t="s">
        <v>2</v>
      </c>
      <c r="E9" s="423" t="s">
        <v>557</v>
      </c>
      <c r="F9" s="366"/>
      <c r="G9" s="366" t="s">
        <v>105</v>
      </c>
      <c r="H9" s="366" t="s">
        <v>20</v>
      </c>
      <c r="I9" s="366" t="s">
        <v>0</v>
      </c>
      <c r="J9" s="366" t="s">
        <v>37</v>
      </c>
      <c r="K9" s="366" t="s">
        <v>0</v>
      </c>
      <c r="L9" s="366" t="s">
        <v>39</v>
      </c>
      <c r="M9" s="56" t="s">
        <v>340</v>
      </c>
      <c r="N9" s="56" t="s">
        <v>183</v>
      </c>
      <c r="O9" s="56" t="s">
        <v>340</v>
      </c>
      <c r="P9" s="56" t="s">
        <v>12</v>
      </c>
      <c r="Q9" s="366" t="s">
        <v>42</v>
      </c>
      <c r="R9" s="56" t="s">
        <v>235</v>
      </c>
      <c r="S9" s="56" t="s">
        <v>236</v>
      </c>
      <c r="T9" s="366" t="s">
        <v>42</v>
      </c>
      <c r="W9" s="56" t="s">
        <v>20</v>
      </c>
      <c r="X9" s="56" t="s">
        <v>20</v>
      </c>
      <c r="Y9" s="56" t="s">
        <v>20</v>
      </c>
      <c r="Z9" s="56" t="s">
        <v>637</v>
      </c>
    </row>
    <row r="10" spans="1:26">
      <c r="C10" s="57"/>
      <c r="D10" s="57" t="s">
        <v>69</v>
      </c>
      <c r="E10" s="424"/>
      <c r="F10" s="58"/>
      <c r="G10" s="58"/>
      <c r="H10" s="425" t="s">
        <v>163</v>
      </c>
    </row>
    <row r="11" spans="1:26">
      <c r="A11" s="52">
        <v>1</v>
      </c>
      <c r="C11" s="57" t="s">
        <v>69</v>
      </c>
      <c r="D11" s="59"/>
      <c r="E11" s="424"/>
      <c r="H11" s="27">
        <f>SUM('2020 Capital Budget'!R16:R19,'2020 Capital Budget'!R22:R24,'2020 Capital Budget'!R28)</f>
        <v>50251892.240000002</v>
      </c>
      <c r="I11" s="27"/>
    </row>
    <row r="12" spans="1:26">
      <c r="A12" s="52">
        <v>2</v>
      </c>
      <c r="C12" s="57" t="s">
        <v>72</v>
      </c>
      <c r="D12" s="59"/>
      <c r="E12" s="424"/>
      <c r="H12" s="27">
        <v>0</v>
      </c>
    </row>
    <row r="13" spans="1:26">
      <c r="A13" s="52">
        <v>3</v>
      </c>
      <c r="C13" s="57" t="s">
        <v>182</v>
      </c>
      <c r="D13" s="59"/>
      <c r="E13" s="424"/>
      <c r="H13" s="27">
        <v>0</v>
      </c>
    </row>
    <row r="14" spans="1:26">
      <c r="C14" s="59"/>
      <c r="E14" s="425"/>
      <c r="V14" s="50"/>
      <c r="W14" s="50"/>
      <c r="X14" s="50"/>
      <c r="Y14" s="50"/>
    </row>
    <row r="15" spans="1:26">
      <c r="C15" s="422" t="s">
        <v>561</v>
      </c>
      <c r="E15" s="426"/>
      <c r="H15" s="195"/>
      <c r="I15" s="195"/>
      <c r="J15" s="195"/>
      <c r="K15" s="244"/>
      <c r="V15" s="50"/>
      <c r="W15" s="50"/>
      <c r="X15" s="50"/>
      <c r="Y15" s="50"/>
    </row>
    <row r="16" spans="1:26">
      <c r="C16" s="422" t="s">
        <v>562</v>
      </c>
      <c r="E16" s="426"/>
      <c r="H16" s="425" t="s">
        <v>163</v>
      </c>
      <c r="P16" s="27">
        <v>0</v>
      </c>
      <c r="Q16" s="27">
        <f>P16</f>
        <v>0</v>
      </c>
      <c r="R16" s="27"/>
      <c r="S16" s="27"/>
      <c r="T16" s="27">
        <f>Q16</f>
        <v>0</v>
      </c>
      <c r="V16" s="50"/>
      <c r="W16" s="469"/>
      <c r="X16" s="469"/>
      <c r="Y16" s="469"/>
    </row>
    <row r="17" spans="1:26">
      <c r="A17" s="52">
        <f>A13+1</f>
        <v>4</v>
      </c>
      <c r="C17" s="476">
        <v>0.05</v>
      </c>
      <c r="D17" s="61">
        <v>0.05</v>
      </c>
      <c r="E17" s="427">
        <v>1</v>
      </c>
      <c r="G17" s="52">
        <v>1</v>
      </c>
      <c r="H17" s="27">
        <f>Z17</f>
        <v>0</v>
      </c>
      <c r="I17" s="27">
        <f t="shared" ref="I17:I28" si="0">SUM(H17:H17)</f>
        <v>0</v>
      </c>
      <c r="J17" s="27">
        <f>'202001 Bk Depr'!$L$34</f>
        <v>0</v>
      </c>
      <c r="K17" s="27">
        <f>'202001 Bk Depr'!P14</f>
        <v>0</v>
      </c>
      <c r="L17" s="27">
        <f t="shared" ref="L17:L28" si="1">I17+J17-K17</f>
        <v>0</v>
      </c>
      <c r="M17" s="27">
        <f t="shared" ref="M17:M22" si="2">L17*0.21</f>
        <v>0</v>
      </c>
      <c r="N17" s="27">
        <f t="shared" ref="N17:N28" si="3">M58</f>
        <v>0</v>
      </c>
      <c r="O17" s="27">
        <f t="shared" ref="O17:O22" si="4">-N17*0.21</f>
        <v>0</v>
      </c>
      <c r="P17" s="27">
        <v>0</v>
      </c>
      <c r="Q17" s="27">
        <f t="shared" ref="Q17:Q28" si="5">Q16+M17+N17+O17+P17</f>
        <v>0</v>
      </c>
      <c r="R17" s="27">
        <f>Q17-Q16</f>
        <v>0</v>
      </c>
      <c r="S17" s="27" t="s">
        <v>518</v>
      </c>
      <c r="T17" s="27">
        <f>T16+R17*336/366</f>
        <v>0</v>
      </c>
      <c r="W17" s="27">
        <f>(((('202001 Bk Depr'!$L$14-(1/12*$H$13))*$C$17))/12)</f>
        <v>0</v>
      </c>
      <c r="X17" s="27">
        <v>0</v>
      </c>
      <c r="Y17" s="27">
        <f>(1/12*$H$13)</f>
        <v>0</v>
      </c>
      <c r="Z17" s="27">
        <f>SUM(W17:Y17)</f>
        <v>0</v>
      </c>
    </row>
    <row r="18" spans="1:26">
      <c r="A18" s="52">
        <f>A17+1</f>
        <v>5</v>
      </c>
      <c r="C18" s="476">
        <v>9.5000000000000001E-2</v>
      </c>
      <c r="D18" s="61">
        <v>9.5000000000000001E-2</v>
      </c>
      <c r="E18" s="427">
        <v>2</v>
      </c>
      <c r="G18" s="52">
        <v>2</v>
      </c>
      <c r="H18" s="27">
        <f t="shared" ref="H18:H28" si="6">Z18</f>
        <v>0</v>
      </c>
      <c r="I18" s="27">
        <f t="shared" si="0"/>
        <v>0</v>
      </c>
      <c r="J18" s="27">
        <f>'202002 Bk Depr'!$L$34</f>
        <v>0</v>
      </c>
      <c r="K18" s="27">
        <f>'202002 Bk Depr'!P14</f>
        <v>0</v>
      </c>
      <c r="L18" s="27">
        <f t="shared" si="1"/>
        <v>0</v>
      </c>
      <c r="M18" s="27">
        <f t="shared" si="2"/>
        <v>0</v>
      </c>
      <c r="N18" s="27">
        <f t="shared" si="3"/>
        <v>0</v>
      </c>
      <c r="O18" s="27">
        <f t="shared" si="4"/>
        <v>0</v>
      </c>
      <c r="P18" s="27">
        <v>0</v>
      </c>
      <c r="Q18" s="27">
        <f t="shared" si="5"/>
        <v>0</v>
      </c>
      <c r="R18" s="27">
        <f t="shared" ref="R18:R28" si="7">Q18-Q17</f>
        <v>0</v>
      </c>
      <c r="S18" s="27" t="s">
        <v>508</v>
      </c>
      <c r="T18" s="27">
        <f>T17+R18*307/366</f>
        <v>0</v>
      </c>
      <c r="W18" s="27">
        <f>W17+(((('202002 Bk Depr'!$L$14-(1/12*$H$13))*$C$17))/11)</f>
        <v>0</v>
      </c>
      <c r="X18" s="27">
        <v>0</v>
      </c>
      <c r="Y18" s="27">
        <f>(1/12*$H$13)</f>
        <v>0</v>
      </c>
      <c r="Z18" s="27">
        <f t="shared" ref="Z18:Z28" si="8">SUM(W18:Y18)</f>
        <v>0</v>
      </c>
    </row>
    <row r="19" spans="1:26">
      <c r="A19" s="52">
        <f t="shared" ref="A19:A44" si="9">A18+1</f>
        <v>6</v>
      </c>
      <c r="C19" s="476">
        <v>8.5500000000000007E-2</v>
      </c>
      <c r="D19" s="61">
        <v>8.5500000000000007E-2</v>
      </c>
      <c r="E19" s="427">
        <v>3</v>
      </c>
      <c r="G19" s="52">
        <v>3</v>
      </c>
      <c r="H19" s="27">
        <f t="shared" si="6"/>
        <v>0</v>
      </c>
      <c r="I19" s="27">
        <f t="shared" si="0"/>
        <v>0</v>
      </c>
      <c r="J19" s="27">
        <f>'202003 Bk Depr'!$L$34</f>
        <v>0</v>
      </c>
      <c r="K19" s="27">
        <f>'202003 Bk Depr'!P14</f>
        <v>0</v>
      </c>
      <c r="L19" s="27">
        <f t="shared" si="1"/>
        <v>0</v>
      </c>
      <c r="M19" s="27">
        <f t="shared" si="2"/>
        <v>0</v>
      </c>
      <c r="N19" s="27">
        <f t="shared" si="3"/>
        <v>0</v>
      </c>
      <c r="O19" s="27">
        <f t="shared" si="4"/>
        <v>0</v>
      </c>
      <c r="P19" s="27">
        <v>0</v>
      </c>
      <c r="Q19" s="27">
        <f t="shared" si="5"/>
        <v>0</v>
      </c>
      <c r="R19" s="27">
        <f t="shared" si="7"/>
        <v>0</v>
      </c>
      <c r="S19" s="27" t="s">
        <v>509</v>
      </c>
      <c r="T19" s="27">
        <f>T18+R19*276/366</f>
        <v>0</v>
      </c>
      <c r="W19" s="27">
        <f>W18+(((('202003 Bk Depr'!$L$14-(1/12*$H$13))*$C$17))/10)</f>
        <v>0</v>
      </c>
      <c r="X19" s="27">
        <v>0</v>
      </c>
      <c r="Y19" s="27">
        <f t="shared" ref="Y19:Y28" si="10">(1/12*$H$13)</f>
        <v>0</v>
      </c>
      <c r="Z19" s="27">
        <f t="shared" si="8"/>
        <v>0</v>
      </c>
    </row>
    <row r="20" spans="1:26">
      <c r="A20" s="52">
        <f t="shared" si="9"/>
        <v>7</v>
      </c>
      <c r="C20" s="476">
        <v>7.6999999999999999E-2</v>
      </c>
      <c r="D20" s="61">
        <v>7.6999999999999999E-2</v>
      </c>
      <c r="E20" s="427">
        <v>4</v>
      </c>
      <c r="G20" s="52">
        <v>4</v>
      </c>
      <c r="H20" s="27">
        <f t="shared" si="6"/>
        <v>0</v>
      </c>
      <c r="I20" s="27">
        <f t="shared" si="0"/>
        <v>0</v>
      </c>
      <c r="J20" s="27">
        <f>'202004 Bk Depr'!$L$34</f>
        <v>0</v>
      </c>
      <c r="K20" s="27">
        <f>'202004 Bk Depr'!P14</f>
        <v>0</v>
      </c>
      <c r="L20" s="27">
        <f t="shared" si="1"/>
        <v>0</v>
      </c>
      <c r="M20" s="27">
        <f t="shared" si="2"/>
        <v>0</v>
      </c>
      <c r="N20" s="27">
        <f t="shared" si="3"/>
        <v>0</v>
      </c>
      <c r="O20" s="27">
        <f t="shared" si="4"/>
        <v>0</v>
      </c>
      <c r="P20" s="27">
        <v>0</v>
      </c>
      <c r="Q20" s="27">
        <f t="shared" si="5"/>
        <v>0</v>
      </c>
      <c r="R20" s="27">
        <f t="shared" si="7"/>
        <v>0</v>
      </c>
      <c r="S20" s="27" t="s">
        <v>510</v>
      </c>
      <c r="T20" s="27">
        <f>T19+R20*246/366</f>
        <v>0</v>
      </c>
      <c r="W20" s="27">
        <f>W19+(((('202004 Bk Depr'!$L$14-(1/12*$H$13))*$C$17))/9)</f>
        <v>0</v>
      </c>
      <c r="X20" s="27">
        <v>0</v>
      </c>
      <c r="Y20" s="27">
        <f t="shared" si="10"/>
        <v>0</v>
      </c>
      <c r="Z20" s="27">
        <f t="shared" si="8"/>
        <v>0</v>
      </c>
    </row>
    <row r="21" spans="1:26">
      <c r="A21" s="52">
        <f t="shared" si="9"/>
        <v>8</v>
      </c>
      <c r="C21" s="476">
        <v>6.93E-2</v>
      </c>
      <c r="D21" s="61">
        <v>6.93E-2</v>
      </c>
      <c r="E21" s="427">
        <v>5</v>
      </c>
      <c r="G21" s="52">
        <v>5</v>
      </c>
      <c r="H21" s="27">
        <f t="shared" si="6"/>
        <v>0</v>
      </c>
      <c r="I21" s="27">
        <f t="shared" si="0"/>
        <v>0</v>
      </c>
      <c r="J21" s="27">
        <f>'202005 Bk Depr'!$L$34</f>
        <v>0</v>
      </c>
      <c r="K21" s="27">
        <f>'202005 Bk Depr'!P14</f>
        <v>0</v>
      </c>
      <c r="L21" s="27">
        <f t="shared" si="1"/>
        <v>0</v>
      </c>
      <c r="M21" s="27">
        <f t="shared" si="2"/>
        <v>0</v>
      </c>
      <c r="N21" s="27">
        <f t="shared" si="3"/>
        <v>0</v>
      </c>
      <c r="O21" s="27">
        <f t="shared" si="4"/>
        <v>0</v>
      </c>
      <c r="P21" s="27">
        <v>0</v>
      </c>
      <c r="Q21" s="27">
        <f t="shared" si="5"/>
        <v>0</v>
      </c>
      <c r="R21" s="27">
        <f t="shared" si="7"/>
        <v>0</v>
      </c>
      <c r="S21" s="27" t="s">
        <v>511</v>
      </c>
      <c r="T21" s="27">
        <f>T20+R21*215/366</f>
        <v>0</v>
      </c>
      <c r="W21" s="27">
        <f>W20+(((('202005 Bk Depr'!$L$14-(1/12*$H$13))*$C$17))/8)</f>
        <v>0</v>
      </c>
      <c r="X21" s="27">
        <v>0</v>
      </c>
      <c r="Y21" s="27">
        <f t="shared" si="10"/>
        <v>0</v>
      </c>
      <c r="Z21" s="27">
        <f t="shared" si="8"/>
        <v>0</v>
      </c>
    </row>
    <row r="22" spans="1:26">
      <c r="A22" s="52">
        <f t="shared" si="9"/>
        <v>9</v>
      </c>
      <c r="C22" s="476">
        <v>6.2300000000000001E-2</v>
      </c>
      <c r="D22" s="61">
        <v>6.2300000000000001E-2</v>
      </c>
      <c r="E22" s="427">
        <v>6</v>
      </c>
      <c r="G22" s="52">
        <v>6</v>
      </c>
      <c r="H22" s="27">
        <f t="shared" si="6"/>
        <v>0</v>
      </c>
      <c r="I22" s="27">
        <f t="shared" si="0"/>
        <v>0</v>
      </c>
      <c r="J22" s="27">
        <f>'202006 Bk Depr'!$L$34</f>
        <v>0</v>
      </c>
      <c r="K22" s="27">
        <f>'202006 Bk Depr'!P14</f>
        <v>0</v>
      </c>
      <c r="L22" s="27">
        <f t="shared" si="1"/>
        <v>0</v>
      </c>
      <c r="M22" s="27">
        <f t="shared" si="2"/>
        <v>0</v>
      </c>
      <c r="N22" s="27">
        <f t="shared" si="3"/>
        <v>0</v>
      </c>
      <c r="O22" s="27">
        <f t="shared" si="4"/>
        <v>0</v>
      </c>
      <c r="P22" s="27">
        <v>0</v>
      </c>
      <c r="Q22" s="27">
        <f t="shared" si="5"/>
        <v>0</v>
      </c>
      <c r="R22" s="27">
        <f t="shared" si="7"/>
        <v>0</v>
      </c>
      <c r="S22" s="27" t="s">
        <v>512</v>
      </c>
      <c r="T22" s="27">
        <f>T21+R22*185/366</f>
        <v>0</v>
      </c>
      <c r="W22" s="27">
        <f>W21+(((('202006 Bk Depr'!$L$14-(1/12*$H$13))*$C$17))/7)</f>
        <v>0</v>
      </c>
      <c r="X22" s="27">
        <v>0</v>
      </c>
      <c r="Y22" s="27">
        <f t="shared" si="10"/>
        <v>0</v>
      </c>
      <c r="Z22" s="27">
        <f t="shared" si="8"/>
        <v>0</v>
      </c>
    </row>
    <row r="23" spans="1:26">
      <c r="A23" s="52">
        <f t="shared" si="9"/>
        <v>10</v>
      </c>
      <c r="C23" s="476">
        <v>5.8999999999999997E-2</v>
      </c>
      <c r="D23" s="61">
        <v>5.8999999999999997E-2</v>
      </c>
      <c r="E23" s="427">
        <v>7</v>
      </c>
      <c r="G23" s="52">
        <v>7</v>
      </c>
      <c r="H23" s="27">
        <f t="shared" si="6"/>
        <v>0</v>
      </c>
      <c r="I23" s="27">
        <f t="shared" si="0"/>
        <v>0</v>
      </c>
      <c r="J23" s="27">
        <f>'202007 Bk Depr'!$L$34</f>
        <v>0</v>
      </c>
      <c r="K23" s="27">
        <f>'202007 Bk Depr'!P14</f>
        <v>0</v>
      </c>
      <c r="L23" s="27">
        <f t="shared" si="1"/>
        <v>0</v>
      </c>
      <c r="M23" s="27">
        <f>L23*0.21</f>
        <v>0</v>
      </c>
      <c r="N23" s="27">
        <f t="shared" si="3"/>
        <v>0</v>
      </c>
      <c r="O23" s="27">
        <f>-N23*0.21</f>
        <v>0</v>
      </c>
      <c r="P23" s="27">
        <v>0</v>
      </c>
      <c r="Q23" s="27">
        <f t="shared" si="5"/>
        <v>0</v>
      </c>
      <c r="R23" s="27">
        <f t="shared" si="7"/>
        <v>0</v>
      </c>
      <c r="S23" s="27" t="s">
        <v>513</v>
      </c>
      <c r="T23" s="27">
        <f>T22+R23*154/366</f>
        <v>0</v>
      </c>
      <c r="W23" s="27">
        <f>W22+(((('202007 Bk Depr'!$L$14-(1/12*$H$13))*$C$17))/6)</f>
        <v>0</v>
      </c>
      <c r="X23" s="27">
        <v>0</v>
      </c>
      <c r="Y23" s="27">
        <f t="shared" si="10"/>
        <v>0</v>
      </c>
      <c r="Z23" s="27">
        <f t="shared" si="8"/>
        <v>0</v>
      </c>
    </row>
    <row r="24" spans="1:26">
      <c r="A24" s="52">
        <f t="shared" si="9"/>
        <v>11</v>
      </c>
      <c r="C24" s="476">
        <v>5.8999999999999997E-2</v>
      </c>
      <c r="D24" s="61">
        <v>5.8999999999999997E-2</v>
      </c>
      <c r="E24" s="427">
        <v>8</v>
      </c>
      <c r="G24" s="52">
        <v>8</v>
      </c>
      <c r="H24" s="27">
        <f t="shared" si="6"/>
        <v>0</v>
      </c>
      <c r="I24" s="27">
        <f t="shared" si="0"/>
        <v>0</v>
      </c>
      <c r="J24" s="27">
        <f>'202008 Bk Depr'!$L$34</f>
        <v>0</v>
      </c>
      <c r="K24" s="27">
        <f>'202008 Bk Depr'!P14</f>
        <v>0</v>
      </c>
      <c r="L24" s="27">
        <f t="shared" si="1"/>
        <v>0</v>
      </c>
      <c r="M24" s="27">
        <f t="shared" ref="M24:M28" si="11">L24*0.21</f>
        <v>0</v>
      </c>
      <c r="N24" s="27">
        <f t="shared" si="3"/>
        <v>0</v>
      </c>
      <c r="O24" s="27">
        <f t="shared" ref="O24:O28" si="12">-N24*0.21</f>
        <v>0</v>
      </c>
      <c r="P24" s="27">
        <v>0</v>
      </c>
      <c r="Q24" s="27">
        <f t="shared" si="5"/>
        <v>0</v>
      </c>
      <c r="R24" s="27">
        <f t="shared" si="7"/>
        <v>0</v>
      </c>
      <c r="S24" s="27" t="s">
        <v>514</v>
      </c>
      <c r="T24" s="27">
        <f>T23+R24*123/366</f>
        <v>0</v>
      </c>
      <c r="W24" s="27">
        <f>W23+(((('202008 Bk Depr'!$L$14-(1/12*$H$13))*$C$17))/5)</f>
        <v>0</v>
      </c>
      <c r="X24" s="27">
        <v>0</v>
      </c>
      <c r="Y24" s="27">
        <f t="shared" si="10"/>
        <v>0</v>
      </c>
      <c r="Z24" s="27">
        <f t="shared" si="8"/>
        <v>0</v>
      </c>
    </row>
    <row r="25" spans="1:26">
      <c r="A25" s="52">
        <f t="shared" si="9"/>
        <v>12</v>
      </c>
      <c r="C25" s="476">
        <v>5.91E-2</v>
      </c>
      <c r="D25" s="61">
        <v>5.91E-2</v>
      </c>
      <c r="E25" s="427">
        <v>9</v>
      </c>
      <c r="G25" s="52">
        <v>9</v>
      </c>
      <c r="H25" s="27">
        <f t="shared" si="6"/>
        <v>0</v>
      </c>
      <c r="I25" s="27">
        <f t="shared" si="0"/>
        <v>0</v>
      </c>
      <c r="J25" s="27">
        <f>'202009 Bk Depr'!$L$34</f>
        <v>0</v>
      </c>
      <c r="K25" s="27">
        <f>'202009 Bk Depr'!P14</f>
        <v>0</v>
      </c>
      <c r="L25" s="27">
        <f t="shared" si="1"/>
        <v>0</v>
      </c>
      <c r="M25" s="27">
        <f t="shared" si="11"/>
        <v>0</v>
      </c>
      <c r="N25" s="27">
        <f t="shared" si="3"/>
        <v>0</v>
      </c>
      <c r="O25" s="27">
        <f t="shared" si="12"/>
        <v>0</v>
      </c>
      <c r="P25" s="27">
        <v>0</v>
      </c>
      <c r="Q25" s="27">
        <f t="shared" si="5"/>
        <v>0</v>
      </c>
      <c r="R25" s="27">
        <f t="shared" si="7"/>
        <v>0</v>
      </c>
      <c r="S25" s="27" t="s">
        <v>515</v>
      </c>
      <c r="T25" s="27">
        <f>T24+R25*93/366</f>
        <v>0</v>
      </c>
      <c r="W25" s="27">
        <f>W24+(((('202009 Bk Depr'!$L$14-(1/12*$H$13))*$C$17))/4)</f>
        <v>0</v>
      </c>
      <c r="X25" s="27">
        <v>0</v>
      </c>
      <c r="Y25" s="27">
        <f t="shared" si="10"/>
        <v>0</v>
      </c>
      <c r="Z25" s="27">
        <f t="shared" si="8"/>
        <v>0</v>
      </c>
    </row>
    <row r="26" spans="1:26">
      <c r="A26" s="52">
        <f t="shared" si="9"/>
        <v>13</v>
      </c>
      <c r="C26" s="476">
        <v>5.8999999999999997E-2</v>
      </c>
      <c r="D26" s="61">
        <v>5.8999999999999997E-2</v>
      </c>
      <c r="E26" s="427">
        <v>10</v>
      </c>
      <c r="G26" s="52">
        <v>10</v>
      </c>
      <c r="H26" s="27">
        <f t="shared" si="6"/>
        <v>3029642.038333334</v>
      </c>
      <c r="I26" s="27">
        <f>SUM(H26:H26)</f>
        <v>3029642.038333334</v>
      </c>
      <c r="J26" s="27">
        <f>'202010 Bk Depr'!$L$34</f>
        <v>40412.29</v>
      </c>
      <c r="K26" s="27">
        <f>'202010 Bk Depr'!P14</f>
        <v>62107.661785833327</v>
      </c>
      <c r="L26" s="27">
        <f t="shared" si="1"/>
        <v>3007946.6665475005</v>
      </c>
      <c r="M26" s="27">
        <f t="shared" si="11"/>
        <v>631668.79997497506</v>
      </c>
      <c r="N26" s="27">
        <f t="shared" si="3"/>
        <v>150397.33332737503</v>
      </c>
      <c r="O26" s="27">
        <f t="shared" si="12"/>
        <v>-31583.439998748756</v>
      </c>
      <c r="P26" s="27">
        <v>-7594.19</v>
      </c>
      <c r="Q26" s="27">
        <f>Q25+M26+N26+O26+P26</f>
        <v>742888.50330360141</v>
      </c>
      <c r="R26" s="27">
        <f t="shared" si="7"/>
        <v>742888.50330360141</v>
      </c>
      <c r="S26" s="27" t="s">
        <v>516</v>
      </c>
      <c r="T26" s="27">
        <f>T25+R26*62/366</f>
        <v>125844.50055962647</v>
      </c>
      <c r="W26" s="27">
        <f>W25+(((('202010 Bk Depr'!$L$14-(1/12*$H$13))*$C$17))*10/12)</f>
        <v>3029642.038333334</v>
      </c>
      <c r="X26" s="27">
        <v>0</v>
      </c>
      <c r="Y26" s="27">
        <f t="shared" si="10"/>
        <v>0</v>
      </c>
      <c r="Z26" s="27">
        <f t="shared" si="8"/>
        <v>3029642.038333334</v>
      </c>
    </row>
    <row r="27" spans="1:26">
      <c r="A27" s="52">
        <f t="shared" si="9"/>
        <v>14</v>
      </c>
      <c r="C27" s="476">
        <v>5.91E-2</v>
      </c>
      <c r="D27" s="61">
        <v>5.91E-2</v>
      </c>
      <c r="E27" s="427">
        <v>11</v>
      </c>
      <c r="G27" s="52">
        <v>11</v>
      </c>
      <c r="H27" s="27">
        <f t="shared" si="6"/>
        <v>406208.6560416664</v>
      </c>
      <c r="I27" s="27">
        <f t="shared" si="0"/>
        <v>406208.6560416664</v>
      </c>
      <c r="J27" s="27">
        <f>'202011 Bk Depr'!$L$34</f>
        <v>4646.0200000000004</v>
      </c>
      <c r="K27" s="27">
        <f>'202011 Bk Depr'!P14</f>
        <v>126139.42472645832</v>
      </c>
      <c r="L27" s="27">
        <f t="shared" si="1"/>
        <v>284715.25131520809</v>
      </c>
      <c r="M27" s="27">
        <f t="shared" si="11"/>
        <v>59790.202776193699</v>
      </c>
      <c r="N27" s="27">
        <f t="shared" si="3"/>
        <v>14235.762565760406</v>
      </c>
      <c r="O27" s="27">
        <f t="shared" si="12"/>
        <v>-2989.510138809685</v>
      </c>
      <c r="P27" s="27">
        <v>0</v>
      </c>
      <c r="Q27" s="27">
        <f t="shared" si="5"/>
        <v>813924.95850674587</v>
      </c>
      <c r="R27" s="27">
        <f t="shared" si="7"/>
        <v>71036.455203144462</v>
      </c>
      <c r="S27" s="27" t="s">
        <v>517</v>
      </c>
      <c r="T27" s="27">
        <f>T26+R27*32/366</f>
        <v>132055.33817301615</v>
      </c>
      <c r="W27" s="27">
        <f>(((('202010 Bk Depr'!$L$14+'202011 Bk Depr'!$L$14-(1/12*$H$13))*$C$17))*11/12)-W26</f>
        <v>406208.6560416664</v>
      </c>
      <c r="X27" s="27">
        <v>0</v>
      </c>
      <c r="Y27" s="27">
        <f t="shared" si="10"/>
        <v>0</v>
      </c>
      <c r="Z27" s="27">
        <f t="shared" si="8"/>
        <v>406208.6560416664</v>
      </c>
    </row>
    <row r="28" spans="1:26">
      <c r="A28" s="52">
        <f t="shared" si="9"/>
        <v>15</v>
      </c>
      <c r="C28" s="476">
        <v>5.8999999999999997E-2</v>
      </c>
      <c r="D28" s="61">
        <v>5.8999999999999997E-2</v>
      </c>
      <c r="E28" s="427">
        <v>12</v>
      </c>
      <c r="G28" s="52">
        <v>12</v>
      </c>
      <c r="H28" s="27">
        <f t="shared" si="6"/>
        <v>368409.43762499979</v>
      </c>
      <c r="I28" s="27">
        <f t="shared" si="0"/>
        <v>368409.43762499979</v>
      </c>
      <c r="J28" s="27">
        <f>'202012 Bk Depr'!$L$34</f>
        <v>0</v>
      </c>
      <c r="K28" s="27">
        <f>'202012 Bk Depr'!P14</f>
        <v>129021.20686229166</v>
      </c>
      <c r="L28" s="27">
        <f t="shared" si="1"/>
        <v>239388.23076270812</v>
      </c>
      <c r="M28" s="27">
        <f t="shared" si="11"/>
        <v>50271.528460168702</v>
      </c>
      <c r="N28" s="27">
        <f t="shared" si="3"/>
        <v>11969.411538135406</v>
      </c>
      <c r="O28" s="27">
        <f t="shared" si="12"/>
        <v>-2513.5764230084351</v>
      </c>
      <c r="P28" s="27">
        <v>0</v>
      </c>
      <c r="Q28" s="27">
        <f t="shared" si="5"/>
        <v>873652.32208204153</v>
      </c>
      <c r="R28" s="27">
        <f t="shared" si="7"/>
        <v>59727.363575295662</v>
      </c>
      <c r="S28" s="27" t="s">
        <v>507</v>
      </c>
      <c r="T28" s="27">
        <f>T27+R28*1/366</f>
        <v>132218.52769098143</v>
      </c>
      <c r="W28" s="27">
        <f>(('202010 Bk Depr'!$L$14+'202011 Bk Depr'!$L$14+'202012 Bk Depr'!$L$14-(1/12*$H$13))*$C$17)-W27-W26</f>
        <v>368409.43762499979</v>
      </c>
      <c r="X28" s="27">
        <v>0</v>
      </c>
      <c r="Y28" s="27">
        <f t="shared" si="10"/>
        <v>0</v>
      </c>
      <c r="Z28" s="27">
        <f t="shared" si="8"/>
        <v>368409.43762499979</v>
      </c>
    </row>
    <row r="29" spans="1:26">
      <c r="A29" s="52">
        <f t="shared" si="9"/>
        <v>16</v>
      </c>
      <c r="C29" s="476">
        <v>5.91E-2</v>
      </c>
      <c r="D29" s="61">
        <v>5.91E-2</v>
      </c>
      <c r="E29" s="427">
        <v>13</v>
      </c>
      <c r="H29" s="27"/>
      <c r="I29" s="27"/>
      <c r="J29" s="27"/>
      <c r="K29" s="27"/>
      <c r="L29" s="27"/>
      <c r="M29" s="27"/>
      <c r="N29" s="27"/>
      <c r="O29" s="27"/>
      <c r="P29" s="27" t="str">
        <f t="shared" ref="P29:P43" si="13">IF(O29="","",O29*0.389)</f>
        <v/>
      </c>
      <c r="Q29" s="62"/>
      <c r="T29" s="27"/>
    </row>
    <row r="30" spans="1:26">
      <c r="A30" s="52">
        <f t="shared" si="9"/>
        <v>17</v>
      </c>
      <c r="C30" s="476">
        <v>5.8999999999999997E-2</v>
      </c>
      <c r="D30" s="61">
        <v>5.8999999999999997E-2</v>
      </c>
      <c r="E30" s="427">
        <v>14</v>
      </c>
      <c r="H30" s="27"/>
      <c r="I30" s="27"/>
      <c r="J30" s="27"/>
      <c r="K30" s="27"/>
      <c r="L30" s="27"/>
      <c r="M30" s="27"/>
      <c r="N30" s="27"/>
      <c r="O30" s="27"/>
      <c r="P30" s="27" t="str">
        <f t="shared" si="13"/>
        <v/>
      </c>
      <c r="Q30" s="27" t="str">
        <f t="shared" ref="Q30:Q43" si="14">IF(M30="","",Q29+M30)</f>
        <v/>
      </c>
    </row>
    <row r="31" spans="1:26">
      <c r="A31" s="52">
        <f t="shared" si="9"/>
        <v>18</v>
      </c>
      <c r="C31" s="476">
        <v>5.91E-2</v>
      </c>
      <c r="D31" s="61">
        <v>5.91E-2</v>
      </c>
      <c r="E31" s="427">
        <v>15</v>
      </c>
      <c r="H31" s="27"/>
      <c r="I31" s="27"/>
      <c r="J31" s="27"/>
      <c r="K31" s="27"/>
      <c r="L31" s="27"/>
      <c r="M31" s="27"/>
      <c r="N31" s="27"/>
      <c r="O31" s="27"/>
      <c r="P31" s="27" t="str">
        <f t="shared" si="13"/>
        <v/>
      </c>
      <c r="Q31" s="27" t="str">
        <f t="shared" si="14"/>
        <v/>
      </c>
    </row>
    <row r="32" spans="1:26">
      <c r="A32" s="52">
        <f t="shared" si="9"/>
        <v>19</v>
      </c>
      <c r="C32" s="476">
        <v>2.9499999999999998E-2</v>
      </c>
      <c r="D32" s="61">
        <v>2.9499999999999998E-2</v>
      </c>
      <c r="E32" s="427">
        <v>16</v>
      </c>
      <c r="H32" s="27"/>
      <c r="I32" s="27"/>
      <c r="J32" s="27"/>
      <c r="K32" s="27"/>
      <c r="L32" s="27"/>
      <c r="M32" s="27"/>
      <c r="N32" s="27"/>
      <c r="O32" s="27"/>
      <c r="P32" s="27" t="str">
        <f t="shared" si="13"/>
        <v/>
      </c>
      <c r="Q32" s="27" t="str">
        <f t="shared" si="14"/>
        <v/>
      </c>
    </row>
    <row r="33" spans="1:17">
      <c r="A33" s="52">
        <f t="shared" si="9"/>
        <v>20</v>
      </c>
      <c r="C33" s="61">
        <v>0</v>
      </c>
      <c r="D33" s="61">
        <v>0</v>
      </c>
      <c r="E33" s="427">
        <v>17</v>
      </c>
      <c r="H33" s="27"/>
      <c r="I33" s="27"/>
      <c r="J33" s="27"/>
      <c r="K33" s="27"/>
      <c r="L33" s="27"/>
      <c r="M33" s="27"/>
      <c r="N33" s="27"/>
      <c r="O33" s="27"/>
      <c r="P33" s="27" t="str">
        <f t="shared" si="13"/>
        <v/>
      </c>
      <c r="Q33" s="27" t="str">
        <f t="shared" si="14"/>
        <v/>
      </c>
    </row>
    <row r="34" spans="1:17">
      <c r="A34" s="52">
        <f t="shared" si="9"/>
        <v>21</v>
      </c>
      <c r="C34" s="61">
        <v>0</v>
      </c>
      <c r="D34" s="61">
        <v>0</v>
      </c>
      <c r="E34" s="427">
        <v>18</v>
      </c>
      <c r="H34" s="27"/>
      <c r="I34" s="27"/>
      <c r="J34" s="27"/>
      <c r="K34" s="27"/>
      <c r="L34" s="27"/>
      <c r="M34" s="27"/>
      <c r="N34" s="27"/>
      <c r="O34" s="27"/>
      <c r="P34" s="27" t="str">
        <f t="shared" si="13"/>
        <v/>
      </c>
      <c r="Q34" s="27" t="str">
        <f t="shared" si="14"/>
        <v/>
      </c>
    </row>
    <row r="35" spans="1:17">
      <c r="A35" s="52">
        <f t="shared" si="9"/>
        <v>22</v>
      </c>
      <c r="C35" s="61">
        <v>0</v>
      </c>
      <c r="D35" s="61">
        <v>0</v>
      </c>
      <c r="E35" s="427">
        <v>19</v>
      </c>
      <c r="H35" s="27"/>
      <c r="I35" s="27"/>
      <c r="J35" s="27"/>
      <c r="K35" s="27"/>
      <c r="L35" s="27"/>
      <c r="M35" s="27"/>
      <c r="N35" s="27"/>
      <c r="O35" s="27"/>
      <c r="P35" s="27" t="str">
        <f t="shared" si="13"/>
        <v/>
      </c>
      <c r="Q35" s="27" t="str">
        <f t="shared" si="14"/>
        <v/>
      </c>
    </row>
    <row r="36" spans="1:17">
      <c r="A36" s="52">
        <f t="shared" si="9"/>
        <v>23</v>
      </c>
      <c r="C36" s="61">
        <v>0</v>
      </c>
      <c r="D36" s="61">
        <v>0</v>
      </c>
      <c r="E36" s="427">
        <v>20</v>
      </c>
      <c r="H36" s="27"/>
      <c r="I36" s="27"/>
      <c r="J36" s="27"/>
      <c r="K36" s="27"/>
      <c r="L36" s="27"/>
      <c r="M36" s="27"/>
      <c r="N36" s="27"/>
      <c r="O36" s="27"/>
      <c r="P36" s="27" t="str">
        <f t="shared" si="13"/>
        <v/>
      </c>
      <c r="Q36" s="27" t="str">
        <f t="shared" si="14"/>
        <v/>
      </c>
    </row>
    <row r="37" spans="1:17">
      <c r="A37" s="52">
        <f t="shared" si="9"/>
        <v>24</v>
      </c>
      <c r="C37" s="61">
        <v>0</v>
      </c>
      <c r="D37" s="61">
        <v>0</v>
      </c>
      <c r="E37" s="427">
        <v>21</v>
      </c>
      <c r="H37" s="27"/>
      <c r="I37" s="27"/>
      <c r="J37" s="27"/>
      <c r="K37" s="27"/>
      <c r="L37" s="27"/>
      <c r="M37" s="27"/>
      <c r="N37" s="27"/>
      <c r="O37" s="27"/>
      <c r="P37" s="27" t="str">
        <f t="shared" si="13"/>
        <v/>
      </c>
      <c r="Q37" s="27" t="str">
        <f t="shared" si="14"/>
        <v/>
      </c>
    </row>
    <row r="38" spans="1:17">
      <c r="A38" s="52">
        <f t="shared" si="9"/>
        <v>25</v>
      </c>
      <c r="C38" s="61">
        <v>0</v>
      </c>
      <c r="D38" s="61">
        <v>0</v>
      </c>
      <c r="E38" s="427">
        <v>22</v>
      </c>
      <c r="H38" s="27"/>
      <c r="I38" s="27"/>
      <c r="J38" s="27"/>
      <c r="K38" s="27"/>
      <c r="L38" s="27"/>
      <c r="M38" s="27"/>
      <c r="N38" s="27"/>
      <c r="O38" s="27"/>
      <c r="P38" s="27" t="str">
        <f t="shared" si="13"/>
        <v/>
      </c>
      <c r="Q38" s="27" t="str">
        <f t="shared" si="14"/>
        <v/>
      </c>
    </row>
    <row r="39" spans="1:17">
      <c r="A39" s="52">
        <f t="shared" si="9"/>
        <v>26</v>
      </c>
      <c r="C39" s="61">
        <v>0</v>
      </c>
      <c r="E39" s="427">
        <v>23</v>
      </c>
      <c r="H39" s="27"/>
      <c r="I39" s="27"/>
      <c r="L39" s="27"/>
      <c r="M39" s="27"/>
      <c r="N39" s="27"/>
      <c r="O39" s="27"/>
      <c r="P39" s="27" t="str">
        <f t="shared" si="13"/>
        <v/>
      </c>
      <c r="Q39" s="27" t="str">
        <f t="shared" si="14"/>
        <v/>
      </c>
    </row>
    <row r="40" spans="1:17">
      <c r="A40" s="52">
        <f t="shared" si="9"/>
        <v>27</v>
      </c>
      <c r="C40" s="61">
        <v>0</v>
      </c>
      <c r="E40" s="427">
        <v>24</v>
      </c>
      <c r="H40" s="27"/>
      <c r="I40" s="27"/>
      <c r="L40" s="27"/>
      <c r="M40" s="27"/>
      <c r="N40" s="27"/>
      <c r="O40" s="27"/>
      <c r="P40" s="27" t="str">
        <f t="shared" si="13"/>
        <v/>
      </c>
      <c r="Q40" s="27" t="str">
        <f t="shared" si="14"/>
        <v/>
      </c>
    </row>
    <row r="41" spans="1:17">
      <c r="A41" s="52">
        <f t="shared" si="9"/>
        <v>28</v>
      </c>
      <c r="C41" s="61">
        <v>0</v>
      </c>
      <c r="E41" s="427">
        <v>25</v>
      </c>
      <c r="H41" s="27"/>
      <c r="I41" s="27"/>
      <c r="L41" s="27"/>
      <c r="M41" s="27"/>
      <c r="N41" s="27"/>
      <c r="O41" s="27"/>
      <c r="P41" s="27" t="str">
        <f t="shared" si="13"/>
        <v/>
      </c>
      <c r="Q41" s="27" t="str">
        <f t="shared" si="14"/>
        <v/>
      </c>
    </row>
    <row r="42" spans="1:17">
      <c r="A42" s="52">
        <f t="shared" si="9"/>
        <v>29</v>
      </c>
      <c r="C42" s="61">
        <v>0</v>
      </c>
      <c r="E42" s="427">
        <v>26</v>
      </c>
      <c r="H42" s="27"/>
      <c r="I42" s="27"/>
      <c r="L42" s="27"/>
      <c r="M42" s="27"/>
      <c r="N42" s="27"/>
      <c r="O42" s="27"/>
      <c r="P42" s="27" t="str">
        <f t="shared" si="13"/>
        <v/>
      </c>
      <c r="Q42" s="27" t="str">
        <f t="shared" si="14"/>
        <v/>
      </c>
    </row>
    <row r="43" spans="1:17">
      <c r="A43" s="52">
        <f t="shared" si="9"/>
        <v>30</v>
      </c>
      <c r="C43" s="61">
        <v>0</v>
      </c>
      <c r="E43" s="427">
        <v>27</v>
      </c>
      <c r="I43" s="27"/>
      <c r="L43" s="27"/>
      <c r="M43" s="27"/>
      <c r="N43" s="27"/>
      <c r="O43" s="27"/>
      <c r="P43" s="27" t="str">
        <f t="shared" si="13"/>
        <v/>
      </c>
      <c r="Q43" s="27" t="str">
        <f t="shared" si="14"/>
        <v/>
      </c>
    </row>
    <row r="44" spans="1:17">
      <c r="A44" s="52">
        <f t="shared" si="9"/>
        <v>31</v>
      </c>
      <c r="E44" s="403"/>
      <c r="H44" s="27">
        <f>SUM(H17:H43)</f>
        <v>3804260.1320000002</v>
      </c>
      <c r="I44" s="27">
        <f t="shared" ref="I44:P44" si="15">SUM(I17:I43)</f>
        <v>3804260.1320000002</v>
      </c>
      <c r="J44" s="27">
        <f t="shared" si="15"/>
        <v>45058.31</v>
      </c>
      <c r="K44" s="27">
        <f t="shared" si="15"/>
        <v>317268.2933745833</v>
      </c>
      <c r="L44" s="27">
        <f t="shared" si="15"/>
        <v>3532050.1486254167</v>
      </c>
      <c r="M44" s="27">
        <f t="shared" si="15"/>
        <v>741730.53121133754</v>
      </c>
      <c r="N44" s="27">
        <f t="shared" si="15"/>
        <v>176602.50743127085</v>
      </c>
      <c r="O44" s="27">
        <f t="shared" si="15"/>
        <v>-37086.526560566883</v>
      </c>
      <c r="P44" s="27">
        <f t="shared" si="15"/>
        <v>-7594.19</v>
      </c>
      <c r="Q44" s="27">
        <f>AVERAGE(Q16:Q28)</f>
        <v>186958.90645326066</v>
      </c>
    </row>
    <row r="45" spans="1:17">
      <c r="E45" s="403"/>
      <c r="I45" s="27"/>
      <c r="J45" s="27"/>
      <c r="K45" s="27"/>
      <c r="Q45" s="27"/>
    </row>
    <row r="46" spans="1:17">
      <c r="B46" s="60" t="s">
        <v>163</v>
      </c>
      <c r="C46" s="52" t="s">
        <v>647</v>
      </c>
      <c r="D46" s="245"/>
      <c r="E46" s="403"/>
      <c r="N46" s="48"/>
      <c r="O46" s="48"/>
      <c r="P46" s="48"/>
    </row>
    <row r="47" spans="1:17">
      <c r="A47" s="54"/>
      <c r="B47" s="54"/>
      <c r="C47" s="54"/>
      <c r="D47" s="54" t="s">
        <v>24</v>
      </c>
      <c r="E47" s="402"/>
      <c r="F47" s="54"/>
      <c r="G47" s="54"/>
      <c r="H47" s="54"/>
      <c r="I47" s="54"/>
      <c r="J47" s="54"/>
      <c r="K47" s="54"/>
      <c r="L47" s="54"/>
      <c r="M47" s="54"/>
      <c r="N47" s="49"/>
      <c r="O47" s="49"/>
      <c r="P47" s="49"/>
      <c r="Q47" s="54"/>
    </row>
    <row r="48" spans="1:17" ht="25.5">
      <c r="A48" s="54"/>
      <c r="B48" s="54"/>
      <c r="C48" s="55"/>
      <c r="D48" s="54" t="s">
        <v>25</v>
      </c>
      <c r="E48" s="421" t="s">
        <v>555</v>
      </c>
      <c r="F48" s="54"/>
      <c r="G48" s="54"/>
      <c r="H48" s="54">
        <v>2020</v>
      </c>
      <c r="I48" s="54"/>
      <c r="J48" s="54" t="s">
        <v>35</v>
      </c>
      <c r="K48" s="54"/>
      <c r="L48" s="54"/>
      <c r="M48" s="55" t="s">
        <v>179</v>
      </c>
      <c r="Q48" s="49"/>
    </row>
    <row r="49" spans="1:17">
      <c r="A49" s="54" t="s">
        <v>4</v>
      </c>
      <c r="B49" s="54"/>
      <c r="C49" s="54"/>
      <c r="D49" s="54" t="s">
        <v>26</v>
      </c>
      <c r="E49" s="422" t="s">
        <v>556</v>
      </c>
      <c r="F49" s="54"/>
      <c r="G49" s="54"/>
      <c r="H49" s="54" t="s">
        <v>31</v>
      </c>
      <c r="I49" s="54" t="s">
        <v>34</v>
      </c>
      <c r="J49" s="54" t="s">
        <v>36</v>
      </c>
      <c r="K49" s="54" t="s">
        <v>38</v>
      </c>
      <c r="L49" s="54"/>
      <c r="M49" s="54" t="s">
        <v>34</v>
      </c>
      <c r="Q49" s="49"/>
    </row>
    <row r="50" spans="1:17">
      <c r="A50" s="366" t="s">
        <v>5</v>
      </c>
      <c r="B50" s="366"/>
      <c r="C50" s="366"/>
      <c r="D50" s="366" t="s">
        <v>2</v>
      </c>
      <c r="E50" s="423" t="s">
        <v>557</v>
      </c>
      <c r="F50" s="366"/>
      <c r="G50" s="366" t="s">
        <v>105</v>
      </c>
      <c r="H50" s="366" t="s">
        <v>20</v>
      </c>
      <c r="I50" s="366" t="s">
        <v>0</v>
      </c>
      <c r="J50" s="366" t="s">
        <v>37</v>
      </c>
      <c r="K50" s="366" t="s">
        <v>0</v>
      </c>
      <c r="L50" s="366" t="s">
        <v>39</v>
      </c>
      <c r="M50" s="56" t="s">
        <v>453</v>
      </c>
      <c r="Q50" s="49"/>
    </row>
    <row r="51" spans="1:17">
      <c r="C51" s="57"/>
      <c r="D51" s="57" t="s">
        <v>69</v>
      </c>
      <c r="E51" s="424"/>
      <c r="F51" s="58"/>
      <c r="G51" s="58"/>
      <c r="H51" s="425" t="s">
        <v>163</v>
      </c>
      <c r="Q51" s="50"/>
    </row>
    <row r="52" spans="1:17">
      <c r="A52" s="52">
        <v>1</v>
      </c>
      <c r="C52" s="57" t="s">
        <v>69</v>
      </c>
      <c r="D52" s="59"/>
      <c r="E52" s="424"/>
      <c r="H52" s="27">
        <f>H11</f>
        <v>50251892.240000002</v>
      </c>
      <c r="I52" s="62"/>
      <c r="Q52" s="50"/>
    </row>
    <row r="53" spans="1:17">
      <c r="A53" s="52">
        <v>2</v>
      </c>
      <c r="C53" s="57" t="s">
        <v>72</v>
      </c>
      <c r="D53" s="59"/>
      <c r="E53" s="424"/>
      <c r="H53" s="27">
        <f>H12</f>
        <v>0</v>
      </c>
      <c r="Q53" s="50"/>
    </row>
    <row r="54" spans="1:17">
      <c r="A54" s="52">
        <v>3</v>
      </c>
      <c r="C54" s="57" t="s">
        <v>182</v>
      </c>
      <c r="D54" s="59"/>
      <c r="E54" s="424"/>
      <c r="H54" s="27"/>
      <c r="Q54" s="50"/>
    </row>
    <row r="55" spans="1:17">
      <c r="C55" s="59"/>
      <c r="E55" s="425"/>
      <c r="Q55" s="50"/>
    </row>
    <row r="56" spans="1:17">
      <c r="C56" s="422" t="s">
        <v>561</v>
      </c>
      <c r="E56" s="426"/>
      <c r="H56" s="195"/>
      <c r="I56" s="195"/>
      <c r="J56" s="195"/>
      <c r="K56" s="244"/>
      <c r="Q56" s="50"/>
    </row>
    <row r="57" spans="1:17">
      <c r="C57" s="422" t="s">
        <v>562</v>
      </c>
      <c r="E57" s="426"/>
      <c r="H57" s="425" t="s">
        <v>163</v>
      </c>
      <c r="Q57" s="51"/>
    </row>
    <row r="58" spans="1:17">
      <c r="A58" s="52">
        <f>A54+1</f>
        <v>4</v>
      </c>
      <c r="C58" s="476">
        <v>0.05</v>
      </c>
      <c r="D58" s="61">
        <v>0.05</v>
      </c>
      <c r="E58" s="427">
        <v>1</v>
      </c>
      <c r="G58" s="52">
        <v>1</v>
      </c>
      <c r="H58" s="27">
        <f t="shared" ref="H58:H69" si="16">H17</f>
        <v>0</v>
      </c>
      <c r="I58" s="27">
        <f t="shared" ref="I58:I69" si="17">SUM(H58:H58)</f>
        <v>0</v>
      </c>
      <c r="J58" s="27">
        <f t="shared" ref="J58:K69" si="18">J17</f>
        <v>0</v>
      </c>
      <c r="K58" s="27">
        <f t="shared" si="18"/>
        <v>0</v>
      </c>
      <c r="L58" s="27">
        <f t="shared" ref="L58:L69" si="19">I58+J58-K58</f>
        <v>0</v>
      </c>
      <c r="M58" s="27">
        <f>L58*0.05</f>
        <v>0</v>
      </c>
      <c r="Q58" s="51"/>
    </row>
    <row r="59" spans="1:17">
      <c r="A59" s="52">
        <f>A58+1</f>
        <v>5</v>
      </c>
      <c r="C59" s="476">
        <v>9.5000000000000001E-2</v>
      </c>
      <c r="D59" s="61">
        <v>9.5000000000000001E-2</v>
      </c>
      <c r="E59" s="427">
        <v>2</v>
      </c>
      <c r="G59" s="52">
        <v>2</v>
      </c>
      <c r="H59" s="27">
        <f t="shared" si="16"/>
        <v>0</v>
      </c>
      <c r="I59" s="27">
        <f t="shared" si="17"/>
        <v>0</v>
      </c>
      <c r="J59" s="27">
        <f t="shared" si="18"/>
        <v>0</v>
      </c>
      <c r="K59" s="27">
        <f t="shared" si="18"/>
        <v>0</v>
      </c>
      <c r="L59" s="27">
        <f t="shared" si="19"/>
        <v>0</v>
      </c>
      <c r="M59" s="27">
        <f t="shared" ref="M59:M69" si="20">L59*0.05</f>
        <v>0</v>
      </c>
      <c r="Q59" s="51"/>
    </row>
    <row r="60" spans="1:17">
      <c r="A60" s="52">
        <f t="shared" ref="A60:A85" si="21">A59+1</f>
        <v>6</v>
      </c>
      <c r="C60" s="476">
        <v>8.5500000000000007E-2</v>
      </c>
      <c r="D60" s="61">
        <v>8.5500000000000007E-2</v>
      </c>
      <c r="E60" s="427">
        <v>3</v>
      </c>
      <c r="G60" s="52">
        <v>3</v>
      </c>
      <c r="H60" s="27">
        <f t="shared" si="16"/>
        <v>0</v>
      </c>
      <c r="I60" s="27">
        <f t="shared" si="17"/>
        <v>0</v>
      </c>
      <c r="J60" s="27">
        <f t="shared" si="18"/>
        <v>0</v>
      </c>
      <c r="K60" s="27">
        <f t="shared" si="18"/>
        <v>0</v>
      </c>
      <c r="L60" s="27">
        <f t="shared" si="19"/>
        <v>0</v>
      </c>
      <c r="M60" s="27">
        <f t="shared" si="20"/>
        <v>0</v>
      </c>
      <c r="Q60" s="51"/>
    </row>
    <row r="61" spans="1:17">
      <c r="A61" s="52">
        <f t="shared" si="21"/>
        <v>7</v>
      </c>
      <c r="C61" s="476">
        <v>7.6999999999999999E-2</v>
      </c>
      <c r="D61" s="61">
        <v>7.6999999999999999E-2</v>
      </c>
      <c r="E61" s="427">
        <v>4</v>
      </c>
      <c r="G61" s="52">
        <v>4</v>
      </c>
      <c r="H61" s="27">
        <f t="shared" si="16"/>
        <v>0</v>
      </c>
      <c r="I61" s="27">
        <f t="shared" si="17"/>
        <v>0</v>
      </c>
      <c r="J61" s="27">
        <f t="shared" si="18"/>
        <v>0</v>
      </c>
      <c r="K61" s="27">
        <f t="shared" si="18"/>
        <v>0</v>
      </c>
      <c r="L61" s="27">
        <f t="shared" si="19"/>
        <v>0</v>
      </c>
      <c r="M61" s="27">
        <f t="shared" si="20"/>
        <v>0</v>
      </c>
      <c r="Q61" s="51"/>
    </row>
    <row r="62" spans="1:17">
      <c r="A62" s="52">
        <f t="shared" si="21"/>
        <v>8</v>
      </c>
      <c r="C62" s="476">
        <v>6.93E-2</v>
      </c>
      <c r="D62" s="61">
        <v>6.93E-2</v>
      </c>
      <c r="E62" s="427">
        <v>5</v>
      </c>
      <c r="G62" s="52">
        <v>5</v>
      </c>
      <c r="H62" s="27">
        <f t="shared" si="16"/>
        <v>0</v>
      </c>
      <c r="I62" s="27">
        <f t="shared" si="17"/>
        <v>0</v>
      </c>
      <c r="J62" s="27">
        <f t="shared" si="18"/>
        <v>0</v>
      </c>
      <c r="K62" s="27">
        <f t="shared" si="18"/>
        <v>0</v>
      </c>
      <c r="L62" s="27">
        <f t="shared" si="19"/>
        <v>0</v>
      </c>
      <c r="M62" s="27">
        <f t="shared" si="20"/>
        <v>0</v>
      </c>
      <c r="Q62" s="51"/>
    </row>
    <row r="63" spans="1:17">
      <c r="A63" s="52">
        <f t="shared" si="21"/>
        <v>9</v>
      </c>
      <c r="C63" s="476">
        <v>6.2300000000000001E-2</v>
      </c>
      <c r="D63" s="61">
        <v>6.2300000000000001E-2</v>
      </c>
      <c r="E63" s="427">
        <v>6</v>
      </c>
      <c r="G63" s="52">
        <v>6</v>
      </c>
      <c r="H63" s="27">
        <f t="shared" si="16"/>
        <v>0</v>
      </c>
      <c r="I63" s="27">
        <f t="shared" si="17"/>
        <v>0</v>
      </c>
      <c r="J63" s="27">
        <f t="shared" si="18"/>
        <v>0</v>
      </c>
      <c r="K63" s="27">
        <f t="shared" si="18"/>
        <v>0</v>
      </c>
      <c r="L63" s="27">
        <f t="shared" si="19"/>
        <v>0</v>
      </c>
      <c r="M63" s="27">
        <f t="shared" si="20"/>
        <v>0</v>
      </c>
      <c r="Q63" s="51"/>
    </row>
    <row r="64" spans="1:17">
      <c r="A64" s="52">
        <f t="shared" si="21"/>
        <v>10</v>
      </c>
      <c r="C64" s="476">
        <v>5.8999999999999997E-2</v>
      </c>
      <c r="D64" s="61">
        <v>5.8999999999999997E-2</v>
      </c>
      <c r="E64" s="427">
        <v>7</v>
      </c>
      <c r="G64" s="52">
        <v>7</v>
      </c>
      <c r="H64" s="27">
        <f t="shared" si="16"/>
        <v>0</v>
      </c>
      <c r="I64" s="27">
        <f t="shared" si="17"/>
        <v>0</v>
      </c>
      <c r="J64" s="27">
        <f t="shared" si="18"/>
        <v>0</v>
      </c>
      <c r="K64" s="27">
        <f t="shared" si="18"/>
        <v>0</v>
      </c>
      <c r="L64" s="27">
        <f t="shared" si="19"/>
        <v>0</v>
      </c>
      <c r="M64" s="27">
        <f t="shared" si="20"/>
        <v>0</v>
      </c>
      <c r="Q64" s="51"/>
    </row>
    <row r="65" spans="1:17">
      <c r="A65" s="52">
        <f t="shared" si="21"/>
        <v>11</v>
      </c>
      <c r="C65" s="476">
        <v>5.8999999999999997E-2</v>
      </c>
      <c r="D65" s="61">
        <v>5.8999999999999997E-2</v>
      </c>
      <c r="E65" s="427">
        <v>8</v>
      </c>
      <c r="G65" s="52">
        <v>8</v>
      </c>
      <c r="H65" s="27">
        <f t="shared" si="16"/>
        <v>0</v>
      </c>
      <c r="I65" s="27">
        <f t="shared" si="17"/>
        <v>0</v>
      </c>
      <c r="J65" s="27">
        <f t="shared" si="18"/>
        <v>0</v>
      </c>
      <c r="K65" s="27">
        <f t="shared" si="18"/>
        <v>0</v>
      </c>
      <c r="L65" s="27">
        <f t="shared" si="19"/>
        <v>0</v>
      </c>
      <c r="M65" s="27">
        <f t="shared" si="20"/>
        <v>0</v>
      </c>
      <c r="Q65" s="51"/>
    </row>
    <row r="66" spans="1:17">
      <c r="A66" s="52">
        <f t="shared" si="21"/>
        <v>12</v>
      </c>
      <c r="C66" s="476">
        <v>5.91E-2</v>
      </c>
      <c r="D66" s="61">
        <v>5.91E-2</v>
      </c>
      <c r="E66" s="427">
        <v>9</v>
      </c>
      <c r="G66" s="52">
        <v>9</v>
      </c>
      <c r="H66" s="27">
        <f t="shared" si="16"/>
        <v>0</v>
      </c>
      <c r="I66" s="27">
        <f t="shared" si="17"/>
        <v>0</v>
      </c>
      <c r="J66" s="27">
        <f t="shared" si="18"/>
        <v>0</v>
      </c>
      <c r="K66" s="27">
        <f t="shared" si="18"/>
        <v>0</v>
      </c>
      <c r="L66" s="27">
        <f t="shared" si="19"/>
        <v>0</v>
      </c>
      <c r="M66" s="27">
        <f t="shared" si="20"/>
        <v>0</v>
      </c>
      <c r="Q66" s="51"/>
    </row>
    <row r="67" spans="1:17">
      <c r="A67" s="52">
        <f t="shared" si="21"/>
        <v>13</v>
      </c>
      <c r="C67" s="476">
        <v>5.8999999999999997E-2</v>
      </c>
      <c r="D67" s="61">
        <v>5.8999999999999997E-2</v>
      </c>
      <c r="E67" s="427">
        <v>10</v>
      </c>
      <c r="G67" s="52">
        <v>10</v>
      </c>
      <c r="H67" s="27">
        <f t="shared" si="16"/>
        <v>3029642.038333334</v>
      </c>
      <c r="I67" s="27">
        <f t="shared" si="17"/>
        <v>3029642.038333334</v>
      </c>
      <c r="J67" s="27">
        <f t="shared" si="18"/>
        <v>40412.29</v>
      </c>
      <c r="K67" s="27">
        <f t="shared" si="18"/>
        <v>62107.661785833327</v>
      </c>
      <c r="L67" s="27">
        <f t="shared" si="19"/>
        <v>3007946.6665475005</v>
      </c>
      <c r="M67" s="27">
        <f t="shared" si="20"/>
        <v>150397.33332737503</v>
      </c>
      <c r="Q67" s="51"/>
    </row>
    <row r="68" spans="1:17">
      <c r="A68" s="52">
        <f t="shared" si="21"/>
        <v>14</v>
      </c>
      <c r="C68" s="476">
        <v>5.91E-2</v>
      </c>
      <c r="D68" s="61">
        <v>5.91E-2</v>
      </c>
      <c r="E68" s="427">
        <v>11</v>
      </c>
      <c r="G68" s="52">
        <v>11</v>
      </c>
      <c r="H68" s="27">
        <f t="shared" si="16"/>
        <v>406208.6560416664</v>
      </c>
      <c r="I68" s="27">
        <f t="shared" si="17"/>
        <v>406208.6560416664</v>
      </c>
      <c r="J68" s="27">
        <f t="shared" si="18"/>
        <v>4646.0200000000004</v>
      </c>
      <c r="K68" s="27">
        <f t="shared" si="18"/>
        <v>126139.42472645832</v>
      </c>
      <c r="L68" s="27">
        <f t="shared" si="19"/>
        <v>284715.25131520809</v>
      </c>
      <c r="M68" s="27">
        <f t="shared" si="20"/>
        <v>14235.762565760406</v>
      </c>
      <c r="Q68" s="51"/>
    </row>
    <row r="69" spans="1:17">
      <c r="A69" s="52">
        <f t="shared" si="21"/>
        <v>15</v>
      </c>
      <c r="C69" s="476">
        <v>5.8999999999999997E-2</v>
      </c>
      <c r="D69" s="61">
        <v>5.8999999999999997E-2</v>
      </c>
      <c r="E69" s="427">
        <v>12</v>
      </c>
      <c r="G69" s="52">
        <v>12</v>
      </c>
      <c r="H69" s="27">
        <f t="shared" si="16"/>
        <v>368409.43762499979</v>
      </c>
      <c r="I69" s="27">
        <f t="shared" si="17"/>
        <v>368409.43762499979</v>
      </c>
      <c r="J69" s="27">
        <f t="shared" si="18"/>
        <v>0</v>
      </c>
      <c r="K69" s="27">
        <f t="shared" si="18"/>
        <v>129021.20686229166</v>
      </c>
      <c r="L69" s="27">
        <f t="shared" si="19"/>
        <v>239388.23076270812</v>
      </c>
      <c r="M69" s="27">
        <f t="shared" si="20"/>
        <v>11969.411538135406</v>
      </c>
      <c r="Q69" s="51"/>
    </row>
    <row r="70" spans="1:17">
      <c r="A70" s="52">
        <f t="shared" si="21"/>
        <v>16</v>
      </c>
      <c r="C70" s="476">
        <v>5.91E-2</v>
      </c>
      <c r="D70" s="61">
        <v>5.91E-2</v>
      </c>
      <c r="E70" s="427">
        <v>13</v>
      </c>
      <c r="H70" s="27"/>
      <c r="I70" s="27"/>
      <c r="J70" s="27"/>
      <c r="K70" s="27"/>
      <c r="L70" s="27" t="str">
        <f t="shared" ref="L70:L84" si="22">IF(K70=0,"",I70+J70-K70)</f>
        <v/>
      </c>
      <c r="M70" s="27" t="str">
        <f t="shared" ref="M70:M84" si="23">IF(L70="","",L70*0.389)</f>
        <v/>
      </c>
      <c r="N70" s="51"/>
      <c r="O70" s="51"/>
      <c r="P70" s="51"/>
      <c r="Q70" s="27" t="str">
        <f t="shared" ref="Q70:Q84" si="24">IF(M70="","",Q69+M70)</f>
        <v/>
      </c>
    </row>
    <row r="71" spans="1:17">
      <c r="A71" s="52">
        <f t="shared" si="21"/>
        <v>17</v>
      </c>
      <c r="C71" s="476">
        <v>5.8999999999999997E-2</v>
      </c>
      <c r="D71" s="61">
        <v>5.8999999999999997E-2</v>
      </c>
      <c r="E71" s="427">
        <v>14</v>
      </c>
      <c r="H71" s="27"/>
      <c r="I71" s="27"/>
      <c r="J71" s="27"/>
      <c r="K71" s="27"/>
      <c r="L71" s="27" t="str">
        <f t="shared" si="22"/>
        <v/>
      </c>
      <c r="M71" s="27" t="str">
        <f t="shared" si="23"/>
        <v/>
      </c>
      <c r="N71" s="51"/>
      <c r="O71" s="51"/>
      <c r="P71" s="51"/>
      <c r="Q71" s="27" t="str">
        <f t="shared" si="24"/>
        <v/>
      </c>
    </row>
    <row r="72" spans="1:17">
      <c r="A72" s="52">
        <f t="shared" si="21"/>
        <v>18</v>
      </c>
      <c r="C72" s="476">
        <v>5.91E-2</v>
      </c>
      <c r="D72" s="61">
        <v>5.91E-2</v>
      </c>
      <c r="E72" s="427">
        <v>15</v>
      </c>
      <c r="H72" s="27"/>
      <c r="I72" s="27"/>
      <c r="J72" s="27"/>
      <c r="K72" s="27"/>
      <c r="L72" s="27" t="str">
        <f t="shared" si="22"/>
        <v/>
      </c>
      <c r="M72" s="27" t="str">
        <f t="shared" si="23"/>
        <v/>
      </c>
      <c r="N72" s="51"/>
      <c r="O72" s="51"/>
      <c r="P72" s="51"/>
      <c r="Q72" s="27" t="str">
        <f t="shared" si="24"/>
        <v/>
      </c>
    </row>
    <row r="73" spans="1:17">
      <c r="A73" s="52">
        <f t="shared" si="21"/>
        <v>19</v>
      </c>
      <c r="C73" s="476">
        <v>2.9499999999999998E-2</v>
      </c>
      <c r="D73" s="61">
        <v>2.9499999999999998E-2</v>
      </c>
      <c r="E73" s="427">
        <v>16</v>
      </c>
      <c r="H73" s="27"/>
      <c r="I73" s="27"/>
      <c r="J73" s="27"/>
      <c r="K73" s="27"/>
      <c r="L73" s="27" t="str">
        <f t="shared" si="22"/>
        <v/>
      </c>
      <c r="M73" s="27" t="str">
        <f t="shared" si="23"/>
        <v/>
      </c>
      <c r="N73" s="51"/>
      <c r="O73" s="51"/>
      <c r="P73" s="51"/>
      <c r="Q73" s="27" t="str">
        <f t="shared" si="24"/>
        <v/>
      </c>
    </row>
    <row r="74" spans="1:17">
      <c r="A74" s="52">
        <f t="shared" si="21"/>
        <v>20</v>
      </c>
      <c r="C74" s="61">
        <v>0</v>
      </c>
      <c r="D74" s="61">
        <v>0</v>
      </c>
      <c r="E74" s="427">
        <v>17</v>
      </c>
      <c r="H74" s="27"/>
      <c r="I74" s="27"/>
      <c r="J74" s="27"/>
      <c r="K74" s="27"/>
      <c r="L74" s="27" t="str">
        <f t="shared" si="22"/>
        <v/>
      </c>
      <c r="M74" s="27" t="str">
        <f t="shared" si="23"/>
        <v/>
      </c>
      <c r="N74" s="51"/>
      <c r="O74" s="51"/>
      <c r="P74" s="51"/>
      <c r="Q74" s="27" t="str">
        <f t="shared" si="24"/>
        <v/>
      </c>
    </row>
    <row r="75" spans="1:17">
      <c r="A75" s="52">
        <f t="shared" si="21"/>
        <v>21</v>
      </c>
      <c r="C75" s="61">
        <v>0</v>
      </c>
      <c r="D75" s="61">
        <v>0</v>
      </c>
      <c r="E75" s="427">
        <v>18</v>
      </c>
      <c r="H75" s="27"/>
      <c r="I75" s="27"/>
      <c r="J75" s="27"/>
      <c r="K75" s="27"/>
      <c r="L75" s="27" t="str">
        <f t="shared" si="22"/>
        <v/>
      </c>
      <c r="M75" s="27" t="str">
        <f t="shared" si="23"/>
        <v/>
      </c>
      <c r="N75" s="51"/>
      <c r="O75" s="51"/>
      <c r="P75" s="51"/>
      <c r="Q75" s="27" t="str">
        <f t="shared" si="24"/>
        <v/>
      </c>
    </row>
    <row r="76" spans="1:17">
      <c r="A76" s="52">
        <f t="shared" si="21"/>
        <v>22</v>
      </c>
      <c r="C76" s="61">
        <v>0</v>
      </c>
      <c r="D76" s="61">
        <v>0</v>
      </c>
      <c r="E76" s="427">
        <v>19</v>
      </c>
      <c r="H76" s="27"/>
      <c r="I76" s="27"/>
      <c r="J76" s="27"/>
      <c r="K76" s="27"/>
      <c r="L76" s="27" t="str">
        <f t="shared" si="22"/>
        <v/>
      </c>
      <c r="M76" s="27" t="str">
        <f t="shared" si="23"/>
        <v/>
      </c>
      <c r="N76" s="51"/>
      <c r="O76" s="51"/>
      <c r="P76" s="51"/>
      <c r="Q76" s="27" t="str">
        <f t="shared" si="24"/>
        <v/>
      </c>
    </row>
    <row r="77" spans="1:17">
      <c r="A77" s="52">
        <f t="shared" si="21"/>
        <v>23</v>
      </c>
      <c r="C77" s="61">
        <v>0</v>
      </c>
      <c r="D77" s="61">
        <v>0</v>
      </c>
      <c r="E77" s="427">
        <v>20</v>
      </c>
      <c r="H77" s="27"/>
      <c r="I77" s="27"/>
      <c r="J77" s="27"/>
      <c r="K77" s="27"/>
      <c r="L77" s="27" t="str">
        <f t="shared" si="22"/>
        <v/>
      </c>
      <c r="M77" s="27" t="str">
        <f t="shared" si="23"/>
        <v/>
      </c>
      <c r="N77" s="51"/>
      <c r="O77" s="51"/>
      <c r="P77" s="51"/>
      <c r="Q77" s="27" t="str">
        <f t="shared" si="24"/>
        <v/>
      </c>
    </row>
    <row r="78" spans="1:17">
      <c r="A78" s="52">
        <f t="shared" si="21"/>
        <v>24</v>
      </c>
      <c r="C78" s="61">
        <v>0</v>
      </c>
      <c r="D78" s="61">
        <v>0</v>
      </c>
      <c r="E78" s="427">
        <v>21</v>
      </c>
      <c r="H78" s="27"/>
      <c r="I78" s="27"/>
      <c r="J78" s="27"/>
      <c r="K78" s="27"/>
      <c r="L78" s="27" t="str">
        <f t="shared" si="22"/>
        <v/>
      </c>
      <c r="M78" s="27" t="str">
        <f t="shared" si="23"/>
        <v/>
      </c>
      <c r="N78" s="51"/>
      <c r="O78" s="51"/>
      <c r="P78" s="51"/>
      <c r="Q78" s="27" t="str">
        <f t="shared" si="24"/>
        <v/>
      </c>
    </row>
    <row r="79" spans="1:17">
      <c r="A79" s="52">
        <f t="shared" si="21"/>
        <v>25</v>
      </c>
      <c r="C79" s="61">
        <v>0</v>
      </c>
      <c r="D79" s="61">
        <v>0</v>
      </c>
      <c r="E79" s="427">
        <v>22</v>
      </c>
      <c r="H79" s="27"/>
      <c r="I79" s="27"/>
      <c r="J79" s="27"/>
      <c r="K79" s="27"/>
      <c r="L79" s="27" t="str">
        <f t="shared" si="22"/>
        <v/>
      </c>
      <c r="M79" s="27" t="str">
        <f t="shared" si="23"/>
        <v/>
      </c>
      <c r="N79" s="51"/>
      <c r="O79" s="51"/>
      <c r="P79" s="51"/>
      <c r="Q79" s="27" t="str">
        <f t="shared" si="24"/>
        <v/>
      </c>
    </row>
    <row r="80" spans="1:17">
      <c r="A80" s="52">
        <f t="shared" si="21"/>
        <v>26</v>
      </c>
      <c r="C80" s="61">
        <v>0</v>
      </c>
      <c r="E80" s="427">
        <v>23</v>
      </c>
      <c r="H80" s="27"/>
      <c r="I80" s="27"/>
      <c r="L80" s="27" t="str">
        <f t="shared" si="22"/>
        <v/>
      </c>
      <c r="M80" s="27" t="str">
        <f t="shared" si="23"/>
        <v/>
      </c>
      <c r="N80" s="51"/>
      <c r="O80" s="51"/>
      <c r="P80" s="51"/>
      <c r="Q80" s="27" t="str">
        <f t="shared" si="24"/>
        <v/>
      </c>
    </row>
    <row r="81" spans="1:17">
      <c r="A81" s="52">
        <f t="shared" si="21"/>
        <v>27</v>
      </c>
      <c r="C81" s="61">
        <v>0</v>
      </c>
      <c r="E81" s="427">
        <v>24</v>
      </c>
      <c r="H81" s="27"/>
      <c r="I81" s="27"/>
      <c r="L81" s="27" t="str">
        <f t="shared" si="22"/>
        <v/>
      </c>
      <c r="M81" s="27" t="str">
        <f t="shared" si="23"/>
        <v/>
      </c>
      <c r="N81" s="51"/>
      <c r="O81" s="51"/>
      <c r="P81" s="51"/>
      <c r="Q81" s="27" t="str">
        <f t="shared" si="24"/>
        <v/>
      </c>
    </row>
    <row r="82" spans="1:17">
      <c r="A82" s="52">
        <f t="shared" si="21"/>
        <v>28</v>
      </c>
      <c r="C82" s="61">
        <v>0</v>
      </c>
      <c r="E82" s="427">
        <v>25</v>
      </c>
      <c r="H82" s="27"/>
      <c r="I82" s="27"/>
      <c r="L82" s="27" t="str">
        <f t="shared" si="22"/>
        <v/>
      </c>
      <c r="M82" s="27" t="str">
        <f t="shared" si="23"/>
        <v/>
      </c>
      <c r="N82" s="51"/>
      <c r="O82" s="51"/>
      <c r="P82" s="51"/>
      <c r="Q82" s="27" t="str">
        <f t="shared" si="24"/>
        <v/>
      </c>
    </row>
    <row r="83" spans="1:17">
      <c r="A83" s="52">
        <f t="shared" si="21"/>
        <v>29</v>
      </c>
      <c r="C83" s="61">
        <v>0</v>
      </c>
      <c r="E83" s="427">
        <v>26</v>
      </c>
      <c r="H83" s="27"/>
      <c r="I83" s="27"/>
      <c r="L83" s="27" t="str">
        <f t="shared" si="22"/>
        <v/>
      </c>
      <c r="M83" s="27" t="str">
        <f t="shared" si="23"/>
        <v/>
      </c>
      <c r="N83" s="51"/>
      <c r="O83" s="51"/>
      <c r="P83" s="51"/>
      <c r="Q83" s="27" t="str">
        <f t="shared" si="24"/>
        <v/>
      </c>
    </row>
    <row r="84" spans="1:17">
      <c r="A84" s="52">
        <f t="shared" si="21"/>
        <v>30</v>
      </c>
      <c r="C84" s="61">
        <v>0</v>
      </c>
      <c r="E84" s="427">
        <v>27</v>
      </c>
      <c r="I84" s="27"/>
      <c r="L84" s="27" t="str">
        <f t="shared" si="22"/>
        <v/>
      </c>
      <c r="M84" s="27" t="str">
        <f t="shared" si="23"/>
        <v/>
      </c>
      <c r="Q84" s="27" t="str">
        <f t="shared" si="24"/>
        <v/>
      </c>
    </row>
    <row r="85" spans="1:17">
      <c r="A85" s="52">
        <f t="shared" si="21"/>
        <v>31</v>
      </c>
      <c r="E85" s="403"/>
      <c r="H85" s="27">
        <f t="shared" ref="H85:M85" si="25">SUM(H58:H84)</f>
        <v>3804260.1320000002</v>
      </c>
      <c r="I85" s="27">
        <f t="shared" si="25"/>
        <v>3804260.1320000002</v>
      </c>
      <c r="J85" s="27">
        <f t="shared" si="25"/>
        <v>45058.31</v>
      </c>
      <c r="K85" s="27">
        <f t="shared" si="25"/>
        <v>317268.2933745833</v>
      </c>
      <c r="L85" s="27">
        <f t="shared" si="25"/>
        <v>3532050.1486254167</v>
      </c>
      <c r="M85" s="27">
        <f t="shared" si="25"/>
        <v>176602.50743127085</v>
      </c>
      <c r="N85" s="27"/>
      <c r="O85" s="27"/>
      <c r="P85" s="27"/>
      <c r="Q85" s="27"/>
    </row>
    <row r="86" spans="1:17">
      <c r="H86" s="27"/>
      <c r="I86" s="27"/>
      <c r="J86" s="27"/>
      <c r="K86" s="27"/>
      <c r="Q86" s="27"/>
    </row>
    <row r="87" spans="1:17">
      <c r="B87" s="60" t="s">
        <v>163</v>
      </c>
      <c r="C87" s="52" t="s">
        <v>647</v>
      </c>
    </row>
  </sheetData>
  <pageMargins left="0.7" right="0.7" top="0.75" bottom="0.75" header="0.3" footer="0.3"/>
  <pageSetup scale="45" orientation="landscape" r:id="rId1"/>
  <headerFooter>
    <oddFooter>&amp;R&amp;"Times New Roman,Bold"&amp;17Exhibit 4
Page 18 of 18&amp;L&amp;1#&amp;"Calibri"&amp;14&amp;K000000Business Use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7E969-ECA9-4CD4-9552-5229A0EEC498}">
  <sheetPr>
    <tabColor theme="6" tint="0.39997558519241921"/>
  </sheetPr>
  <dimension ref="A1:W95"/>
  <sheetViews>
    <sheetView workbookViewId="0"/>
  </sheetViews>
  <sheetFormatPr defaultRowHeight="12.75"/>
  <cols>
    <col min="3" max="3" width="13.42578125" bestFit="1" customWidth="1"/>
    <col min="4" max="4" width="32.85546875" bestFit="1" customWidth="1"/>
    <col min="5" max="5" width="6.85546875" customWidth="1"/>
    <col min="6" max="14" width="10.85546875" customWidth="1"/>
    <col min="15" max="15" width="14.42578125" bestFit="1" customWidth="1"/>
    <col min="16" max="17" width="10.85546875" customWidth="1"/>
    <col min="18" max="18" width="12.140625" bestFit="1" customWidth="1"/>
    <col min="22" max="22" width="12.140625" bestFit="1" customWidth="1"/>
  </cols>
  <sheetData>
    <row r="1" spans="1:23">
      <c r="A1" s="2" t="s">
        <v>267</v>
      </c>
    </row>
    <row r="2" spans="1:23">
      <c r="A2" s="2" t="s">
        <v>268</v>
      </c>
      <c r="F2" s="1595" t="s">
        <v>622</v>
      </c>
      <c r="G2" s="1595"/>
      <c r="H2" s="1595"/>
      <c r="I2" s="1595"/>
      <c r="V2" s="362">
        <f>'202001 Bk Depr'!F19</f>
        <v>55802508.359999999</v>
      </c>
      <c r="W2" s="359" t="s">
        <v>537</v>
      </c>
    </row>
    <row r="3" spans="1:23">
      <c r="A3" s="2"/>
      <c r="K3" s="513" t="s">
        <v>688</v>
      </c>
      <c r="V3" s="362">
        <f>SUM(F9:Q15,F20:Q26)</f>
        <v>67153404.230000004</v>
      </c>
      <c r="W3" s="359" t="s">
        <v>536</v>
      </c>
    </row>
    <row r="4" spans="1:23">
      <c r="A4" s="2"/>
      <c r="V4" s="362">
        <v>43422247.100000001</v>
      </c>
      <c r="W4" s="359" t="s">
        <v>538</v>
      </c>
    </row>
    <row r="5" spans="1:23">
      <c r="V5" s="362">
        <f>SUM(V2:V4)</f>
        <v>166378159.69</v>
      </c>
      <c r="W5" s="359" t="s">
        <v>539</v>
      </c>
    </row>
    <row r="6" spans="1:23">
      <c r="V6" s="362">
        <f>'202012 Bk Depr'!R19</f>
        <v>148777427.31</v>
      </c>
      <c r="W6" s="359" t="s">
        <v>541</v>
      </c>
    </row>
    <row r="7" spans="1:23">
      <c r="A7" t="s">
        <v>270</v>
      </c>
      <c r="B7" t="s">
        <v>136</v>
      </c>
      <c r="C7" t="s">
        <v>138</v>
      </c>
      <c r="D7" t="s">
        <v>271</v>
      </c>
      <c r="E7" t="s">
        <v>140</v>
      </c>
      <c r="F7" t="s">
        <v>272</v>
      </c>
      <c r="G7" t="s">
        <v>273</v>
      </c>
      <c r="H7" t="s">
        <v>274</v>
      </c>
      <c r="I7" t="s">
        <v>275</v>
      </c>
      <c r="J7" t="s">
        <v>276</v>
      </c>
      <c r="K7" t="s">
        <v>277</v>
      </c>
      <c r="L7" t="s">
        <v>278</v>
      </c>
      <c r="M7" t="s">
        <v>279</v>
      </c>
      <c r="N7" t="s">
        <v>280</v>
      </c>
      <c r="O7" t="s">
        <v>281</v>
      </c>
      <c r="P7" t="s">
        <v>282</v>
      </c>
      <c r="Q7" t="s">
        <v>283</v>
      </c>
      <c r="R7" s="346" t="s">
        <v>284</v>
      </c>
      <c r="T7" t="s">
        <v>534</v>
      </c>
      <c r="V7" s="363">
        <f>V5-V6</f>
        <v>17600732.379999995</v>
      </c>
      <c r="W7" s="359" t="s">
        <v>540</v>
      </c>
    </row>
    <row r="8" spans="1:23">
      <c r="A8" t="s">
        <v>285</v>
      </c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47"/>
    </row>
    <row r="9" spans="1:23">
      <c r="A9">
        <v>380</v>
      </c>
      <c r="B9" t="s">
        <v>110</v>
      </c>
      <c r="C9" s="331" t="s">
        <v>111</v>
      </c>
      <c r="D9" s="331" t="s">
        <v>112</v>
      </c>
      <c r="E9" s="240">
        <v>2020</v>
      </c>
      <c r="F9" s="3">
        <f t="shared" ref="F9:Q18" si="0">SUMIFS(F$52:F$81,$D$52:$D$81,$C9,$E$52:$E$81,$A9)</f>
        <v>272955.91000000015</v>
      </c>
      <c r="G9" s="3">
        <f t="shared" si="0"/>
        <v>123209.76999999862</v>
      </c>
      <c r="H9" s="3">
        <f t="shared" si="0"/>
        <v>202451.16999999993</v>
      </c>
      <c r="I9" s="3">
        <f t="shared" si="0"/>
        <v>168008.03000000026</v>
      </c>
      <c r="J9" s="3">
        <f t="shared" si="0"/>
        <v>150754.66999999899</v>
      </c>
      <c r="K9" s="3">
        <f t="shared" si="0"/>
        <v>211541.93000000063</v>
      </c>
      <c r="L9" s="3">
        <f t="shared" si="0"/>
        <v>184422.01999999955</v>
      </c>
      <c r="M9" s="3">
        <f t="shared" si="0"/>
        <v>176497.62999999896</v>
      </c>
      <c r="N9" s="3">
        <f t="shared" si="0"/>
        <v>159045.23000000045</v>
      </c>
      <c r="O9" s="3">
        <f t="shared" si="0"/>
        <v>154405.29000000097</v>
      </c>
      <c r="P9" s="3">
        <f t="shared" si="0"/>
        <v>166205.63999999873</v>
      </c>
      <c r="Q9" s="3">
        <f t="shared" si="0"/>
        <v>-132194.61999999918</v>
      </c>
      <c r="R9" s="347">
        <f>SUM(F9:Q9)</f>
        <v>1837302.6699999981</v>
      </c>
    </row>
    <row r="10" spans="1:23">
      <c r="A10">
        <v>380</v>
      </c>
      <c r="C10" s="331" t="s">
        <v>113</v>
      </c>
      <c r="D10" s="331" t="s">
        <v>114</v>
      </c>
      <c r="E10" s="240">
        <v>2020</v>
      </c>
      <c r="F10" s="3">
        <f>SUMIFS(F$52:F$81,$D$52:$D$81,$C10,$E$52:$E$81,$A10)</f>
        <v>9638.5899999999965</v>
      </c>
      <c r="G10" s="3">
        <f t="shared" si="0"/>
        <v>1988.4700000000012</v>
      </c>
      <c r="H10" s="3">
        <f t="shared" si="0"/>
        <v>3788.9199999999837</v>
      </c>
      <c r="I10" s="3">
        <f t="shared" si="0"/>
        <v>2763.6499999999942</v>
      </c>
      <c r="J10" s="3">
        <f t="shared" si="0"/>
        <v>5029.4200000000128</v>
      </c>
      <c r="K10" s="3">
        <f t="shared" si="0"/>
        <v>7914</v>
      </c>
      <c r="L10" s="3">
        <f t="shared" si="0"/>
        <v>6314.8399999999965</v>
      </c>
      <c r="M10" s="3">
        <f t="shared" si="0"/>
        <v>2059.8399999999965</v>
      </c>
      <c r="N10" s="3">
        <f t="shared" si="0"/>
        <v>2410</v>
      </c>
      <c r="O10" s="3">
        <f t="shared" si="0"/>
        <v>5861.7900000000081</v>
      </c>
      <c r="P10" s="3">
        <f t="shared" si="0"/>
        <v>2767.1199999999953</v>
      </c>
      <c r="Q10" s="3">
        <f t="shared" si="0"/>
        <v>10013.429999999993</v>
      </c>
      <c r="R10" s="347">
        <f t="shared" ref="R10:R29" si="1">SUM(F10:Q10)</f>
        <v>60550.069999999978</v>
      </c>
    </row>
    <row r="11" spans="1:23">
      <c r="A11">
        <v>380</v>
      </c>
      <c r="C11" s="331" t="s">
        <v>115</v>
      </c>
      <c r="D11" s="331" t="s">
        <v>116</v>
      </c>
      <c r="E11" s="240">
        <v>2020</v>
      </c>
      <c r="F11" s="3">
        <f t="shared" si="0"/>
        <v>1602.4099999999744</v>
      </c>
      <c r="G11" s="3">
        <f t="shared" si="0"/>
        <v>2122.5999999999767</v>
      </c>
      <c r="H11" s="3">
        <f t="shared" si="0"/>
        <v>16371.27999999997</v>
      </c>
      <c r="I11" s="3">
        <f t="shared" si="0"/>
        <v>9320.3800000002375</v>
      </c>
      <c r="J11" s="3">
        <f t="shared" si="0"/>
        <v>40923.200000000012</v>
      </c>
      <c r="K11" s="3">
        <f t="shared" si="0"/>
        <v>54126.879999999772</v>
      </c>
      <c r="L11" s="3">
        <f t="shared" si="0"/>
        <v>6727.2800000000279</v>
      </c>
      <c r="M11" s="3">
        <f t="shared" si="0"/>
        <v>21906.699999999953</v>
      </c>
      <c r="N11" s="3">
        <f t="shared" si="0"/>
        <v>77230.540000000037</v>
      </c>
      <c r="O11" s="3">
        <f t="shared" si="0"/>
        <v>31568.459999999963</v>
      </c>
      <c r="P11" s="3">
        <f t="shared" si="0"/>
        <v>1262.8100000000559</v>
      </c>
      <c r="Q11" s="3">
        <f t="shared" si="0"/>
        <v>1603.7399999999907</v>
      </c>
      <c r="R11" s="347">
        <f t="shared" si="1"/>
        <v>264766.27999999997</v>
      </c>
    </row>
    <row r="12" spans="1:23">
      <c r="A12">
        <v>380</v>
      </c>
      <c r="C12" s="331" t="s">
        <v>117</v>
      </c>
      <c r="D12" s="331" t="s">
        <v>118</v>
      </c>
      <c r="E12" s="242">
        <v>2020</v>
      </c>
      <c r="F12" s="3">
        <f t="shared" si="0"/>
        <v>400544.5700000003</v>
      </c>
      <c r="G12" s="3">
        <f t="shared" si="0"/>
        <v>506123.76999999955</v>
      </c>
      <c r="H12" s="3">
        <f t="shared" si="0"/>
        <v>365174.98000000231</v>
      </c>
      <c r="I12" s="3">
        <f t="shared" si="0"/>
        <v>423328.6799999997</v>
      </c>
      <c r="J12" s="3">
        <f t="shared" si="0"/>
        <v>505397.52999999933</v>
      </c>
      <c r="K12" s="3">
        <f t="shared" si="0"/>
        <v>366857.8599999994</v>
      </c>
      <c r="L12" s="3">
        <f t="shared" si="0"/>
        <v>393376.5700000003</v>
      </c>
      <c r="M12" s="3">
        <f t="shared" si="0"/>
        <v>377052.66000000015</v>
      </c>
      <c r="N12" s="3">
        <f t="shared" si="0"/>
        <v>413766.94000000134</v>
      </c>
      <c r="O12" s="3">
        <f t="shared" si="0"/>
        <v>389253.8599999994</v>
      </c>
      <c r="P12" s="3">
        <f t="shared" si="0"/>
        <v>453553.66999999993</v>
      </c>
      <c r="Q12" s="3">
        <f t="shared" si="0"/>
        <v>239840.47000000067</v>
      </c>
      <c r="R12" s="347">
        <f t="shared" si="1"/>
        <v>4834271.5600000024</v>
      </c>
    </row>
    <row r="13" spans="1:23">
      <c r="A13">
        <v>380</v>
      </c>
      <c r="C13" s="331" t="s">
        <v>119</v>
      </c>
      <c r="D13" s="331" t="s">
        <v>216</v>
      </c>
      <c r="E13" s="242">
        <v>2020</v>
      </c>
      <c r="F13" s="3">
        <f t="shared" si="0"/>
        <v>12064.700000000012</v>
      </c>
      <c r="G13" s="3">
        <f t="shared" si="0"/>
        <v>7024.0200000000186</v>
      </c>
      <c r="H13" s="3">
        <f t="shared" si="0"/>
        <v>3811</v>
      </c>
      <c r="I13" s="3">
        <f t="shared" si="0"/>
        <v>3191.6699999999837</v>
      </c>
      <c r="J13" s="3">
        <f t="shared" si="0"/>
        <v>0</v>
      </c>
      <c r="K13" s="3">
        <f t="shared" si="0"/>
        <v>1090.7600000000093</v>
      </c>
      <c r="L13" s="3">
        <f t="shared" si="0"/>
        <v>2645.1300000000047</v>
      </c>
      <c r="M13" s="3">
        <f t="shared" si="0"/>
        <v>1926.859999999986</v>
      </c>
      <c r="N13" s="3">
        <f t="shared" si="0"/>
        <v>891.20000000001164</v>
      </c>
      <c r="O13" s="3">
        <f t="shared" si="0"/>
        <v>3249.210000000021</v>
      </c>
      <c r="P13" s="3">
        <f t="shared" si="0"/>
        <v>8575.9899999999907</v>
      </c>
      <c r="Q13" s="3">
        <f t="shared" si="0"/>
        <v>2498.8300000000163</v>
      </c>
      <c r="R13" s="347">
        <f t="shared" si="1"/>
        <v>46969.370000000054</v>
      </c>
    </row>
    <row r="14" spans="1:23">
      <c r="A14">
        <v>380</v>
      </c>
      <c r="C14" s="331" t="s">
        <v>288</v>
      </c>
      <c r="D14" s="331" t="s">
        <v>289</v>
      </c>
      <c r="E14" s="242">
        <v>2020</v>
      </c>
      <c r="F14" s="3">
        <f t="shared" si="0"/>
        <v>405.41000000000349</v>
      </c>
      <c r="G14" s="3">
        <f t="shared" si="0"/>
        <v>0</v>
      </c>
      <c r="H14" s="3">
        <f t="shared" si="0"/>
        <v>0</v>
      </c>
      <c r="I14" s="3">
        <f t="shared" si="0"/>
        <v>3398.8299999999581</v>
      </c>
      <c r="J14" s="3">
        <f t="shared" si="0"/>
        <v>219.92000000004191</v>
      </c>
      <c r="K14" s="3">
        <f t="shared" si="0"/>
        <v>2538.3699999999953</v>
      </c>
      <c r="L14" s="3">
        <f t="shared" si="0"/>
        <v>4422.0499999999884</v>
      </c>
      <c r="M14" s="3">
        <f t="shared" si="0"/>
        <v>3245.0499999999884</v>
      </c>
      <c r="N14" s="3">
        <f t="shared" si="0"/>
        <v>17983.850000000006</v>
      </c>
      <c r="O14" s="3">
        <f t="shared" si="0"/>
        <v>4754.8299999999872</v>
      </c>
      <c r="P14" s="3">
        <f t="shared" si="0"/>
        <v>3555.3500000000058</v>
      </c>
      <c r="Q14" s="3">
        <f t="shared" si="0"/>
        <v>7753.5299999999988</v>
      </c>
      <c r="R14" s="347">
        <f t="shared" si="1"/>
        <v>48277.189999999973</v>
      </c>
    </row>
    <row r="15" spans="1:23">
      <c r="A15">
        <v>380</v>
      </c>
      <c r="C15" s="331" t="s">
        <v>220</v>
      </c>
      <c r="D15" s="331" t="s">
        <v>221</v>
      </c>
      <c r="E15" s="242">
        <v>2020</v>
      </c>
      <c r="F15" s="508">
        <v>0</v>
      </c>
      <c r="G15" s="508">
        <v>0</v>
      </c>
      <c r="H15" s="508">
        <v>0</v>
      </c>
      <c r="I15" s="508">
        <v>0</v>
      </c>
      <c r="J15" s="508">
        <v>0</v>
      </c>
      <c r="K15" s="508">
        <v>0</v>
      </c>
      <c r="L15" s="508">
        <v>0</v>
      </c>
      <c r="M15" s="508">
        <v>0</v>
      </c>
      <c r="N15" s="508">
        <v>0</v>
      </c>
      <c r="O15" s="508">
        <v>0</v>
      </c>
      <c r="P15" s="508">
        <v>0</v>
      </c>
      <c r="Q15" s="508">
        <v>0</v>
      </c>
      <c r="R15" s="347">
        <f t="shared" si="1"/>
        <v>0</v>
      </c>
    </row>
    <row r="16" spans="1:23">
      <c r="A16" s="240">
        <v>374</v>
      </c>
      <c r="C16" s="334" t="s">
        <v>520</v>
      </c>
      <c r="D16" s="334" t="s">
        <v>520</v>
      </c>
      <c r="E16">
        <v>2020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3">
        <f t="shared" si="0"/>
        <v>0</v>
      </c>
      <c r="M16" s="3">
        <f t="shared" si="0"/>
        <v>0</v>
      </c>
      <c r="N16" s="3">
        <f t="shared" si="0"/>
        <v>0</v>
      </c>
      <c r="O16" s="3">
        <f t="shared" si="0"/>
        <v>0</v>
      </c>
      <c r="P16" s="3">
        <f t="shared" si="0"/>
        <v>0</v>
      </c>
      <c r="Q16" s="3">
        <f t="shared" si="0"/>
        <v>0</v>
      </c>
      <c r="R16" s="347">
        <f>SUM(F16:Q16)</f>
        <v>0</v>
      </c>
      <c r="S16" s="359" t="s">
        <v>552</v>
      </c>
    </row>
    <row r="17" spans="1:20">
      <c r="A17" s="240">
        <v>374</v>
      </c>
      <c r="C17" s="334" t="s">
        <v>521</v>
      </c>
      <c r="D17" s="334" t="s">
        <v>522</v>
      </c>
      <c r="E17">
        <v>2020</v>
      </c>
      <c r="F17" s="3">
        <f t="shared" si="0"/>
        <v>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0"/>
        <v>0</v>
      </c>
      <c r="K17" s="3">
        <f t="shared" si="0"/>
        <v>0</v>
      </c>
      <c r="L17" s="3">
        <f t="shared" si="0"/>
        <v>0</v>
      </c>
      <c r="M17" s="3">
        <f t="shared" si="0"/>
        <v>0</v>
      </c>
      <c r="N17" s="3">
        <f t="shared" si="0"/>
        <v>0</v>
      </c>
      <c r="O17" s="3">
        <f t="shared" si="0"/>
        <v>0</v>
      </c>
      <c r="P17" s="3">
        <f t="shared" si="0"/>
        <v>0</v>
      </c>
      <c r="Q17" s="3">
        <f t="shared" si="0"/>
        <v>0</v>
      </c>
      <c r="R17" s="347">
        <f>SUM(F17:Q17)</f>
        <v>0</v>
      </c>
      <c r="S17" s="359"/>
    </row>
    <row r="18" spans="1:20">
      <c r="A18" s="240">
        <v>374</v>
      </c>
      <c r="C18" s="334" t="s">
        <v>523</v>
      </c>
      <c r="D18" s="334" t="s">
        <v>523</v>
      </c>
      <c r="E18">
        <v>2020</v>
      </c>
      <c r="F18" s="3">
        <f t="shared" si="0"/>
        <v>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0"/>
        <v>0</v>
      </c>
      <c r="K18" s="3">
        <f t="shared" si="0"/>
        <v>0</v>
      </c>
      <c r="L18" s="3">
        <f t="shared" si="0"/>
        <v>0</v>
      </c>
      <c r="M18" s="3">
        <f t="shared" si="0"/>
        <v>0</v>
      </c>
      <c r="N18" s="3">
        <f t="shared" si="0"/>
        <v>0</v>
      </c>
      <c r="O18" s="3">
        <f t="shared" si="0"/>
        <v>0</v>
      </c>
      <c r="P18" s="3">
        <f t="shared" si="0"/>
        <v>0</v>
      </c>
      <c r="Q18" s="3">
        <f t="shared" si="0"/>
        <v>0</v>
      </c>
      <c r="R18" s="347">
        <f>SUM(F18:Q18)</f>
        <v>0</v>
      </c>
      <c r="S18" s="359" t="s">
        <v>552</v>
      </c>
    </row>
    <row r="19" spans="1:20">
      <c r="A19" s="240">
        <v>374</v>
      </c>
      <c r="C19" s="334" t="s">
        <v>524</v>
      </c>
      <c r="D19" s="334" t="s">
        <v>524</v>
      </c>
      <c r="E19">
        <v>2020</v>
      </c>
      <c r="F19" s="3">
        <f t="shared" ref="F19:Q21" si="2">SUMIFS(F$52:F$81,$D$52:$D$81,$C19,$E$52:$E$81,$A19)</f>
        <v>0</v>
      </c>
      <c r="G19" s="3">
        <f t="shared" si="2"/>
        <v>0</v>
      </c>
      <c r="H19" s="3">
        <f t="shared" si="2"/>
        <v>0</v>
      </c>
      <c r="I19" s="3">
        <f t="shared" si="2"/>
        <v>0</v>
      </c>
      <c r="J19" s="3">
        <f t="shared" si="2"/>
        <v>0</v>
      </c>
      <c r="K19" s="3">
        <f t="shared" si="2"/>
        <v>0</v>
      </c>
      <c r="L19" s="3">
        <f t="shared" si="2"/>
        <v>0</v>
      </c>
      <c r="M19" s="3">
        <f t="shared" si="2"/>
        <v>0</v>
      </c>
      <c r="N19" s="3">
        <f t="shared" si="2"/>
        <v>0</v>
      </c>
      <c r="O19" s="3">
        <f t="shared" si="2"/>
        <v>0</v>
      </c>
      <c r="P19" s="3">
        <f t="shared" si="2"/>
        <v>0</v>
      </c>
      <c r="Q19" s="3">
        <f t="shared" si="2"/>
        <v>0</v>
      </c>
      <c r="R19" s="347">
        <f>SUM(F19:Q19)</f>
        <v>0</v>
      </c>
      <c r="S19" s="359" t="s">
        <v>552</v>
      </c>
    </row>
    <row r="20" spans="1:20">
      <c r="A20">
        <v>380</v>
      </c>
      <c r="C20" s="333" t="s">
        <v>127</v>
      </c>
      <c r="D20" s="333" t="s">
        <v>128</v>
      </c>
      <c r="E20" s="240">
        <v>2020</v>
      </c>
      <c r="F20" s="3">
        <f t="shared" si="2"/>
        <v>271854.46999999788</v>
      </c>
      <c r="G20" s="3">
        <f t="shared" si="2"/>
        <v>276862.26000000071</v>
      </c>
      <c r="H20" s="3">
        <f t="shared" si="2"/>
        <v>293231.37000000011</v>
      </c>
      <c r="I20" s="3">
        <f t="shared" si="2"/>
        <v>316006.1400000006</v>
      </c>
      <c r="J20" s="3">
        <f t="shared" si="2"/>
        <v>262779.49000000022</v>
      </c>
      <c r="K20" s="3">
        <f t="shared" si="2"/>
        <v>159639.23000000045</v>
      </c>
      <c r="L20" s="3">
        <f t="shared" si="2"/>
        <v>189742.54999999888</v>
      </c>
      <c r="M20" s="3">
        <f t="shared" si="2"/>
        <v>172596.26999999955</v>
      </c>
      <c r="N20" s="3">
        <f t="shared" si="2"/>
        <v>246066.98000000045</v>
      </c>
      <c r="O20" s="3">
        <f t="shared" si="2"/>
        <v>161320.77999999933</v>
      </c>
      <c r="P20" s="3">
        <f t="shared" si="2"/>
        <v>194983.28000000305</v>
      </c>
      <c r="Q20" s="3">
        <f t="shared" si="2"/>
        <v>-57042.10000000149</v>
      </c>
      <c r="R20" s="347">
        <f t="shared" si="1"/>
        <v>2488040.7199999997</v>
      </c>
    </row>
    <row r="21" spans="1:20">
      <c r="A21">
        <v>380</v>
      </c>
      <c r="C21" s="333" t="s">
        <v>129</v>
      </c>
      <c r="D21" s="333" t="s">
        <v>130</v>
      </c>
      <c r="E21" s="240">
        <v>2020</v>
      </c>
      <c r="F21" s="3">
        <f t="shared" si="2"/>
        <v>0</v>
      </c>
      <c r="G21" s="3">
        <f t="shared" si="2"/>
        <v>1723.7900000000009</v>
      </c>
      <c r="H21" s="3">
        <f t="shared" si="2"/>
        <v>0</v>
      </c>
      <c r="I21" s="3">
        <f t="shared" si="2"/>
        <v>1323.1800000000003</v>
      </c>
      <c r="J21" s="3">
        <f t="shared" si="2"/>
        <v>-1323.1800000000003</v>
      </c>
      <c r="K21" s="3">
        <f t="shared" si="2"/>
        <v>0</v>
      </c>
      <c r="L21" s="3">
        <f t="shared" si="2"/>
        <v>0</v>
      </c>
      <c r="M21" s="3">
        <f t="shared" si="2"/>
        <v>0</v>
      </c>
      <c r="N21" s="3">
        <f t="shared" si="2"/>
        <v>879.23999999999796</v>
      </c>
      <c r="O21" s="3">
        <f t="shared" si="2"/>
        <v>803.97000000000116</v>
      </c>
      <c r="P21" s="3">
        <f t="shared" si="2"/>
        <v>66355.570000000007</v>
      </c>
      <c r="Q21" s="3">
        <f t="shared" si="2"/>
        <v>0</v>
      </c>
      <c r="R21" s="347">
        <f t="shared" si="1"/>
        <v>69762.570000000007</v>
      </c>
    </row>
    <row r="22" spans="1:20">
      <c r="A22" s="240">
        <v>367</v>
      </c>
      <c r="C22" s="334" t="s">
        <v>310</v>
      </c>
      <c r="D22" s="334" t="s">
        <v>311</v>
      </c>
      <c r="E22">
        <v>2020</v>
      </c>
      <c r="F22" s="508">
        <v>18474.85999999987</v>
      </c>
      <c r="G22" s="508">
        <v>44678.64000000013</v>
      </c>
      <c r="H22" s="508">
        <v>81767.910000000149</v>
      </c>
      <c r="I22" s="508">
        <v>72156.479999999981</v>
      </c>
      <c r="J22" s="508">
        <v>452410.08000000007</v>
      </c>
      <c r="K22" s="508">
        <v>1269972.4599999995</v>
      </c>
      <c r="L22" s="508">
        <v>1521787.67</v>
      </c>
      <c r="M22" s="508">
        <v>1799755.6100000013</v>
      </c>
      <c r="N22" s="508">
        <v>1919079.4699999988</v>
      </c>
      <c r="O22" s="508">
        <v>3015725.1899999995</v>
      </c>
      <c r="P22" s="508">
        <v>1664003.08</v>
      </c>
      <c r="Q22" s="508">
        <v>2361137.33</v>
      </c>
      <c r="R22" s="347">
        <f>SUM(F22:Q22)</f>
        <v>14220948.779999999</v>
      </c>
      <c r="S22" s="359" t="s">
        <v>546</v>
      </c>
      <c r="T22" s="361">
        <v>44105</v>
      </c>
    </row>
    <row r="23" spans="1:20">
      <c r="A23" s="240">
        <v>367</v>
      </c>
      <c r="C23" s="334" t="s">
        <v>312</v>
      </c>
      <c r="D23" s="356" t="s">
        <v>313</v>
      </c>
      <c r="E23">
        <v>2020</v>
      </c>
      <c r="F23" s="508">
        <v>1308517.0700000003</v>
      </c>
      <c r="G23" s="508">
        <v>1642155.6099999994</v>
      </c>
      <c r="H23" s="508">
        <v>2879537.3000000007</v>
      </c>
      <c r="I23" s="508">
        <v>2667211.0700000003</v>
      </c>
      <c r="J23" s="508">
        <v>1408053.9299999997</v>
      </c>
      <c r="K23" s="508">
        <v>992519.92000000179</v>
      </c>
      <c r="L23" s="508">
        <v>433895.70999999717</v>
      </c>
      <c r="M23" s="508">
        <v>1358521.3200000003</v>
      </c>
      <c r="N23" s="508">
        <v>676870.3599999994</v>
      </c>
      <c r="O23" s="508">
        <v>2778315.5300000012</v>
      </c>
      <c r="P23" s="508">
        <v>1409532.700000003</v>
      </c>
      <c r="Q23" s="508">
        <v>121944.05999999493</v>
      </c>
      <c r="R23" s="347">
        <f>SUM(F23:Q23)</f>
        <v>17677074.579999998</v>
      </c>
      <c r="S23" s="359" t="s">
        <v>546</v>
      </c>
      <c r="T23" s="361">
        <v>43952</v>
      </c>
    </row>
    <row r="24" spans="1:20">
      <c r="A24" s="240">
        <v>367</v>
      </c>
      <c r="C24" s="334" t="s">
        <v>314</v>
      </c>
      <c r="D24" s="334" t="s">
        <v>315</v>
      </c>
      <c r="E24">
        <v>2020</v>
      </c>
      <c r="F24" s="508">
        <v>1321307.6400000006</v>
      </c>
      <c r="G24" s="508">
        <v>1308844.6899999976</v>
      </c>
      <c r="H24" s="508">
        <v>1429269.6900000013</v>
      </c>
      <c r="I24" s="508">
        <v>3170688.8999999985</v>
      </c>
      <c r="J24" s="508">
        <v>1493761.5199999996</v>
      </c>
      <c r="K24" s="508">
        <v>1452921.3200000003</v>
      </c>
      <c r="L24" s="508">
        <v>1840719.3000000007</v>
      </c>
      <c r="M24" s="508">
        <v>2561346.0100000016</v>
      </c>
      <c r="N24" s="508">
        <v>1205873.5799999982</v>
      </c>
      <c r="O24" s="508">
        <v>722800.52000000328</v>
      </c>
      <c r="P24" s="508">
        <v>843073.53000000119</v>
      </c>
      <c r="Q24" s="508">
        <v>999243.4299999997</v>
      </c>
      <c r="R24" s="347">
        <f>SUM(F24:Q24)</f>
        <v>18349850.130000003</v>
      </c>
      <c r="S24" s="359" t="s">
        <v>546</v>
      </c>
      <c r="T24" s="361">
        <v>44105</v>
      </c>
    </row>
    <row r="25" spans="1:20">
      <c r="A25">
        <v>380</v>
      </c>
      <c r="C25" s="354">
        <v>414000002</v>
      </c>
      <c r="D25" s="355" t="s">
        <v>519</v>
      </c>
      <c r="E25" s="240">
        <v>2020</v>
      </c>
      <c r="F25" s="508">
        <v>0</v>
      </c>
      <c r="G25" s="508">
        <v>0</v>
      </c>
      <c r="H25" s="508">
        <v>1815746.22</v>
      </c>
      <c r="I25" s="508">
        <v>401395.2100000002</v>
      </c>
      <c r="J25" s="508">
        <v>417580.62000000011</v>
      </c>
      <c r="K25" s="508">
        <v>705372.2799999998</v>
      </c>
      <c r="L25" s="508">
        <v>535848.61000000034</v>
      </c>
      <c r="M25" s="508">
        <v>773674.16000000015</v>
      </c>
      <c r="N25" s="508">
        <v>492971.00999999978</v>
      </c>
      <c r="O25" s="508">
        <v>827239.78000000026</v>
      </c>
      <c r="P25" s="508">
        <v>440174.33999999985</v>
      </c>
      <c r="Q25" s="508">
        <v>922780.47999999952</v>
      </c>
      <c r="R25" s="347">
        <f t="shared" si="1"/>
        <v>7332782.71</v>
      </c>
    </row>
    <row r="26" spans="1:20">
      <c r="A26" s="240">
        <v>380</v>
      </c>
      <c r="C26" s="354">
        <v>414000001</v>
      </c>
      <c r="D26" s="355" t="s">
        <v>441</v>
      </c>
      <c r="E26" s="240">
        <v>2020</v>
      </c>
      <c r="F26" s="508">
        <v>71861.759999999776</v>
      </c>
      <c r="G26" s="508">
        <v>-88973.330000000075</v>
      </c>
      <c r="H26" s="508">
        <v>44340.230000000447</v>
      </c>
      <c r="I26" s="508">
        <v>-105842.40999999829</v>
      </c>
      <c r="J26" s="508">
        <v>37.429999997839332</v>
      </c>
      <c r="K26" s="508">
        <v>961.17000000178814</v>
      </c>
      <c r="L26" s="508">
        <v>422.74999999813735</v>
      </c>
      <c r="M26" s="508">
        <v>0</v>
      </c>
      <c r="N26" s="508">
        <v>0</v>
      </c>
      <c r="O26" s="508">
        <v>0</v>
      </c>
      <c r="P26" s="508">
        <v>0</v>
      </c>
      <c r="Q26" s="508">
        <v>0</v>
      </c>
      <c r="R26" s="347">
        <f t="shared" si="1"/>
        <v>-77192.400000000373</v>
      </c>
    </row>
    <row r="27" spans="1:20">
      <c r="A27" s="240">
        <v>376</v>
      </c>
      <c r="C27" s="332" t="s">
        <v>120</v>
      </c>
      <c r="D27" s="332" t="s">
        <v>121</v>
      </c>
      <c r="E27" s="242">
        <v>2020</v>
      </c>
      <c r="F27" s="508">
        <v>15172.200000000186</v>
      </c>
      <c r="G27" s="508">
        <v>8593.2599999979138</v>
      </c>
      <c r="H27" s="508">
        <v>18558.939999999478</v>
      </c>
      <c r="I27" s="508">
        <v>2481.5200000032783</v>
      </c>
      <c r="J27" s="508">
        <v>-43802.060000002384</v>
      </c>
      <c r="K27" s="508">
        <v>0</v>
      </c>
      <c r="L27" s="508">
        <v>0</v>
      </c>
      <c r="M27" s="508">
        <v>0</v>
      </c>
      <c r="N27" s="508">
        <v>0</v>
      </c>
      <c r="O27" s="508">
        <v>0</v>
      </c>
      <c r="P27" s="508">
        <v>0</v>
      </c>
      <c r="Q27" s="508">
        <v>0</v>
      </c>
      <c r="R27" s="347">
        <f t="shared" si="1"/>
        <v>1003.8599999984726</v>
      </c>
    </row>
    <row r="28" spans="1:20">
      <c r="A28" s="240">
        <v>374</v>
      </c>
      <c r="C28" s="334" t="s">
        <v>316</v>
      </c>
      <c r="D28" s="334" t="s">
        <v>443</v>
      </c>
      <c r="E28">
        <v>2020</v>
      </c>
      <c r="F28" s="508">
        <v>4018.75</v>
      </c>
      <c r="G28" s="508">
        <v>0</v>
      </c>
      <c r="H28" s="508">
        <v>0</v>
      </c>
      <c r="I28" s="508">
        <v>0</v>
      </c>
      <c r="J28" s="508">
        <v>0</v>
      </c>
      <c r="K28" s="508">
        <v>0</v>
      </c>
      <c r="L28" s="508">
        <v>0</v>
      </c>
      <c r="M28" s="508">
        <v>0</v>
      </c>
      <c r="N28" s="508">
        <v>0</v>
      </c>
      <c r="O28" s="508">
        <v>0</v>
      </c>
      <c r="P28" s="508">
        <v>0</v>
      </c>
      <c r="Q28" s="508">
        <v>0</v>
      </c>
      <c r="R28" s="347">
        <f t="shared" si="1"/>
        <v>4018.75</v>
      </c>
      <c r="S28" s="359" t="s">
        <v>546</v>
      </c>
    </row>
    <row r="29" spans="1:20">
      <c r="A29" s="240">
        <v>376</v>
      </c>
      <c r="C29" s="333" t="s">
        <v>127</v>
      </c>
      <c r="D29" s="333" t="s">
        <v>128</v>
      </c>
      <c r="F29" s="508">
        <v>845.69999999995343</v>
      </c>
      <c r="G29" s="508">
        <v>730.29999999993015</v>
      </c>
      <c r="H29" s="508">
        <v>872.39000000001397</v>
      </c>
      <c r="I29" s="508">
        <v>766.42000000016196</v>
      </c>
      <c r="J29" s="508">
        <v>665.01999999989857</v>
      </c>
      <c r="K29" s="508">
        <v>768.96999999997206</v>
      </c>
      <c r="L29" s="508">
        <v>753.52000000001863</v>
      </c>
      <c r="M29" s="508">
        <v>718.13999999999942</v>
      </c>
      <c r="N29" s="508">
        <v>713.75</v>
      </c>
      <c r="O29" s="508">
        <v>665.11999999999534</v>
      </c>
      <c r="P29" s="508">
        <v>604.81000000005588</v>
      </c>
      <c r="Q29" s="508">
        <v>-25076.04000000007</v>
      </c>
      <c r="R29" s="347">
        <f t="shared" si="1"/>
        <v>-16971.900000000071</v>
      </c>
      <c r="S29" s="359"/>
    </row>
    <row r="30" spans="1:20">
      <c r="A30" t="s">
        <v>318</v>
      </c>
      <c r="F30" s="343">
        <f t="shared" ref="F30:R30" si="3">SUM(F9:F29)</f>
        <v>3709264.0399999991</v>
      </c>
      <c r="G30" s="343">
        <f t="shared" si="3"/>
        <v>3835083.8499999936</v>
      </c>
      <c r="H30" s="343">
        <f t="shared" si="3"/>
        <v>7154921.4000000041</v>
      </c>
      <c r="I30" s="343">
        <f t="shared" si="3"/>
        <v>7136197.7500000047</v>
      </c>
      <c r="J30" s="343">
        <f t="shared" si="3"/>
        <v>4692487.5899999933</v>
      </c>
      <c r="K30" s="343">
        <f t="shared" si="3"/>
        <v>5226225.1500000032</v>
      </c>
      <c r="L30" s="343">
        <f t="shared" si="3"/>
        <v>5121077.9999999944</v>
      </c>
      <c r="M30" s="343">
        <f t="shared" si="3"/>
        <v>7249300.2500000019</v>
      </c>
      <c r="N30" s="343">
        <f t="shared" si="3"/>
        <v>5213782.1499999985</v>
      </c>
      <c r="O30" s="343">
        <f t="shared" si="3"/>
        <v>8095964.3300000038</v>
      </c>
      <c r="P30" s="343">
        <f t="shared" si="3"/>
        <v>5254647.8900000062</v>
      </c>
      <c r="Q30" s="343">
        <f t="shared" si="3"/>
        <v>4452502.5399999944</v>
      </c>
      <c r="R30" s="343">
        <f t="shared" si="3"/>
        <v>67141454.939999983</v>
      </c>
    </row>
    <row r="31" spans="1:20"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</row>
    <row r="32" spans="1:20">
      <c r="A32" t="s">
        <v>319</v>
      </c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</row>
    <row r="33" spans="1:19">
      <c r="B33" t="s">
        <v>132</v>
      </c>
      <c r="C33" s="337" t="s">
        <v>113</v>
      </c>
      <c r="D33" s="337" t="s">
        <v>114</v>
      </c>
      <c r="E33">
        <v>2020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49">
        <f t="shared" ref="R33:R44" si="4">SUM(F33:Q33)</f>
        <v>0</v>
      </c>
    </row>
    <row r="34" spans="1:19">
      <c r="C34" s="337" t="s">
        <v>115</v>
      </c>
      <c r="D34" s="337" t="s">
        <v>116</v>
      </c>
      <c r="E34">
        <v>2020</v>
      </c>
      <c r="F34" s="3">
        <v>0</v>
      </c>
      <c r="G34" s="3">
        <v>0</v>
      </c>
      <c r="H34" s="3">
        <v>0</v>
      </c>
      <c r="I34" s="3">
        <v>0</v>
      </c>
      <c r="J34" s="3">
        <v>2263.0500000000002</v>
      </c>
      <c r="K34" s="3">
        <v>0</v>
      </c>
      <c r="L34" s="3">
        <v>0</v>
      </c>
      <c r="M34" s="3">
        <v>31868.400000000001</v>
      </c>
      <c r="N34" s="3">
        <v>-31868.400000000001</v>
      </c>
      <c r="O34" s="3">
        <v>0</v>
      </c>
      <c r="P34" s="3">
        <v>0</v>
      </c>
      <c r="Q34" s="3">
        <v>0</v>
      </c>
      <c r="R34" s="347">
        <f t="shared" si="4"/>
        <v>2263.0500000000029</v>
      </c>
    </row>
    <row r="35" spans="1:19">
      <c r="C35" s="337" t="s">
        <v>119</v>
      </c>
      <c r="D35" s="337" t="s">
        <v>216</v>
      </c>
      <c r="E35">
        <v>2020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47">
        <f t="shared" si="4"/>
        <v>0</v>
      </c>
    </row>
    <row r="36" spans="1:19">
      <c r="C36" s="331" t="s">
        <v>127</v>
      </c>
      <c r="D36" s="331" t="s">
        <v>128</v>
      </c>
      <c r="E36">
        <v>2020</v>
      </c>
      <c r="F36" s="3">
        <v>-11004.01</v>
      </c>
      <c r="G36" s="3">
        <v>29231.16</v>
      </c>
      <c r="H36" s="3">
        <v>22690.639999999999</v>
      </c>
      <c r="I36" s="3">
        <v>37290.199999999997</v>
      </c>
      <c r="J36" s="3">
        <v>23671.31</v>
      </c>
      <c r="K36" s="3">
        <v>46469.2</v>
      </c>
      <c r="L36" s="3">
        <v>25432.87</v>
      </c>
      <c r="M36" s="3">
        <v>26807.56</v>
      </c>
      <c r="N36" s="3">
        <v>25537.3</v>
      </c>
      <c r="O36" s="3">
        <v>19572.48</v>
      </c>
      <c r="P36" s="3">
        <v>39437.440000000002</v>
      </c>
      <c r="Q36" s="3">
        <v>27107.97</v>
      </c>
      <c r="R36" s="347">
        <f t="shared" si="4"/>
        <v>312244.12</v>
      </c>
    </row>
    <row r="37" spans="1:19">
      <c r="C37" s="331" t="s">
        <v>129</v>
      </c>
      <c r="D37" s="331" t="s">
        <v>130</v>
      </c>
      <c r="E37">
        <v>2020</v>
      </c>
      <c r="F37" s="3">
        <v>53159.38</v>
      </c>
      <c r="G37" s="3">
        <v>71340.009999999995</v>
      </c>
      <c r="H37" s="3">
        <v>153005.29999999999</v>
      </c>
      <c r="I37" s="3">
        <v>74243.53</v>
      </c>
      <c r="J37" s="3">
        <v>88436.25</v>
      </c>
      <c r="K37" s="3">
        <v>82927.05</v>
      </c>
      <c r="L37" s="3">
        <v>20170.669999999998</v>
      </c>
      <c r="M37" s="3">
        <v>19781.22</v>
      </c>
      <c r="N37" s="3">
        <v>18161.810000000001</v>
      </c>
      <c r="O37" s="3">
        <v>166980.82</v>
      </c>
      <c r="P37" s="3">
        <v>71282.399999999994</v>
      </c>
      <c r="Q37" s="3">
        <v>-31603.05</v>
      </c>
      <c r="R37" s="347">
        <f t="shared" si="4"/>
        <v>787885.39</v>
      </c>
    </row>
    <row r="38" spans="1:19">
      <c r="C38" s="334" t="s">
        <v>310</v>
      </c>
      <c r="D38" s="334" t="s">
        <v>311</v>
      </c>
      <c r="E38">
        <v>2020</v>
      </c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347">
        <f t="shared" si="4"/>
        <v>0</v>
      </c>
    </row>
    <row r="39" spans="1:19">
      <c r="C39" s="334" t="s">
        <v>312</v>
      </c>
      <c r="D39" s="334" t="s">
        <v>313</v>
      </c>
      <c r="E39">
        <v>2020</v>
      </c>
      <c r="F39" s="508">
        <v>0</v>
      </c>
      <c r="G39" s="508">
        <v>0</v>
      </c>
      <c r="H39" s="508">
        <v>0</v>
      </c>
      <c r="I39" s="508">
        <v>0</v>
      </c>
      <c r="J39" s="508">
        <v>0</v>
      </c>
      <c r="K39" s="508">
        <v>0</v>
      </c>
      <c r="L39" s="508">
        <v>0</v>
      </c>
      <c r="M39" s="508">
        <v>0</v>
      </c>
      <c r="N39" s="508">
        <v>0</v>
      </c>
      <c r="O39" s="508">
        <v>28795.03</v>
      </c>
      <c r="P39" s="508">
        <v>240.39</v>
      </c>
      <c r="Q39" s="508">
        <v>0</v>
      </c>
      <c r="R39" s="347">
        <f t="shared" si="4"/>
        <v>29035.42</v>
      </c>
    </row>
    <row r="40" spans="1:19">
      <c r="C40" s="334" t="s">
        <v>314</v>
      </c>
      <c r="D40" s="334" t="s">
        <v>315</v>
      </c>
      <c r="E40">
        <v>2020</v>
      </c>
      <c r="F40" s="508">
        <v>0</v>
      </c>
      <c r="G40" s="508">
        <v>0</v>
      </c>
      <c r="H40" s="508">
        <v>0</v>
      </c>
      <c r="I40" s="508">
        <v>0</v>
      </c>
      <c r="J40" s="508">
        <v>0</v>
      </c>
      <c r="K40" s="508">
        <v>0</v>
      </c>
      <c r="L40" s="508">
        <v>0</v>
      </c>
      <c r="M40" s="508">
        <v>0</v>
      </c>
      <c r="N40" s="508">
        <v>0</v>
      </c>
      <c r="O40" s="508">
        <v>11617.26</v>
      </c>
      <c r="P40" s="508">
        <v>4405.63</v>
      </c>
      <c r="Q40" s="508">
        <v>0</v>
      </c>
      <c r="R40" s="347">
        <f t="shared" si="4"/>
        <v>16022.89</v>
      </c>
    </row>
    <row r="41" spans="1:19">
      <c r="C41" s="334" t="s">
        <v>520</v>
      </c>
      <c r="D41" s="334" t="s">
        <v>520</v>
      </c>
      <c r="E41">
        <v>2020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47">
        <f t="shared" si="4"/>
        <v>0</v>
      </c>
      <c r="S41" s="359" t="s">
        <v>552</v>
      </c>
    </row>
    <row r="42" spans="1:19">
      <c r="C42" s="354">
        <v>414000002</v>
      </c>
      <c r="D42" s="355" t="s">
        <v>519</v>
      </c>
      <c r="E42">
        <v>2020</v>
      </c>
      <c r="F42" s="508">
        <v>296262.06</v>
      </c>
      <c r="G42" s="508">
        <v>401869.31</v>
      </c>
      <c r="H42" s="508">
        <v>488746.76</v>
      </c>
      <c r="I42" s="508">
        <v>557435.79</v>
      </c>
      <c r="J42" s="508">
        <v>414730.83</v>
      </c>
      <c r="K42" s="508">
        <v>244742.98</v>
      </c>
      <c r="L42" s="508">
        <v>298967.87</v>
      </c>
      <c r="M42" s="508">
        <v>312282.34999999998</v>
      </c>
      <c r="N42" s="508">
        <v>347128.18</v>
      </c>
      <c r="O42" s="508">
        <v>379986.17</v>
      </c>
      <c r="P42" s="508">
        <v>279990.17</v>
      </c>
      <c r="Q42" s="508">
        <v>260101.99</v>
      </c>
      <c r="R42" s="347">
        <f t="shared" si="4"/>
        <v>4282244.46</v>
      </c>
    </row>
    <row r="43" spans="1:19">
      <c r="C43" s="354" t="s">
        <v>440</v>
      </c>
      <c r="D43" s="355" t="s">
        <v>441</v>
      </c>
      <c r="E43">
        <v>2020</v>
      </c>
      <c r="F43" s="508">
        <v>31752.79</v>
      </c>
      <c r="G43" s="508">
        <v>26062.12</v>
      </c>
      <c r="H43" s="508">
        <v>1454.13</v>
      </c>
      <c r="I43" s="508">
        <v>-2586.0300000000002</v>
      </c>
      <c r="J43" s="508">
        <v>0</v>
      </c>
      <c r="K43" s="508">
        <v>0</v>
      </c>
      <c r="L43" s="508">
        <v>0</v>
      </c>
      <c r="M43" s="508">
        <v>0</v>
      </c>
      <c r="N43" s="508">
        <v>0</v>
      </c>
      <c r="O43" s="508">
        <v>0</v>
      </c>
      <c r="P43" s="508">
        <v>0</v>
      </c>
      <c r="Q43" s="508">
        <v>0</v>
      </c>
      <c r="R43" s="347">
        <f t="shared" si="4"/>
        <v>56683.01</v>
      </c>
    </row>
    <row r="44" spans="1:19">
      <c r="B44" t="s">
        <v>444</v>
      </c>
      <c r="C44" s="331" t="s">
        <v>129</v>
      </c>
      <c r="D44" s="331" t="s">
        <v>130</v>
      </c>
      <c r="E44">
        <v>2020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47">
        <f t="shared" si="4"/>
        <v>0</v>
      </c>
    </row>
    <row r="45" spans="1:19">
      <c r="A45" t="s">
        <v>320</v>
      </c>
      <c r="F45" s="343">
        <f>SUM(F33:F44)</f>
        <v>370170.22</v>
      </c>
      <c r="G45" s="344">
        <f t="shared" ref="G45:R45" si="5">SUM(G33:G44)</f>
        <v>528502.6</v>
      </c>
      <c r="H45" s="344">
        <f t="shared" si="5"/>
        <v>665896.82999999996</v>
      </c>
      <c r="I45" s="344">
        <f t="shared" si="5"/>
        <v>666383.49</v>
      </c>
      <c r="J45" s="344">
        <f t="shared" si="5"/>
        <v>529101.44000000006</v>
      </c>
      <c r="K45" s="344">
        <f t="shared" si="5"/>
        <v>374139.23</v>
      </c>
      <c r="L45" s="344">
        <f t="shared" si="5"/>
        <v>344571.41</v>
      </c>
      <c r="M45" s="344">
        <f t="shared" si="5"/>
        <v>390739.52999999997</v>
      </c>
      <c r="N45" s="344">
        <f t="shared" si="5"/>
        <v>358958.89</v>
      </c>
      <c r="O45" s="344">
        <f t="shared" si="5"/>
        <v>606951.76</v>
      </c>
      <c r="P45" s="344">
        <f t="shared" si="5"/>
        <v>395356.02999999997</v>
      </c>
      <c r="Q45" s="344">
        <f t="shared" si="5"/>
        <v>255606.91</v>
      </c>
      <c r="R45" s="348">
        <f t="shared" si="5"/>
        <v>5486378.3399999999</v>
      </c>
    </row>
    <row r="46" spans="1:19"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</row>
    <row r="47" spans="1:19">
      <c r="A47" t="s">
        <v>321</v>
      </c>
      <c r="F47" s="343">
        <f>F30+F45</f>
        <v>4079434.2599999988</v>
      </c>
      <c r="G47" s="344">
        <f t="shared" ref="G47:R47" si="6">G30+G45</f>
        <v>4363586.4499999937</v>
      </c>
      <c r="H47" s="344">
        <f t="shared" si="6"/>
        <v>7820818.2300000042</v>
      </c>
      <c r="I47" s="344">
        <f t="shared" si="6"/>
        <v>7802581.2400000049</v>
      </c>
      <c r="J47" s="344">
        <f t="shared" si="6"/>
        <v>5221589.0299999937</v>
      </c>
      <c r="K47" s="344">
        <f t="shared" si="6"/>
        <v>5600364.3800000027</v>
      </c>
      <c r="L47" s="344">
        <f t="shared" si="6"/>
        <v>5465649.4099999946</v>
      </c>
      <c r="M47" s="344">
        <f t="shared" si="6"/>
        <v>7640039.7800000021</v>
      </c>
      <c r="N47" s="344">
        <f t="shared" si="6"/>
        <v>5572741.0399999982</v>
      </c>
      <c r="O47" s="344">
        <f t="shared" si="6"/>
        <v>8702916.0900000036</v>
      </c>
      <c r="P47" s="344">
        <f t="shared" si="6"/>
        <v>5650003.9200000064</v>
      </c>
      <c r="Q47" s="344">
        <f t="shared" si="6"/>
        <v>4708109.4499999946</v>
      </c>
      <c r="R47" s="345">
        <f t="shared" si="6"/>
        <v>72627833.279999986</v>
      </c>
    </row>
    <row r="49" spans="4:18">
      <c r="D49" t="s">
        <v>646</v>
      </c>
    </row>
    <row r="50" spans="4:18">
      <c r="D50" t="s">
        <v>366</v>
      </c>
      <c r="F50">
        <v>3</v>
      </c>
      <c r="G50">
        <f>F50+1</f>
        <v>4</v>
      </c>
      <c r="H50">
        <f t="shared" ref="H50:Q50" si="7">G50+1</f>
        <v>5</v>
      </c>
      <c r="I50">
        <f t="shared" si="7"/>
        <v>6</v>
      </c>
      <c r="J50">
        <f t="shared" si="7"/>
        <v>7</v>
      </c>
      <c r="K50">
        <f t="shared" si="7"/>
        <v>8</v>
      </c>
      <c r="L50">
        <f t="shared" si="7"/>
        <v>9</v>
      </c>
      <c r="M50">
        <f t="shared" si="7"/>
        <v>10</v>
      </c>
      <c r="N50">
        <f t="shared" si="7"/>
        <v>11</v>
      </c>
      <c r="O50">
        <f t="shared" si="7"/>
        <v>12</v>
      </c>
      <c r="P50">
        <f t="shared" si="7"/>
        <v>13</v>
      </c>
      <c r="Q50">
        <f t="shared" si="7"/>
        <v>14</v>
      </c>
    </row>
    <row r="51" spans="4:18">
      <c r="D51" t="s">
        <v>106</v>
      </c>
      <c r="E51" t="s">
        <v>626</v>
      </c>
      <c r="F51" t="s">
        <v>272</v>
      </c>
      <c r="G51" t="s">
        <v>273</v>
      </c>
      <c r="H51" t="s">
        <v>274</v>
      </c>
      <c r="I51" t="s">
        <v>275</v>
      </c>
      <c r="J51" t="s">
        <v>276</v>
      </c>
      <c r="K51" t="s">
        <v>277</v>
      </c>
      <c r="L51" t="s">
        <v>278</v>
      </c>
      <c r="M51" t="s">
        <v>279</v>
      </c>
      <c r="N51" t="s">
        <v>280</v>
      </c>
      <c r="O51" t="s">
        <v>281</v>
      </c>
      <c r="P51" t="s">
        <v>282</v>
      </c>
      <c r="Q51" t="s">
        <v>283</v>
      </c>
      <c r="R51" t="s">
        <v>624</v>
      </c>
    </row>
    <row r="52" spans="4:18">
      <c r="D52" t="s">
        <v>120</v>
      </c>
      <c r="E52" t="s">
        <v>627</v>
      </c>
      <c r="F52">
        <v>15172.200000000186</v>
      </c>
      <c r="G52">
        <v>8593.2599999979138</v>
      </c>
      <c r="H52">
        <v>18558.939999999478</v>
      </c>
      <c r="I52">
        <v>2481.5200000032783</v>
      </c>
      <c r="J52">
        <v>-43802.060000002384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 s="3">
        <f t="shared" ref="R52:R74" si="8">SUM(F52:Q52)</f>
        <v>1003.8599999984726</v>
      </c>
    </row>
    <row r="53" spans="4:18">
      <c r="D53" t="s">
        <v>123</v>
      </c>
      <c r="E53" t="s">
        <v>627</v>
      </c>
      <c r="F53">
        <v>0</v>
      </c>
      <c r="G53">
        <v>0</v>
      </c>
      <c r="H53">
        <v>0</v>
      </c>
      <c r="I53">
        <v>0</v>
      </c>
      <c r="J53" s="330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 s="3">
        <f t="shared" si="8"/>
        <v>0</v>
      </c>
    </row>
    <row r="54" spans="4:18">
      <c r="D54" t="s">
        <v>125</v>
      </c>
      <c r="E54" t="s">
        <v>627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 s="3">
        <f t="shared" si="8"/>
        <v>0</v>
      </c>
    </row>
    <row r="55" spans="4:18">
      <c r="D55" t="s">
        <v>127</v>
      </c>
      <c r="E55" t="s">
        <v>627</v>
      </c>
      <c r="F55">
        <v>845.69999999995343</v>
      </c>
      <c r="G55">
        <v>730.29999999993015</v>
      </c>
      <c r="H55">
        <v>872.39000000001397</v>
      </c>
      <c r="I55">
        <v>766.42000000016196</v>
      </c>
      <c r="J55">
        <v>665.01999999989857</v>
      </c>
      <c r="K55">
        <v>768.96999999997206</v>
      </c>
      <c r="L55">
        <v>753.52000000001863</v>
      </c>
      <c r="M55">
        <v>718.13999999999942</v>
      </c>
      <c r="N55">
        <v>713.75</v>
      </c>
      <c r="O55">
        <v>665.11999999999534</v>
      </c>
      <c r="P55">
        <v>604.81000000005588</v>
      </c>
      <c r="Q55">
        <v>-25076.04000000007</v>
      </c>
      <c r="R55" s="3">
        <f t="shared" si="8"/>
        <v>-16971.900000000071</v>
      </c>
    </row>
    <row r="56" spans="4:18">
      <c r="D56" t="s">
        <v>189</v>
      </c>
      <c r="E56" t="s">
        <v>627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 s="3">
        <f t="shared" si="8"/>
        <v>0</v>
      </c>
    </row>
    <row r="57" spans="4:18">
      <c r="D57" s="466">
        <v>414000001</v>
      </c>
      <c r="E57" t="s">
        <v>628</v>
      </c>
      <c r="F57">
        <v>71861.759999999776</v>
      </c>
      <c r="G57">
        <v>-88973.330000000075</v>
      </c>
      <c r="H57">
        <v>44340.230000000447</v>
      </c>
      <c r="I57">
        <v>-105842.40999999829</v>
      </c>
      <c r="J57">
        <v>37.429999997839332</v>
      </c>
      <c r="K57">
        <v>961.17000000178814</v>
      </c>
      <c r="L57">
        <v>422.74999999813735</v>
      </c>
      <c r="M57">
        <v>0</v>
      </c>
      <c r="N57">
        <v>0</v>
      </c>
      <c r="O57">
        <v>0</v>
      </c>
      <c r="P57">
        <v>0</v>
      </c>
      <c r="Q57">
        <v>0</v>
      </c>
      <c r="R57" s="3">
        <f t="shared" si="8"/>
        <v>-77192.400000000373</v>
      </c>
    </row>
    <row r="58" spans="4:18">
      <c r="D58" s="466">
        <v>414000002</v>
      </c>
      <c r="E58" t="s">
        <v>628</v>
      </c>
      <c r="F58">
        <v>0</v>
      </c>
      <c r="G58">
        <v>0</v>
      </c>
      <c r="H58">
        <v>1815746.22</v>
      </c>
      <c r="I58">
        <v>401395.2100000002</v>
      </c>
      <c r="J58">
        <v>417580.62000000011</v>
      </c>
      <c r="K58">
        <v>705372.2799999998</v>
      </c>
      <c r="L58">
        <v>535848.61000000034</v>
      </c>
      <c r="M58">
        <v>773674.16000000015</v>
      </c>
      <c r="N58">
        <v>492971.00999999978</v>
      </c>
      <c r="O58">
        <v>827239.78000000026</v>
      </c>
      <c r="P58">
        <v>440174.33999999985</v>
      </c>
      <c r="Q58">
        <v>922780.47999999952</v>
      </c>
      <c r="R58" s="3">
        <f t="shared" si="8"/>
        <v>7332782.71</v>
      </c>
    </row>
    <row r="59" spans="4:18">
      <c r="D59" t="s">
        <v>111</v>
      </c>
      <c r="E59" t="s">
        <v>628</v>
      </c>
      <c r="F59">
        <v>272955.91000000015</v>
      </c>
      <c r="G59">
        <v>123209.76999999862</v>
      </c>
      <c r="H59">
        <v>202451.16999999993</v>
      </c>
      <c r="I59">
        <v>168008.03000000026</v>
      </c>
      <c r="J59">
        <v>150754.66999999899</v>
      </c>
      <c r="K59">
        <v>211541.93000000063</v>
      </c>
      <c r="L59">
        <v>184422.01999999955</v>
      </c>
      <c r="M59">
        <v>176497.62999999896</v>
      </c>
      <c r="N59">
        <v>159045.23000000045</v>
      </c>
      <c r="O59">
        <v>154405.29000000097</v>
      </c>
      <c r="P59">
        <v>166205.63999999873</v>
      </c>
      <c r="Q59">
        <v>-132194.61999999918</v>
      </c>
      <c r="R59" s="3">
        <f t="shared" si="8"/>
        <v>1837302.6699999981</v>
      </c>
    </row>
    <row r="60" spans="4:18">
      <c r="D60" t="s">
        <v>113</v>
      </c>
      <c r="E60" t="s">
        <v>628</v>
      </c>
      <c r="F60">
        <v>9638.5899999999965</v>
      </c>
      <c r="G60">
        <v>1988.4700000000012</v>
      </c>
      <c r="H60">
        <v>3788.9199999999837</v>
      </c>
      <c r="I60">
        <v>2763.6499999999942</v>
      </c>
      <c r="J60">
        <v>5029.4200000000128</v>
      </c>
      <c r="K60">
        <v>7914</v>
      </c>
      <c r="L60">
        <v>6314.8399999999965</v>
      </c>
      <c r="M60">
        <v>2059.8399999999965</v>
      </c>
      <c r="N60">
        <v>2410</v>
      </c>
      <c r="O60">
        <v>5861.7900000000081</v>
      </c>
      <c r="P60">
        <v>2767.1199999999953</v>
      </c>
      <c r="Q60">
        <v>10013.429999999993</v>
      </c>
      <c r="R60" s="3">
        <f t="shared" si="8"/>
        <v>60550.069999999978</v>
      </c>
    </row>
    <row r="61" spans="4:18">
      <c r="D61" t="s">
        <v>115</v>
      </c>
      <c r="E61" t="s">
        <v>628</v>
      </c>
      <c r="F61">
        <v>1602.4099999999744</v>
      </c>
      <c r="G61">
        <v>2122.5999999999767</v>
      </c>
      <c r="H61">
        <v>16371.27999999997</v>
      </c>
      <c r="I61">
        <v>9320.3800000002375</v>
      </c>
      <c r="J61">
        <v>40923.200000000012</v>
      </c>
      <c r="K61">
        <v>54126.879999999772</v>
      </c>
      <c r="L61">
        <v>6727.2800000000279</v>
      </c>
      <c r="M61">
        <v>21906.699999999953</v>
      </c>
      <c r="N61">
        <v>77230.540000000037</v>
      </c>
      <c r="O61">
        <v>31568.459999999963</v>
      </c>
      <c r="P61">
        <v>1262.8100000000559</v>
      </c>
      <c r="Q61">
        <v>1603.7399999999907</v>
      </c>
      <c r="R61" s="3">
        <f t="shared" si="8"/>
        <v>264766.27999999997</v>
      </c>
    </row>
    <row r="62" spans="4:18">
      <c r="D62" t="s">
        <v>220</v>
      </c>
      <c r="E62" t="s">
        <v>628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 s="3">
        <f t="shared" si="8"/>
        <v>0</v>
      </c>
    </row>
    <row r="63" spans="4:18">
      <c r="D63" t="s">
        <v>117</v>
      </c>
      <c r="E63" t="s">
        <v>628</v>
      </c>
      <c r="F63">
        <v>400544.5700000003</v>
      </c>
      <c r="G63">
        <v>506123.76999999955</v>
      </c>
      <c r="H63">
        <v>365174.98000000231</v>
      </c>
      <c r="I63">
        <v>423328.6799999997</v>
      </c>
      <c r="J63">
        <v>505397.52999999933</v>
      </c>
      <c r="K63">
        <v>366857.8599999994</v>
      </c>
      <c r="L63">
        <v>393376.5700000003</v>
      </c>
      <c r="M63">
        <v>377052.66000000015</v>
      </c>
      <c r="N63">
        <v>413766.94000000134</v>
      </c>
      <c r="O63">
        <v>389253.8599999994</v>
      </c>
      <c r="P63">
        <v>453553.66999999993</v>
      </c>
      <c r="Q63">
        <v>239840.47000000067</v>
      </c>
      <c r="R63" s="3">
        <f t="shared" si="8"/>
        <v>4834271.5600000024</v>
      </c>
    </row>
    <row r="64" spans="4:18">
      <c r="D64" t="s">
        <v>119</v>
      </c>
      <c r="E64" t="s">
        <v>628</v>
      </c>
      <c r="F64">
        <v>12064.700000000012</v>
      </c>
      <c r="G64">
        <v>7024.0200000000186</v>
      </c>
      <c r="H64">
        <v>3811</v>
      </c>
      <c r="I64">
        <v>3191.6699999999837</v>
      </c>
      <c r="J64">
        <v>0</v>
      </c>
      <c r="K64">
        <v>1090.7600000000093</v>
      </c>
      <c r="L64">
        <v>2645.1300000000047</v>
      </c>
      <c r="M64">
        <v>1926.859999999986</v>
      </c>
      <c r="N64">
        <v>891.20000000001164</v>
      </c>
      <c r="O64">
        <v>3249.210000000021</v>
      </c>
      <c r="P64">
        <v>8575.9899999999907</v>
      </c>
      <c r="Q64">
        <v>2498.8300000000163</v>
      </c>
      <c r="R64" s="3">
        <f t="shared" si="8"/>
        <v>46969.370000000054</v>
      </c>
    </row>
    <row r="65" spans="4:18">
      <c r="D65" t="s">
        <v>288</v>
      </c>
      <c r="E65" t="s">
        <v>628</v>
      </c>
      <c r="F65">
        <v>405.41000000000349</v>
      </c>
      <c r="G65">
        <v>0</v>
      </c>
      <c r="H65">
        <v>0</v>
      </c>
      <c r="I65">
        <v>3398.8299999999581</v>
      </c>
      <c r="J65">
        <v>219.92000000004191</v>
      </c>
      <c r="K65">
        <v>2538.3699999999953</v>
      </c>
      <c r="L65">
        <v>4422.0499999999884</v>
      </c>
      <c r="M65">
        <v>3245.0499999999884</v>
      </c>
      <c r="N65">
        <v>17983.850000000006</v>
      </c>
      <c r="O65">
        <v>4754.8299999999872</v>
      </c>
      <c r="P65">
        <v>3555.3500000000058</v>
      </c>
      <c r="Q65">
        <v>7753.5299999999988</v>
      </c>
      <c r="R65" s="3">
        <f t="shared" si="8"/>
        <v>48277.189999999973</v>
      </c>
    </row>
    <row r="66" spans="4:18">
      <c r="D66" t="s">
        <v>120</v>
      </c>
      <c r="E66" t="s">
        <v>628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 s="3">
        <f t="shared" si="8"/>
        <v>0</v>
      </c>
    </row>
    <row r="67" spans="4:18">
      <c r="D67" t="s">
        <v>122</v>
      </c>
      <c r="E67" t="s">
        <v>628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 s="3">
        <f t="shared" si="8"/>
        <v>0</v>
      </c>
    </row>
    <row r="68" spans="4:18">
      <c r="D68" t="s">
        <v>302</v>
      </c>
      <c r="E68" t="s">
        <v>628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 s="3">
        <f t="shared" si="8"/>
        <v>0</v>
      </c>
    </row>
    <row r="69" spans="4:18">
      <c r="D69" t="s">
        <v>189</v>
      </c>
      <c r="E69" t="s">
        <v>628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 s="3">
        <f t="shared" si="8"/>
        <v>0</v>
      </c>
    </row>
    <row r="70" spans="4:18">
      <c r="D70" t="s">
        <v>123</v>
      </c>
      <c r="E70" t="s">
        <v>628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 s="3">
        <f t="shared" si="8"/>
        <v>0</v>
      </c>
    </row>
    <row r="71" spans="4:18">
      <c r="D71" t="s">
        <v>125</v>
      </c>
      <c r="E71" t="s">
        <v>628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 s="3">
        <f t="shared" si="8"/>
        <v>0</v>
      </c>
    </row>
    <row r="72" spans="4:18">
      <c r="D72" t="s">
        <v>127</v>
      </c>
      <c r="E72" t="s">
        <v>628</v>
      </c>
      <c r="F72">
        <v>271854.46999999788</v>
      </c>
      <c r="G72">
        <v>276862.26000000071</v>
      </c>
      <c r="H72">
        <v>293231.37000000011</v>
      </c>
      <c r="I72">
        <v>316006.1400000006</v>
      </c>
      <c r="J72">
        <v>262779.49000000022</v>
      </c>
      <c r="K72">
        <v>159639.23000000045</v>
      </c>
      <c r="L72">
        <v>189742.54999999888</v>
      </c>
      <c r="M72">
        <v>172596.26999999955</v>
      </c>
      <c r="N72">
        <v>246066.98000000045</v>
      </c>
      <c r="O72">
        <v>161320.77999999933</v>
      </c>
      <c r="P72">
        <v>194983.28000000305</v>
      </c>
      <c r="Q72">
        <v>-57042.10000000149</v>
      </c>
      <c r="R72" s="3">
        <f t="shared" si="8"/>
        <v>2488040.7199999997</v>
      </c>
    </row>
    <row r="73" spans="4:18">
      <c r="D73" t="s">
        <v>129</v>
      </c>
      <c r="E73" t="s">
        <v>628</v>
      </c>
      <c r="F73">
        <v>0</v>
      </c>
      <c r="G73">
        <v>1723.7900000000009</v>
      </c>
      <c r="H73">
        <v>0</v>
      </c>
      <c r="I73">
        <v>1323.1800000000003</v>
      </c>
      <c r="J73">
        <v>-1323.1800000000003</v>
      </c>
      <c r="K73">
        <v>0</v>
      </c>
      <c r="L73">
        <v>0</v>
      </c>
      <c r="M73">
        <v>0</v>
      </c>
      <c r="N73">
        <v>879.23999999999796</v>
      </c>
      <c r="O73">
        <v>803.97000000000116</v>
      </c>
      <c r="P73">
        <v>66355.570000000007</v>
      </c>
      <c r="Q73">
        <v>0</v>
      </c>
      <c r="R73" s="3">
        <f t="shared" si="8"/>
        <v>69762.570000000007</v>
      </c>
    </row>
    <row r="74" spans="4:18">
      <c r="D74" t="s">
        <v>342</v>
      </c>
      <c r="E74" t="s">
        <v>628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 s="3">
        <f t="shared" si="8"/>
        <v>0</v>
      </c>
    </row>
    <row r="75" spans="4:18">
      <c r="E75" t="s">
        <v>629</v>
      </c>
    </row>
    <row r="76" spans="4:18">
      <c r="D76" t="s">
        <v>379</v>
      </c>
      <c r="E76" t="s">
        <v>629</v>
      </c>
    </row>
    <row r="77" spans="4:18">
      <c r="D77" t="s">
        <v>106</v>
      </c>
      <c r="E77" t="s">
        <v>629</v>
      </c>
      <c r="F77" t="s">
        <v>272</v>
      </c>
      <c r="G77" t="s">
        <v>273</v>
      </c>
      <c r="H77" t="s">
        <v>274</v>
      </c>
      <c r="I77" t="s">
        <v>275</v>
      </c>
      <c r="J77" t="s">
        <v>276</v>
      </c>
      <c r="K77" t="s">
        <v>277</v>
      </c>
      <c r="L77" t="s">
        <v>278</v>
      </c>
      <c r="M77" t="s">
        <v>279</v>
      </c>
      <c r="N77" t="s">
        <v>280</v>
      </c>
      <c r="O77" t="s">
        <v>281</v>
      </c>
      <c r="P77" t="s">
        <v>282</v>
      </c>
      <c r="Q77" t="s">
        <v>283</v>
      </c>
      <c r="R77" t="s">
        <v>624</v>
      </c>
    </row>
    <row r="78" spans="4:18">
      <c r="D78" t="s">
        <v>316</v>
      </c>
      <c r="E78" t="s">
        <v>630</v>
      </c>
      <c r="F78" s="3">
        <v>4018.75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f>SUM(F78:Q78)</f>
        <v>4018.75</v>
      </c>
    </row>
    <row r="79" spans="4:18">
      <c r="D79" t="s">
        <v>310</v>
      </c>
      <c r="E79" t="s">
        <v>631</v>
      </c>
      <c r="F79" s="362">
        <v>18474.85999999987</v>
      </c>
      <c r="G79" s="362">
        <v>44678.64000000013</v>
      </c>
      <c r="H79" s="362">
        <v>81767.910000000149</v>
      </c>
      <c r="I79" s="362">
        <v>72156.479999999981</v>
      </c>
      <c r="J79" s="362">
        <v>452410.08000000007</v>
      </c>
      <c r="K79" s="362">
        <v>1269972.4599999995</v>
      </c>
      <c r="L79" s="362">
        <v>1521787.67</v>
      </c>
      <c r="M79" s="362">
        <v>1799755.6100000013</v>
      </c>
      <c r="N79" s="362">
        <v>1919079.4699999988</v>
      </c>
      <c r="O79" s="362">
        <v>3015725.1899999995</v>
      </c>
      <c r="P79" s="362">
        <v>1664003.08</v>
      </c>
      <c r="Q79" s="362">
        <v>2361137.33</v>
      </c>
      <c r="R79" s="3">
        <f t="shared" ref="R79:R81" si="9">SUM(F79:Q79)</f>
        <v>14220948.779999999</v>
      </c>
    </row>
    <row r="80" spans="4:18">
      <c r="D80" t="s">
        <v>312</v>
      </c>
      <c r="E80" t="s">
        <v>631</v>
      </c>
      <c r="F80" s="3">
        <v>1308517.0700000003</v>
      </c>
      <c r="G80" s="3">
        <v>1642155.6099999994</v>
      </c>
      <c r="H80" s="3">
        <v>2879537.3000000007</v>
      </c>
      <c r="I80" s="3">
        <v>2667211.0700000003</v>
      </c>
      <c r="J80" s="3">
        <v>1408053.9299999997</v>
      </c>
      <c r="K80" s="3">
        <v>992519.92000000179</v>
      </c>
      <c r="L80" s="3">
        <v>433895.70999999717</v>
      </c>
      <c r="M80" s="3">
        <v>1358521.3200000003</v>
      </c>
      <c r="N80" s="3">
        <v>676870.3599999994</v>
      </c>
      <c r="O80" s="3">
        <v>2778315.5300000012</v>
      </c>
      <c r="P80" s="3">
        <v>1409532.700000003</v>
      </c>
      <c r="Q80" s="3">
        <v>121944.05999999493</v>
      </c>
      <c r="R80" s="3">
        <f t="shared" si="9"/>
        <v>17677074.579999998</v>
      </c>
    </row>
    <row r="81" spans="4:20">
      <c r="D81" t="s">
        <v>314</v>
      </c>
      <c r="E81" t="s">
        <v>631</v>
      </c>
      <c r="F81" s="3">
        <v>1321307.6400000006</v>
      </c>
      <c r="G81" s="3">
        <v>1308844.6899999976</v>
      </c>
      <c r="H81" s="3">
        <v>1429269.6900000013</v>
      </c>
      <c r="I81" s="3">
        <v>3170688.8999999985</v>
      </c>
      <c r="J81" s="3">
        <v>1493761.5199999996</v>
      </c>
      <c r="K81" s="3">
        <v>1452921.3200000003</v>
      </c>
      <c r="L81" s="3">
        <v>1840719.3000000007</v>
      </c>
      <c r="M81" s="3">
        <v>2561346.0100000016</v>
      </c>
      <c r="N81" s="3">
        <v>1205873.5799999982</v>
      </c>
      <c r="O81" s="3">
        <v>722800.52000000328</v>
      </c>
      <c r="P81" s="3">
        <v>843073.53000000119</v>
      </c>
      <c r="Q81" s="3">
        <v>999243.4299999997</v>
      </c>
      <c r="R81" s="3">
        <f t="shared" si="9"/>
        <v>18349850.130000003</v>
      </c>
    </row>
    <row r="83" spans="4:20">
      <c r="D83" t="s">
        <v>661</v>
      </c>
    </row>
    <row r="84" spans="4:20">
      <c r="D84" t="s">
        <v>366</v>
      </c>
      <c r="F84">
        <v>3</v>
      </c>
      <c r="G84">
        <f>F84+1</f>
        <v>4</v>
      </c>
      <c r="H84">
        <f t="shared" ref="H84" si="10">G84+1</f>
        <v>5</v>
      </c>
      <c r="I84">
        <f t="shared" ref="I84" si="11">H84+1</f>
        <v>6</v>
      </c>
      <c r="J84">
        <f t="shared" ref="J84" si="12">I84+1</f>
        <v>7</v>
      </c>
      <c r="K84">
        <f t="shared" ref="K84" si="13">J84+1</f>
        <v>8</v>
      </c>
      <c r="L84">
        <f t="shared" ref="L84" si="14">K84+1</f>
        <v>9</v>
      </c>
      <c r="M84">
        <f t="shared" ref="M84" si="15">L84+1</f>
        <v>10</v>
      </c>
      <c r="N84">
        <f t="shared" ref="N84" si="16">M84+1</f>
        <v>11</v>
      </c>
      <c r="O84">
        <f t="shared" ref="O84" si="17">N84+1</f>
        <v>12</v>
      </c>
      <c r="P84">
        <f t="shared" ref="P84" si="18">O84+1</f>
        <v>13</v>
      </c>
      <c r="Q84">
        <f t="shared" ref="Q84" si="19">P84+1</f>
        <v>14</v>
      </c>
    </row>
    <row r="85" spans="4:20">
      <c r="D85" t="s">
        <v>106</v>
      </c>
      <c r="E85" t="s">
        <v>626</v>
      </c>
      <c r="F85" t="s">
        <v>272</v>
      </c>
      <c r="G85" t="s">
        <v>273</v>
      </c>
      <c r="H85" t="s">
        <v>274</v>
      </c>
      <c r="I85" t="s">
        <v>275</v>
      </c>
      <c r="J85" t="s">
        <v>276</v>
      </c>
      <c r="K85" t="s">
        <v>277</v>
      </c>
      <c r="L85" t="s">
        <v>278</v>
      </c>
      <c r="M85" t="s">
        <v>279</v>
      </c>
      <c r="N85" t="s">
        <v>280</v>
      </c>
      <c r="O85" t="s">
        <v>281</v>
      </c>
      <c r="P85" t="s">
        <v>282</v>
      </c>
      <c r="Q85" t="s">
        <v>283</v>
      </c>
      <c r="R85" t="s">
        <v>624</v>
      </c>
    </row>
    <row r="86" spans="4:20">
      <c r="D86" t="s">
        <v>662</v>
      </c>
      <c r="E86">
        <v>380</v>
      </c>
      <c r="F86">
        <v>42.68999999780209</v>
      </c>
      <c r="G86">
        <v>-26.800000000000011</v>
      </c>
      <c r="H86">
        <v>32.909999999999997</v>
      </c>
      <c r="I86">
        <v>0</v>
      </c>
      <c r="J86">
        <v>-48.009999999627468</v>
      </c>
      <c r="K86">
        <v>24.200000001117587</v>
      </c>
      <c r="L86">
        <v>-3.7000000011175871</v>
      </c>
      <c r="M86">
        <v>-8.2000000011175871</v>
      </c>
      <c r="N86">
        <v>-0.90000000037252903</v>
      </c>
      <c r="O86">
        <v>-11.400000000372529</v>
      </c>
      <c r="P86">
        <v>-13.99999999627471</v>
      </c>
      <c r="Q86">
        <v>-140.40000000223517</v>
      </c>
      <c r="R86" s="3"/>
    </row>
    <row r="87" spans="4:20">
      <c r="D87" t="s">
        <v>117</v>
      </c>
      <c r="E87">
        <v>380</v>
      </c>
      <c r="F87">
        <v>0</v>
      </c>
      <c r="G87">
        <v>11840.260000001639</v>
      </c>
      <c r="H87">
        <v>-5129.7900000016389</v>
      </c>
      <c r="I87">
        <v>0</v>
      </c>
      <c r="J87" s="330">
        <v>-6710.47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 s="3"/>
    </row>
    <row r="88" spans="4:20">
      <c r="D88" t="s">
        <v>115</v>
      </c>
      <c r="E88">
        <v>380</v>
      </c>
      <c r="F88">
        <v>0</v>
      </c>
      <c r="G88">
        <v>0</v>
      </c>
      <c r="H88">
        <v>0</v>
      </c>
      <c r="I88">
        <v>0</v>
      </c>
      <c r="J88">
        <v>4867.1500000001979</v>
      </c>
      <c r="K88">
        <v>-499.41000000020722</v>
      </c>
      <c r="L88">
        <v>-4367.7399999999907</v>
      </c>
      <c r="M88">
        <v>0</v>
      </c>
      <c r="N88">
        <v>0</v>
      </c>
      <c r="O88">
        <v>0</v>
      </c>
      <c r="P88">
        <v>0</v>
      </c>
      <c r="Q88">
        <v>0</v>
      </c>
      <c r="R88" s="3"/>
    </row>
    <row r="89" spans="4:20">
      <c r="D89" t="s">
        <v>663</v>
      </c>
      <c r="F89">
        <f>SUM(F87:F88)</f>
        <v>0</v>
      </c>
      <c r="G89">
        <f t="shared" ref="G89:Q89" si="20">SUM(G87:G88)</f>
        <v>11840.260000001639</v>
      </c>
      <c r="H89">
        <f t="shared" si="20"/>
        <v>-5129.7900000016389</v>
      </c>
      <c r="I89">
        <f t="shared" si="20"/>
        <v>0</v>
      </c>
      <c r="J89">
        <f t="shared" si="20"/>
        <v>-1843.3199999998023</v>
      </c>
      <c r="K89">
        <f t="shared" si="20"/>
        <v>-499.41000000020722</v>
      </c>
      <c r="L89">
        <f t="shared" si="20"/>
        <v>-4367.7399999999907</v>
      </c>
      <c r="M89">
        <f t="shared" si="20"/>
        <v>0</v>
      </c>
      <c r="N89">
        <f t="shared" si="20"/>
        <v>0</v>
      </c>
      <c r="O89">
        <f t="shared" si="20"/>
        <v>0</v>
      </c>
      <c r="P89">
        <f t="shared" si="20"/>
        <v>0</v>
      </c>
      <c r="Q89">
        <f t="shared" si="20"/>
        <v>0</v>
      </c>
      <c r="T89" s="351"/>
    </row>
    <row r="90" spans="4:20">
      <c r="T90" s="351"/>
    </row>
    <row r="91" spans="4:20">
      <c r="T91" s="351"/>
    </row>
    <row r="92" spans="4:20">
      <c r="T92" s="351"/>
    </row>
    <row r="93" spans="4:20">
      <c r="T93" s="351"/>
    </row>
    <row r="94" spans="4:20">
      <c r="T94" s="351"/>
    </row>
    <row r="95" spans="4:20">
      <c r="T95" s="351"/>
    </row>
  </sheetData>
  <mergeCells count="1">
    <mergeCell ref="F2:I2"/>
  </mergeCells>
  <pageMargins left="0.7" right="0.7" top="0.75" bottom="0.75" header="0.3" footer="0.3"/>
  <pageSetup scale="57" orientation="landscape" r:id="rId1"/>
  <headerFooter>
    <oddFooter>&amp;L&amp;1#&amp;"Calibri"&amp;14&amp;K000000Business Use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C2689-4FD9-480F-858E-9838832C108F}">
  <sheetPr>
    <tabColor theme="6" tint="0.39997558519241921"/>
  </sheetPr>
  <dimension ref="A1:U37"/>
  <sheetViews>
    <sheetView workbookViewId="0"/>
  </sheetViews>
  <sheetFormatPr defaultColWidth="9.140625" defaultRowHeight="12.75"/>
  <cols>
    <col min="1" max="4" width="9.140625" style="199"/>
    <col min="5" max="5" width="11.85546875" style="199" bestFit="1" customWidth="1"/>
    <col min="6" max="7" width="9.140625" style="199"/>
    <col min="8" max="9" width="11.140625" style="199" bestFit="1" customWidth="1"/>
    <col min="10" max="11" width="10.28515625" style="199" bestFit="1" customWidth="1"/>
    <col min="12" max="12" width="11.140625" style="199" bestFit="1" customWidth="1"/>
    <col min="13" max="13" width="10.28515625" style="199" bestFit="1" customWidth="1"/>
    <col min="14" max="18" width="11.140625" style="199" bestFit="1" customWidth="1"/>
    <col min="19" max="19" width="10.28515625" style="199" bestFit="1" customWidth="1"/>
    <col min="20" max="20" width="11.140625" style="199" bestFit="1" customWidth="1"/>
    <col min="21" max="16384" width="9.140625" style="199"/>
  </cols>
  <sheetData>
    <row r="1" spans="1:20">
      <c r="A1" s="223" t="s">
        <v>134</v>
      </c>
      <c r="B1" s="223" t="s">
        <v>135</v>
      </c>
      <c r="C1" s="223" t="s">
        <v>136</v>
      </c>
      <c r="D1" s="223" t="s">
        <v>137</v>
      </c>
      <c r="E1" s="223" t="s">
        <v>138</v>
      </c>
      <c r="F1" s="223" t="s">
        <v>139</v>
      </c>
      <c r="G1" s="223" t="s">
        <v>140</v>
      </c>
      <c r="H1" s="223" t="s">
        <v>324</v>
      </c>
      <c r="I1" s="223" t="s">
        <v>325</v>
      </c>
      <c r="J1" s="223" t="s">
        <v>326</v>
      </c>
      <c r="K1" s="223" t="s">
        <v>327</v>
      </c>
      <c r="L1" s="223" t="s">
        <v>328</v>
      </c>
      <c r="M1" s="223" t="s">
        <v>329</v>
      </c>
      <c r="N1" s="223" t="s">
        <v>330</v>
      </c>
      <c r="O1" s="223" t="s">
        <v>331</v>
      </c>
      <c r="P1" s="223" t="s">
        <v>332</v>
      </c>
      <c r="Q1" s="223" t="s">
        <v>333</v>
      </c>
      <c r="R1" s="223" t="s">
        <v>334</v>
      </c>
      <c r="S1" s="223" t="s">
        <v>335</v>
      </c>
      <c r="T1" s="223" t="s">
        <v>141</v>
      </c>
    </row>
    <row r="2" spans="1:20">
      <c r="A2" s="199" t="s">
        <v>142</v>
      </c>
      <c r="B2" s="199" t="s">
        <v>142</v>
      </c>
      <c r="C2" s="199" t="s">
        <v>143</v>
      </c>
      <c r="D2" s="199" t="s">
        <v>192</v>
      </c>
      <c r="E2" s="199" t="s">
        <v>145</v>
      </c>
      <c r="F2" s="199" t="s">
        <v>146</v>
      </c>
      <c r="G2" s="199">
        <v>2020</v>
      </c>
      <c r="H2" s="342">
        <v>27625</v>
      </c>
      <c r="I2" s="342">
        <v>27625</v>
      </c>
      <c r="J2" s="342">
        <v>27625</v>
      </c>
      <c r="K2" s="342">
        <v>27625</v>
      </c>
      <c r="L2" s="342">
        <v>27625</v>
      </c>
      <c r="M2" s="342">
        <v>27625</v>
      </c>
      <c r="N2" s="342">
        <v>27625</v>
      </c>
      <c r="O2" s="342">
        <v>27625</v>
      </c>
      <c r="P2" s="342">
        <v>27625</v>
      </c>
      <c r="Q2" s="342">
        <v>27625</v>
      </c>
      <c r="R2" s="342">
        <v>27625</v>
      </c>
      <c r="S2" s="342">
        <v>27625</v>
      </c>
      <c r="T2" s="342">
        <f>SUM(H2:S2)</f>
        <v>331500</v>
      </c>
    </row>
    <row r="3" spans="1:20">
      <c r="A3" s="199" t="s">
        <v>147</v>
      </c>
      <c r="B3" s="199" t="s">
        <v>147</v>
      </c>
      <c r="C3" s="199" t="s">
        <v>143</v>
      </c>
      <c r="D3" s="199" t="s">
        <v>336</v>
      </c>
      <c r="E3" s="199" t="s">
        <v>168</v>
      </c>
      <c r="F3" s="199" t="s">
        <v>193</v>
      </c>
      <c r="G3" s="199">
        <v>2020</v>
      </c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>
        <f t="shared" ref="T3:T30" si="0">SUM(H3:S3)</f>
        <v>0</v>
      </c>
    </row>
    <row r="4" spans="1:20">
      <c r="A4" s="199" t="s">
        <v>147</v>
      </c>
      <c r="B4" s="199" t="s">
        <v>147</v>
      </c>
      <c r="C4" s="199" t="s">
        <v>167</v>
      </c>
      <c r="D4" s="199" t="s">
        <v>336</v>
      </c>
      <c r="E4" s="199" t="s">
        <v>168</v>
      </c>
      <c r="F4" s="199" t="s">
        <v>169</v>
      </c>
      <c r="G4" s="199">
        <v>2020</v>
      </c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>
        <f t="shared" si="0"/>
        <v>0</v>
      </c>
    </row>
    <row r="5" spans="1:20">
      <c r="A5" s="199" t="s">
        <v>147</v>
      </c>
      <c r="B5" s="199" t="s">
        <v>147</v>
      </c>
      <c r="C5" s="199" t="s">
        <v>148</v>
      </c>
      <c r="D5" s="199" t="s">
        <v>171</v>
      </c>
      <c r="E5" s="199" t="s">
        <v>149</v>
      </c>
      <c r="F5" s="199" t="s">
        <v>150</v>
      </c>
      <c r="G5" s="199">
        <v>2020</v>
      </c>
      <c r="H5" s="342">
        <v>12466.8</v>
      </c>
      <c r="I5" s="342">
        <v>11702.38</v>
      </c>
      <c r="J5" s="342">
        <v>13891.04</v>
      </c>
      <c r="K5" s="342">
        <v>12699.68</v>
      </c>
      <c r="L5" s="342">
        <v>12265.01</v>
      </c>
      <c r="M5" s="342">
        <v>12219.61</v>
      </c>
      <c r="N5" s="342">
        <v>13647.86</v>
      </c>
      <c r="O5" s="342">
        <v>14544.66</v>
      </c>
      <c r="P5" s="342">
        <v>13390.23</v>
      </c>
      <c r="Q5" s="342">
        <v>13530.53</v>
      </c>
      <c r="R5" s="342">
        <v>12770.59</v>
      </c>
      <c r="S5" s="342">
        <v>13871.61</v>
      </c>
      <c r="T5" s="342">
        <f t="shared" si="0"/>
        <v>157000</v>
      </c>
    </row>
    <row r="6" spans="1:20">
      <c r="A6" s="199" t="s">
        <v>147</v>
      </c>
      <c r="B6" s="199" t="s">
        <v>147</v>
      </c>
      <c r="C6" s="199" t="s">
        <v>148</v>
      </c>
      <c r="D6" s="199" t="s">
        <v>171</v>
      </c>
      <c r="E6" s="199" t="s">
        <v>154</v>
      </c>
      <c r="F6" s="199" t="s">
        <v>150</v>
      </c>
      <c r="G6" s="199">
        <v>2020</v>
      </c>
      <c r="H6" s="342">
        <v>3732.1</v>
      </c>
      <c r="I6" s="342">
        <v>3503.26</v>
      </c>
      <c r="J6" s="342">
        <v>4158.46</v>
      </c>
      <c r="K6" s="342">
        <v>3801.81</v>
      </c>
      <c r="L6" s="342">
        <v>3671.69</v>
      </c>
      <c r="M6" s="342">
        <v>3658.1</v>
      </c>
      <c r="N6" s="342">
        <v>4085.66</v>
      </c>
      <c r="O6" s="342">
        <v>4354.13</v>
      </c>
      <c r="P6" s="342">
        <v>4008.54</v>
      </c>
      <c r="Q6" s="342">
        <v>4050.54</v>
      </c>
      <c r="R6" s="342">
        <v>3823.04</v>
      </c>
      <c r="S6" s="342">
        <v>4152.6499999999996</v>
      </c>
      <c r="T6" s="342">
        <f t="shared" si="0"/>
        <v>46999.98</v>
      </c>
    </row>
    <row r="7" spans="1:20">
      <c r="A7" s="199" t="s">
        <v>147</v>
      </c>
      <c r="B7" s="199" t="s">
        <v>147</v>
      </c>
      <c r="C7" s="199" t="s">
        <v>148</v>
      </c>
      <c r="D7" s="199" t="s">
        <v>525</v>
      </c>
      <c r="E7" s="199" t="s">
        <v>149</v>
      </c>
      <c r="F7" s="199" t="s">
        <v>150</v>
      </c>
      <c r="G7" s="199">
        <v>2020</v>
      </c>
      <c r="H7" s="342">
        <v>4604</v>
      </c>
      <c r="I7" s="342">
        <v>4273</v>
      </c>
      <c r="J7" s="342">
        <v>4580</v>
      </c>
      <c r="K7" s="342">
        <v>4487</v>
      </c>
      <c r="L7" s="342">
        <v>4219</v>
      </c>
      <c r="M7" s="342">
        <v>4394</v>
      </c>
      <c r="N7" s="342">
        <v>4720</v>
      </c>
      <c r="O7" s="342">
        <v>5097</v>
      </c>
      <c r="P7" s="342">
        <v>4694</v>
      </c>
      <c r="Q7" s="342">
        <v>5105</v>
      </c>
      <c r="R7" s="342">
        <v>4745</v>
      </c>
      <c r="S7" s="342">
        <v>4978</v>
      </c>
      <c r="T7" s="342">
        <f t="shared" si="0"/>
        <v>55896</v>
      </c>
    </row>
    <row r="8" spans="1:20">
      <c r="A8" s="199" t="s">
        <v>147</v>
      </c>
      <c r="B8" s="199" t="s">
        <v>147</v>
      </c>
      <c r="C8" s="199" t="s">
        <v>148</v>
      </c>
      <c r="D8" s="199" t="s">
        <v>525</v>
      </c>
      <c r="E8" s="199" t="s">
        <v>154</v>
      </c>
      <c r="F8" s="199" t="s">
        <v>150</v>
      </c>
      <c r="G8" s="199">
        <v>2020</v>
      </c>
      <c r="H8" s="342">
        <v>1891</v>
      </c>
      <c r="I8" s="342">
        <v>1732</v>
      </c>
      <c r="J8" s="342">
        <v>1628</v>
      </c>
      <c r="K8" s="342">
        <v>1749</v>
      </c>
      <c r="L8" s="342">
        <v>1590</v>
      </c>
      <c r="M8" s="342">
        <v>1751</v>
      </c>
      <c r="N8" s="342">
        <v>1792</v>
      </c>
      <c r="O8" s="342">
        <v>1968</v>
      </c>
      <c r="P8" s="342">
        <v>1812</v>
      </c>
      <c r="Q8" s="342">
        <v>2147</v>
      </c>
      <c r="R8" s="342">
        <v>1963</v>
      </c>
      <c r="S8" s="342">
        <v>1978</v>
      </c>
      <c r="T8" s="342">
        <f t="shared" si="0"/>
        <v>22001</v>
      </c>
    </row>
    <row r="9" spans="1:20">
      <c r="A9" s="199" t="s">
        <v>147</v>
      </c>
      <c r="B9" s="199" t="s">
        <v>147</v>
      </c>
      <c r="C9" s="199" t="s">
        <v>148</v>
      </c>
      <c r="D9" s="199" t="s">
        <v>172</v>
      </c>
      <c r="E9" s="199" t="s">
        <v>149</v>
      </c>
      <c r="F9" s="199" t="s">
        <v>150</v>
      </c>
      <c r="G9" s="199">
        <v>2020</v>
      </c>
      <c r="H9" s="342">
        <v>3165.07</v>
      </c>
      <c r="I9" s="342">
        <v>2971</v>
      </c>
      <c r="J9" s="342">
        <v>3526.66</v>
      </c>
      <c r="K9" s="342">
        <v>3224.2</v>
      </c>
      <c r="L9" s="342">
        <v>3113.84</v>
      </c>
      <c r="M9" s="342">
        <v>3102.32</v>
      </c>
      <c r="N9" s="342">
        <v>3464.92</v>
      </c>
      <c r="O9" s="342">
        <v>3692.6</v>
      </c>
      <c r="P9" s="342">
        <v>3399.51</v>
      </c>
      <c r="Q9" s="342">
        <v>3435.13</v>
      </c>
      <c r="R9" s="342">
        <v>3242.2</v>
      </c>
      <c r="S9" s="342">
        <v>3521.72</v>
      </c>
      <c r="T9" s="342">
        <f t="shared" si="0"/>
        <v>39859.17</v>
      </c>
    </row>
    <row r="10" spans="1:20">
      <c r="A10" s="199" t="s">
        <v>147</v>
      </c>
      <c r="B10" s="199" t="s">
        <v>147</v>
      </c>
      <c r="C10" s="199" t="s">
        <v>148</v>
      </c>
      <c r="D10" s="199" t="s">
        <v>172</v>
      </c>
      <c r="E10" s="199" t="s">
        <v>154</v>
      </c>
      <c r="F10" s="199" t="s">
        <v>150</v>
      </c>
      <c r="G10" s="199">
        <v>2020</v>
      </c>
      <c r="H10" s="342">
        <v>947.5</v>
      </c>
      <c r="I10" s="342">
        <v>889.41</v>
      </c>
      <c r="J10" s="342">
        <v>1055.75</v>
      </c>
      <c r="K10" s="342">
        <v>965.2</v>
      </c>
      <c r="L10" s="342">
        <v>932.16</v>
      </c>
      <c r="M10" s="342">
        <v>928.71</v>
      </c>
      <c r="N10" s="342">
        <v>1037.26</v>
      </c>
      <c r="O10" s="342">
        <v>1105.42</v>
      </c>
      <c r="P10" s="342">
        <v>1017.69</v>
      </c>
      <c r="Q10" s="342">
        <v>1028.3499999999999</v>
      </c>
      <c r="R10" s="342">
        <v>970.59</v>
      </c>
      <c r="S10" s="342">
        <v>1054.28</v>
      </c>
      <c r="T10" s="342">
        <f t="shared" si="0"/>
        <v>11932.320000000002</v>
      </c>
    </row>
    <row r="11" spans="1:20">
      <c r="A11" s="199" t="s">
        <v>147</v>
      </c>
      <c r="B11" s="199" t="s">
        <v>147</v>
      </c>
      <c r="C11" s="199" t="s">
        <v>148</v>
      </c>
      <c r="D11" s="199" t="s">
        <v>192</v>
      </c>
      <c r="E11" s="199" t="s">
        <v>149</v>
      </c>
      <c r="F11" s="199" t="s">
        <v>150</v>
      </c>
      <c r="G11" s="199">
        <v>2020</v>
      </c>
      <c r="H11" s="342">
        <v>13451.74</v>
      </c>
      <c r="I11" s="342">
        <v>12404.92</v>
      </c>
      <c r="J11" s="342">
        <v>12506.71</v>
      </c>
      <c r="K11" s="342">
        <v>12785.75</v>
      </c>
      <c r="L11" s="342">
        <v>11833.12</v>
      </c>
      <c r="M11" s="342">
        <v>12651.21</v>
      </c>
      <c r="N11" s="342">
        <v>13282.5</v>
      </c>
      <c r="O11" s="342">
        <v>14456.95</v>
      </c>
      <c r="P11" s="342">
        <v>13313.83</v>
      </c>
      <c r="Q11" s="342">
        <v>15088.64</v>
      </c>
      <c r="R11" s="342">
        <v>13911.56</v>
      </c>
      <c r="S11" s="342">
        <v>14313.08</v>
      </c>
      <c r="T11" s="342">
        <f t="shared" si="0"/>
        <v>160000.00999999998</v>
      </c>
    </row>
    <row r="12" spans="1:20">
      <c r="A12" s="199" t="s">
        <v>147</v>
      </c>
      <c r="B12" s="199" t="s">
        <v>147</v>
      </c>
      <c r="C12" s="199" t="s">
        <v>148</v>
      </c>
      <c r="D12" s="199" t="s">
        <v>192</v>
      </c>
      <c r="E12" s="199" t="s">
        <v>154</v>
      </c>
      <c r="F12" s="199" t="s">
        <v>150</v>
      </c>
      <c r="G12" s="199">
        <v>2020</v>
      </c>
      <c r="H12" s="342">
        <v>22531.67</v>
      </c>
      <c r="I12" s="342">
        <v>20778.25</v>
      </c>
      <c r="J12" s="342">
        <v>20948.73</v>
      </c>
      <c r="K12" s="342">
        <v>21416.12</v>
      </c>
      <c r="L12" s="342">
        <v>19820.48</v>
      </c>
      <c r="M12" s="342">
        <v>21190.77</v>
      </c>
      <c r="N12" s="342">
        <v>22248.19</v>
      </c>
      <c r="O12" s="342">
        <v>24215.39</v>
      </c>
      <c r="P12" s="342">
        <v>22300.66</v>
      </c>
      <c r="Q12" s="342">
        <v>25273.47</v>
      </c>
      <c r="R12" s="342">
        <v>23301.86</v>
      </c>
      <c r="S12" s="342">
        <v>23974.400000000001</v>
      </c>
      <c r="T12" s="342">
        <f t="shared" si="0"/>
        <v>267999.99</v>
      </c>
    </row>
    <row r="13" spans="1:20">
      <c r="A13" s="199" t="s">
        <v>147</v>
      </c>
      <c r="B13" s="199" t="s">
        <v>147</v>
      </c>
      <c r="C13" s="199" t="s">
        <v>148</v>
      </c>
      <c r="D13" s="199" t="s">
        <v>155</v>
      </c>
      <c r="E13" s="199" t="s">
        <v>149</v>
      </c>
      <c r="F13" s="199" t="s">
        <v>150</v>
      </c>
      <c r="G13" s="199">
        <v>2020</v>
      </c>
      <c r="H13" s="342">
        <v>3018.27</v>
      </c>
      <c r="I13" s="342">
        <v>2667.69</v>
      </c>
      <c r="J13" s="342">
        <v>1512.95</v>
      </c>
      <c r="K13" s="342">
        <v>2390.84</v>
      </c>
      <c r="L13" s="342">
        <v>1925.09</v>
      </c>
      <c r="M13" s="342">
        <v>2560.4699999999998</v>
      </c>
      <c r="N13" s="342">
        <v>2228.02</v>
      </c>
      <c r="O13" s="342">
        <v>2599.29</v>
      </c>
      <c r="P13" s="342">
        <v>2396.23</v>
      </c>
      <c r="Q13" s="342">
        <v>3640.44</v>
      </c>
      <c r="R13" s="342">
        <v>3190.23</v>
      </c>
      <c r="S13" s="342">
        <v>2870.48</v>
      </c>
      <c r="T13" s="342">
        <f t="shared" si="0"/>
        <v>30999.999999999996</v>
      </c>
    </row>
    <row r="14" spans="1:20">
      <c r="A14" s="199" t="s">
        <v>147</v>
      </c>
      <c r="B14" s="199" t="s">
        <v>147</v>
      </c>
      <c r="C14" s="199" t="s">
        <v>148</v>
      </c>
      <c r="D14" s="199" t="s">
        <v>155</v>
      </c>
      <c r="E14" s="199" t="s">
        <v>154</v>
      </c>
      <c r="F14" s="199" t="s">
        <v>150</v>
      </c>
      <c r="G14" s="199">
        <v>2020</v>
      </c>
      <c r="H14" s="342">
        <v>2628.82</v>
      </c>
      <c r="I14" s="342">
        <v>2323.4699999999998</v>
      </c>
      <c r="J14" s="342">
        <v>1317.73</v>
      </c>
      <c r="K14" s="342">
        <v>2082.35</v>
      </c>
      <c r="L14" s="342">
        <v>1676.69</v>
      </c>
      <c r="M14" s="342">
        <v>2230.09</v>
      </c>
      <c r="N14" s="342">
        <v>1940.53</v>
      </c>
      <c r="O14" s="342">
        <v>2263.9</v>
      </c>
      <c r="P14" s="342">
        <v>2087.04</v>
      </c>
      <c r="Q14" s="342">
        <v>3170.71</v>
      </c>
      <c r="R14" s="342">
        <v>2778.59</v>
      </c>
      <c r="S14" s="342">
        <v>2500.09</v>
      </c>
      <c r="T14" s="342">
        <f t="shared" si="0"/>
        <v>27000.010000000002</v>
      </c>
    </row>
    <row r="15" spans="1:20">
      <c r="A15" s="199" t="s">
        <v>147</v>
      </c>
      <c r="B15" s="199" t="s">
        <v>147</v>
      </c>
      <c r="C15" s="199" t="s">
        <v>148</v>
      </c>
      <c r="D15" s="199" t="s">
        <v>156</v>
      </c>
      <c r="E15" s="199" t="s">
        <v>149</v>
      </c>
      <c r="F15" s="199" t="s">
        <v>150</v>
      </c>
      <c r="G15" s="199">
        <v>2020</v>
      </c>
      <c r="H15" s="342">
        <v>273.18</v>
      </c>
      <c r="I15" s="342">
        <v>241.45</v>
      </c>
      <c r="J15" s="342">
        <v>136.94</v>
      </c>
      <c r="K15" s="342">
        <v>216.39</v>
      </c>
      <c r="L15" s="342">
        <v>174.24</v>
      </c>
      <c r="M15" s="342">
        <v>231.75</v>
      </c>
      <c r="N15" s="342">
        <v>201.66</v>
      </c>
      <c r="O15" s="342">
        <v>235.26</v>
      </c>
      <c r="P15" s="342">
        <v>216.88</v>
      </c>
      <c r="Q15" s="342">
        <v>329.5</v>
      </c>
      <c r="R15" s="342">
        <v>288.75</v>
      </c>
      <c r="S15" s="342">
        <v>259.81</v>
      </c>
      <c r="T15" s="342">
        <f t="shared" si="0"/>
        <v>2805.81</v>
      </c>
    </row>
    <row r="16" spans="1:20">
      <c r="A16" s="199" t="s">
        <v>147</v>
      </c>
      <c r="B16" s="199" t="s">
        <v>147</v>
      </c>
      <c r="C16" s="199" t="s">
        <v>148</v>
      </c>
      <c r="D16" s="199" t="s">
        <v>156</v>
      </c>
      <c r="E16" s="199" t="s">
        <v>154</v>
      </c>
      <c r="F16" s="199" t="s">
        <v>150</v>
      </c>
      <c r="G16" s="199">
        <v>2020</v>
      </c>
      <c r="H16" s="342">
        <v>237.93</v>
      </c>
      <c r="I16" s="342">
        <v>210.3</v>
      </c>
      <c r="J16" s="342">
        <v>119.27</v>
      </c>
      <c r="K16" s="342">
        <v>188.47</v>
      </c>
      <c r="L16" s="342">
        <v>151.76</v>
      </c>
      <c r="M16" s="342">
        <v>201.85</v>
      </c>
      <c r="N16" s="342">
        <v>175.64</v>
      </c>
      <c r="O16" s="342">
        <v>204.91</v>
      </c>
      <c r="P16" s="342">
        <v>188.9</v>
      </c>
      <c r="Q16" s="342">
        <v>286.98</v>
      </c>
      <c r="R16" s="342">
        <v>251.49</v>
      </c>
      <c r="S16" s="342">
        <v>226.28</v>
      </c>
      <c r="T16" s="342">
        <f t="shared" si="0"/>
        <v>2443.7800000000002</v>
      </c>
    </row>
    <row r="17" spans="1:21">
      <c r="A17" s="199" t="s">
        <v>147</v>
      </c>
      <c r="B17" s="199" t="s">
        <v>147</v>
      </c>
      <c r="C17" s="199" t="s">
        <v>148</v>
      </c>
      <c r="D17" s="199" t="s">
        <v>336</v>
      </c>
      <c r="E17" s="199" t="s">
        <v>168</v>
      </c>
      <c r="F17" s="199" t="s">
        <v>194</v>
      </c>
      <c r="G17" s="199">
        <v>2020</v>
      </c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>
        <f t="shared" si="0"/>
        <v>0</v>
      </c>
    </row>
    <row r="18" spans="1:21">
      <c r="A18" s="199" t="s">
        <v>147</v>
      </c>
      <c r="B18" s="199" t="s">
        <v>147</v>
      </c>
      <c r="C18" s="199" t="s">
        <v>148</v>
      </c>
      <c r="D18" s="199" t="s">
        <v>338</v>
      </c>
      <c r="E18" s="199" t="s">
        <v>149</v>
      </c>
      <c r="F18" s="199" t="s">
        <v>150</v>
      </c>
      <c r="G18" s="199">
        <v>2020</v>
      </c>
      <c r="H18" s="342">
        <v>2185.91</v>
      </c>
      <c r="I18" s="342">
        <v>2015.8</v>
      </c>
      <c r="J18" s="342">
        <v>2032.34</v>
      </c>
      <c r="K18" s="342">
        <v>2077.6799999999998</v>
      </c>
      <c r="L18" s="342">
        <v>1922.88</v>
      </c>
      <c r="M18" s="342">
        <v>2055.8200000000002</v>
      </c>
      <c r="N18" s="342">
        <v>2158.41</v>
      </c>
      <c r="O18" s="342">
        <v>2349.25</v>
      </c>
      <c r="P18" s="342">
        <v>2163.5</v>
      </c>
      <c r="Q18" s="342">
        <v>2451.9</v>
      </c>
      <c r="R18" s="342">
        <v>2260.63</v>
      </c>
      <c r="S18" s="342">
        <v>2325.87</v>
      </c>
      <c r="T18" s="342">
        <f t="shared" si="0"/>
        <v>25999.99</v>
      </c>
    </row>
    <row r="19" spans="1:21">
      <c r="A19" s="199" t="s">
        <v>147</v>
      </c>
      <c r="B19" s="199" t="s">
        <v>147</v>
      </c>
      <c r="C19" s="199" t="s">
        <v>148</v>
      </c>
      <c r="D19" s="199" t="s">
        <v>338</v>
      </c>
      <c r="E19" s="199" t="s">
        <v>154</v>
      </c>
      <c r="F19" s="199" t="s">
        <v>150</v>
      </c>
      <c r="G19" s="199">
        <v>2020</v>
      </c>
      <c r="H19" s="342">
        <v>916.4</v>
      </c>
      <c r="I19" s="342">
        <v>845.09</v>
      </c>
      <c r="J19" s="342">
        <v>852.02</v>
      </c>
      <c r="K19" s="342">
        <v>871.03</v>
      </c>
      <c r="L19" s="342">
        <v>806.13</v>
      </c>
      <c r="M19" s="342">
        <v>861.86</v>
      </c>
      <c r="N19" s="342">
        <v>904.87</v>
      </c>
      <c r="O19" s="342">
        <v>984.88</v>
      </c>
      <c r="P19" s="342">
        <v>907</v>
      </c>
      <c r="Q19" s="342">
        <v>1027.9100000000001</v>
      </c>
      <c r="R19" s="342">
        <v>947.72</v>
      </c>
      <c r="S19" s="342">
        <v>975.08</v>
      </c>
      <c r="T19" s="342">
        <f t="shared" si="0"/>
        <v>10899.99</v>
      </c>
    </row>
    <row r="20" spans="1:21">
      <c r="A20" s="199" t="s">
        <v>147</v>
      </c>
      <c r="B20" s="199" t="s">
        <v>147</v>
      </c>
      <c r="C20" s="199" t="s">
        <v>148</v>
      </c>
      <c r="D20" s="199" t="s">
        <v>339</v>
      </c>
      <c r="E20" s="199" t="s">
        <v>149</v>
      </c>
      <c r="F20" s="199" t="s">
        <v>150</v>
      </c>
      <c r="G20" s="199">
        <v>2020</v>
      </c>
      <c r="H20" s="342">
        <v>196.73</v>
      </c>
      <c r="I20" s="342">
        <v>181.42</v>
      </c>
      <c r="J20" s="342">
        <v>182.91</v>
      </c>
      <c r="K20" s="342">
        <v>186.99</v>
      </c>
      <c r="L20" s="342">
        <v>173.06</v>
      </c>
      <c r="M20" s="342">
        <v>185.02</v>
      </c>
      <c r="N20" s="342">
        <v>194.26</v>
      </c>
      <c r="O20" s="342">
        <v>211.43</v>
      </c>
      <c r="P20" s="342">
        <v>194.72</v>
      </c>
      <c r="Q20" s="342">
        <v>220.67</v>
      </c>
      <c r="R20" s="342">
        <v>203.46</v>
      </c>
      <c r="S20" s="342">
        <v>209.33</v>
      </c>
      <c r="T20" s="342">
        <f t="shared" si="0"/>
        <v>2340</v>
      </c>
    </row>
    <row r="21" spans="1:21">
      <c r="A21" s="199" t="s">
        <v>147</v>
      </c>
      <c r="B21" s="199" t="s">
        <v>147</v>
      </c>
      <c r="C21" s="199" t="s">
        <v>148</v>
      </c>
      <c r="D21" s="199" t="s">
        <v>339</v>
      </c>
      <c r="E21" s="199" t="s">
        <v>154</v>
      </c>
      <c r="F21" s="199" t="s">
        <v>150</v>
      </c>
      <c r="G21" s="199">
        <v>2020</v>
      </c>
      <c r="H21" s="342">
        <v>82.48</v>
      </c>
      <c r="I21" s="342">
        <v>76.06</v>
      </c>
      <c r="J21" s="342">
        <v>76.680000000000007</v>
      </c>
      <c r="K21" s="342">
        <v>78.39</v>
      </c>
      <c r="L21" s="342">
        <v>72.55</v>
      </c>
      <c r="M21" s="342">
        <v>77.569999999999993</v>
      </c>
      <c r="N21" s="342">
        <v>81.44</v>
      </c>
      <c r="O21" s="342">
        <v>88.64</v>
      </c>
      <c r="P21" s="342">
        <v>81.63</v>
      </c>
      <c r="Q21" s="342">
        <v>92.51</v>
      </c>
      <c r="R21" s="342">
        <v>85.29</v>
      </c>
      <c r="S21" s="342">
        <v>87.76</v>
      </c>
      <c r="T21" s="342">
        <f t="shared" si="0"/>
        <v>981</v>
      </c>
    </row>
    <row r="22" spans="1:21">
      <c r="A22" s="199" t="s">
        <v>147</v>
      </c>
      <c r="B22" s="199" t="s">
        <v>147</v>
      </c>
      <c r="C22" s="199" t="s">
        <v>173</v>
      </c>
      <c r="D22" s="199" t="s">
        <v>336</v>
      </c>
      <c r="E22" s="199" t="s">
        <v>168</v>
      </c>
      <c r="F22" s="199" t="s">
        <v>195</v>
      </c>
      <c r="G22" s="199">
        <v>2020</v>
      </c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>
        <f t="shared" si="0"/>
        <v>0</v>
      </c>
    </row>
    <row r="23" spans="1:21">
      <c r="A23" s="199" t="s">
        <v>147</v>
      </c>
      <c r="B23" s="199" t="s">
        <v>147</v>
      </c>
      <c r="C23" s="199" t="s">
        <v>196</v>
      </c>
      <c r="D23" s="199" t="s">
        <v>336</v>
      </c>
      <c r="E23" s="199" t="s">
        <v>168</v>
      </c>
      <c r="F23" s="199" t="s">
        <v>197</v>
      </c>
      <c r="G23" s="199">
        <v>2020</v>
      </c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>
        <f t="shared" si="0"/>
        <v>0</v>
      </c>
    </row>
    <row r="24" spans="1:21">
      <c r="A24" s="199" t="s">
        <v>147</v>
      </c>
      <c r="B24" s="199" t="s">
        <v>147</v>
      </c>
      <c r="C24" s="199" t="s">
        <v>198</v>
      </c>
      <c r="D24" s="199" t="s">
        <v>336</v>
      </c>
      <c r="E24" s="199" t="s">
        <v>168</v>
      </c>
      <c r="F24" s="199" t="s">
        <v>199</v>
      </c>
      <c r="G24" s="199">
        <v>2020</v>
      </c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>
        <f t="shared" si="0"/>
        <v>0</v>
      </c>
    </row>
    <row r="25" spans="1:21">
      <c r="A25" s="199" t="s">
        <v>151</v>
      </c>
      <c r="B25" s="199" t="s">
        <v>170</v>
      </c>
      <c r="C25" s="199" t="s">
        <v>148</v>
      </c>
      <c r="D25" s="199" t="s">
        <v>144</v>
      </c>
      <c r="E25" s="199" t="s">
        <v>152</v>
      </c>
      <c r="F25" s="199" t="s">
        <v>337</v>
      </c>
      <c r="G25" s="199">
        <v>2020</v>
      </c>
      <c r="H25" s="342">
        <v>0</v>
      </c>
      <c r="I25" s="342">
        <v>1218</v>
      </c>
      <c r="J25" s="342">
        <v>0</v>
      </c>
      <c r="K25" s="342">
        <v>781.79</v>
      </c>
      <c r="L25" s="342">
        <v>2000</v>
      </c>
      <c r="M25" s="342">
        <v>0</v>
      </c>
      <c r="N25" s="342">
        <v>0.03</v>
      </c>
      <c r="O25" s="342">
        <v>0</v>
      </c>
      <c r="P25" s="342">
        <v>0</v>
      </c>
      <c r="Q25" s="342">
        <v>0</v>
      </c>
      <c r="R25" s="342">
        <v>0</v>
      </c>
      <c r="S25" s="342">
        <v>0</v>
      </c>
      <c r="T25" s="342">
        <f t="shared" si="0"/>
        <v>3999.82</v>
      </c>
    </row>
    <row r="26" spans="1:21">
      <c r="A26" s="199" t="s">
        <v>151</v>
      </c>
      <c r="B26" s="199" t="s">
        <v>170</v>
      </c>
      <c r="C26" s="199" t="s">
        <v>148</v>
      </c>
      <c r="D26" s="199" t="s">
        <v>144</v>
      </c>
      <c r="E26" s="199" t="s">
        <v>448</v>
      </c>
      <c r="F26" s="199" t="s">
        <v>449</v>
      </c>
      <c r="G26" s="199">
        <v>2020</v>
      </c>
      <c r="H26" s="342">
        <v>1000</v>
      </c>
      <c r="I26" s="342">
        <v>1000</v>
      </c>
      <c r="J26" s="342">
        <v>5981.59</v>
      </c>
      <c r="K26" s="342">
        <v>2720.09</v>
      </c>
      <c r="L26" s="342">
        <v>1000</v>
      </c>
      <c r="M26" s="342">
        <v>0</v>
      </c>
      <c r="N26" s="342">
        <v>700</v>
      </c>
      <c r="O26" s="342">
        <v>700</v>
      </c>
      <c r="P26" s="342">
        <v>0</v>
      </c>
      <c r="Q26" s="342">
        <v>790</v>
      </c>
      <c r="R26" s="342">
        <v>1641.83</v>
      </c>
      <c r="S26" s="342">
        <v>1466.47</v>
      </c>
      <c r="T26" s="342">
        <f t="shared" si="0"/>
        <v>16999.98</v>
      </c>
    </row>
    <row r="27" spans="1:21">
      <c r="A27" s="199" t="s">
        <v>153</v>
      </c>
      <c r="B27" s="199" t="s">
        <v>200</v>
      </c>
      <c r="C27" s="199" t="s">
        <v>148</v>
      </c>
      <c r="D27" s="199" t="s">
        <v>171</v>
      </c>
      <c r="E27" s="199" t="s">
        <v>450</v>
      </c>
      <c r="F27" s="199" t="s">
        <v>449</v>
      </c>
      <c r="G27" s="199">
        <v>2020</v>
      </c>
      <c r="H27" s="342">
        <v>0</v>
      </c>
      <c r="I27" s="342">
        <v>0</v>
      </c>
      <c r="J27" s="342">
        <v>1000</v>
      </c>
      <c r="K27" s="342">
        <v>0</v>
      </c>
      <c r="L27" s="342">
        <v>0</v>
      </c>
      <c r="M27" s="342">
        <v>1000</v>
      </c>
      <c r="N27" s="342">
        <v>0</v>
      </c>
      <c r="O27" s="342">
        <v>0</v>
      </c>
      <c r="P27" s="342">
        <v>1000</v>
      </c>
      <c r="Q27" s="342">
        <v>0</v>
      </c>
      <c r="R27" s="342">
        <v>0</v>
      </c>
      <c r="S27" s="342">
        <v>0</v>
      </c>
      <c r="T27" s="342">
        <f t="shared" si="0"/>
        <v>3000</v>
      </c>
    </row>
    <row r="28" spans="1:21">
      <c r="A28" s="199" t="s">
        <v>153</v>
      </c>
      <c r="B28" s="199" t="s">
        <v>200</v>
      </c>
      <c r="C28" s="199" t="s">
        <v>148</v>
      </c>
      <c r="D28" s="199" t="s">
        <v>525</v>
      </c>
      <c r="E28" s="199" t="s">
        <v>450</v>
      </c>
      <c r="F28" s="199" t="s">
        <v>449</v>
      </c>
      <c r="G28" s="199">
        <v>2020</v>
      </c>
      <c r="H28" s="342">
        <v>0</v>
      </c>
      <c r="I28" s="342">
        <v>0</v>
      </c>
      <c r="J28" s="342">
        <v>167</v>
      </c>
      <c r="K28" s="342">
        <v>0</v>
      </c>
      <c r="L28" s="342">
        <v>0</v>
      </c>
      <c r="M28" s="342">
        <v>167</v>
      </c>
      <c r="N28" s="342">
        <v>0</v>
      </c>
      <c r="O28" s="342">
        <v>0</v>
      </c>
      <c r="P28" s="342">
        <v>167</v>
      </c>
      <c r="Q28" s="342">
        <v>0</v>
      </c>
      <c r="R28" s="342">
        <v>0</v>
      </c>
      <c r="S28" s="342">
        <v>0</v>
      </c>
      <c r="T28" s="342">
        <f t="shared" si="0"/>
        <v>501</v>
      </c>
    </row>
    <row r="29" spans="1:21">
      <c r="A29" s="199" t="s">
        <v>153</v>
      </c>
      <c r="B29" s="199" t="s">
        <v>200</v>
      </c>
      <c r="C29" s="199" t="s">
        <v>148</v>
      </c>
      <c r="D29" s="199" t="s">
        <v>172</v>
      </c>
      <c r="E29" s="199" t="s">
        <v>450</v>
      </c>
      <c r="F29" s="199" t="s">
        <v>449</v>
      </c>
      <c r="G29" s="199">
        <v>2020</v>
      </c>
      <c r="H29" s="342">
        <v>0</v>
      </c>
      <c r="I29" s="342">
        <v>0</v>
      </c>
      <c r="J29" s="342">
        <v>253.88</v>
      </c>
      <c r="K29" s="342">
        <v>0</v>
      </c>
      <c r="L29" s="342">
        <v>0</v>
      </c>
      <c r="M29" s="342">
        <v>253.88</v>
      </c>
      <c r="N29" s="342">
        <v>0</v>
      </c>
      <c r="O29" s="342">
        <v>0</v>
      </c>
      <c r="P29" s="342">
        <v>253.88</v>
      </c>
      <c r="Q29" s="342">
        <v>0</v>
      </c>
      <c r="R29" s="342">
        <v>0</v>
      </c>
      <c r="S29" s="342">
        <v>0</v>
      </c>
      <c r="T29" s="342">
        <f t="shared" si="0"/>
        <v>761.64</v>
      </c>
    </row>
    <row r="30" spans="1:21">
      <c r="A30" s="223" t="s">
        <v>527</v>
      </c>
      <c r="B30" s="223" t="s">
        <v>527</v>
      </c>
      <c r="C30" s="223" t="s">
        <v>528</v>
      </c>
      <c r="D30" s="223" t="s">
        <v>144</v>
      </c>
      <c r="E30" s="223" t="s">
        <v>529</v>
      </c>
      <c r="F30" s="223" t="s">
        <v>530</v>
      </c>
      <c r="G30" s="223" t="s">
        <v>526</v>
      </c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>
        <f t="shared" si="0"/>
        <v>0</v>
      </c>
      <c r="U30" s="359" t="s">
        <v>552</v>
      </c>
    </row>
    <row r="31" spans="1:21">
      <c r="H31" s="357">
        <f>SUM(H2:H30)</f>
        <v>100954.59999999999</v>
      </c>
      <c r="I31" s="357">
        <f t="shared" ref="I31:S31" si="1">SUM(I2:I30)</f>
        <v>96658.5</v>
      </c>
      <c r="J31" s="357">
        <f t="shared" si="1"/>
        <v>103553.65999999999</v>
      </c>
      <c r="K31" s="357">
        <f t="shared" si="1"/>
        <v>100347.77999999997</v>
      </c>
      <c r="L31" s="357">
        <f t="shared" si="1"/>
        <v>94972.700000000026</v>
      </c>
      <c r="M31" s="357">
        <f t="shared" si="1"/>
        <v>97346.030000000028</v>
      </c>
      <c r="N31" s="357">
        <f t="shared" si="1"/>
        <v>100488.25000000001</v>
      </c>
      <c r="O31" s="357">
        <f t="shared" si="1"/>
        <v>106696.70999999998</v>
      </c>
      <c r="P31" s="357">
        <f t="shared" si="1"/>
        <v>101218.24000000001</v>
      </c>
      <c r="Q31" s="357">
        <f t="shared" si="1"/>
        <v>109294.28</v>
      </c>
      <c r="R31" s="357">
        <f t="shared" si="1"/>
        <v>104000.83</v>
      </c>
      <c r="S31" s="357">
        <f t="shared" si="1"/>
        <v>106389.90999999997</v>
      </c>
      <c r="T31" s="357">
        <f>SUM(T2:T30)</f>
        <v>1221921.49</v>
      </c>
    </row>
    <row r="33" spans="1:20">
      <c r="F33" s="210" t="s">
        <v>542</v>
      </c>
      <c r="G33" s="199">
        <v>2020</v>
      </c>
      <c r="H33" s="461">
        <v>191850.95</v>
      </c>
      <c r="I33" s="461">
        <v>109915.09</v>
      </c>
      <c r="J33" s="461">
        <v>77236.679999999993</v>
      </c>
      <c r="K33" s="461">
        <v>89067.53</v>
      </c>
      <c r="L33" s="461">
        <v>200109.46</v>
      </c>
      <c r="M33" s="461">
        <v>82944.179999999993</v>
      </c>
      <c r="N33" s="461">
        <v>127792.47</v>
      </c>
      <c r="O33" s="461">
        <v>102549.29999999999</v>
      </c>
      <c r="P33" s="461">
        <v>144152.28</v>
      </c>
      <c r="Q33" s="461">
        <v>128711.62</v>
      </c>
      <c r="R33" s="461">
        <v>107195.41</v>
      </c>
      <c r="S33" s="461">
        <v>99030.180000000008</v>
      </c>
      <c r="T33" s="357">
        <f t="shared" ref="T33" si="2">SUM(T2:T29)</f>
        <v>1221921.49</v>
      </c>
    </row>
    <row r="34" spans="1:20">
      <c r="A34" s="1596" t="s">
        <v>623</v>
      </c>
      <c r="B34" s="1596"/>
      <c r="C34" s="1596"/>
      <c r="D34" s="1596"/>
      <c r="F34" s="210" t="s">
        <v>543</v>
      </c>
      <c r="G34" s="199">
        <v>2020</v>
      </c>
      <c r="H34" s="461">
        <f>H30</f>
        <v>0</v>
      </c>
      <c r="I34" s="461">
        <f t="shared" ref="I34:T34" si="3">I30</f>
        <v>0</v>
      </c>
      <c r="J34" s="461">
        <f t="shared" si="3"/>
        <v>0</v>
      </c>
      <c r="K34" s="461">
        <f t="shared" si="3"/>
        <v>0</v>
      </c>
      <c r="L34" s="461">
        <f t="shared" si="3"/>
        <v>0</v>
      </c>
      <c r="M34" s="461">
        <f t="shared" si="3"/>
        <v>0</v>
      </c>
      <c r="N34" s="461">
        <f t="shared" si="3"/>
        <v>0</v>
      </c>
      <c r="O34" s="461">
        <f t="shared" si="3"/>
        <v>0</v>
      </c>
      <c r="P34" s="461">
        <f t="shared" si="3"/>
        <v>0</v>
      </c>
      <c r="Q34" s="461">
        <f t="shared" si="3"/>
        <v>0</v>
      </c>
      <c r="R34" s="461">
        <f t="shared" si="3"/>
        <v>0</v>
      </c>
      <c r="S34" s="461">
        <f t="shared" si="3"/>
        <v>0</v>
      </c>
      <c r="T34" s="357">
        <f t="shared" si="3"/>
        <v>0</v>
      </c>
    </row>
    <row r="35" spans="1:20" ht="12.95" customHeight="1">
      <c r="A35" s="1596"/>
      <c r="B35" s="1596"/>
      <c r="C35" s="1596"/>
      <c r="D35" s="1596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</row>
    <row r="36" spans="1:20">
      <c r="A36" s="1596"/>
      <c r="B36" s="1596"/>
      <c r="C36" s="1596"/>
      <c r="D36" s="1596"/>
      <c r="F36" s="210" t="s">
        <v>533</v>
      </c>
      <c r="G36" s="199">
        <v>2020</v>
      </c>
      <c r="H36" s="462">
        <v>68347</v>
      </c>
      <c r="I36" s="462">
        <v>68347</v>
      </c>
      <c r="J36" s="462">
        <v>68347</v>
      </c>
      <c r="K36" s="462">
        <v>68347</v>
      </c>
      <c r="L36" s="462">
        <v>68347</v>
      </c>
      <c r="M36" s="462">
        <v>68347</v>
      </c>
      <c r="N36" s="462">
        <v>68347</v>
      </c>
      <c r="O36" s="462">
        <v>68347</v>
      </c>
      <c r="P36" s="462">
        <v>68347</v>
      </c>
      <c r="Q36" s="462">
        <v>68347</v>
      </c>
      <c r="R36" s="462">
        <v>68347</v>
      </c>
      <c r="S36" s="462">
        <v>68347</v>
      </c>
      <c r="T36" s="342">
        <f>SUM(H36:S36)</f>
        <v>820164</v>
      </c>
    </row>
    <row r="37" spans="1:20">
      <c r="F37" s="210" t="s">
        <v>416</v>
      </c>
      <c r="G37" s="199">
        <v>2020</v>
      </c>
      <c r="H37" s="461">
        <v>20186.2</v>
      </c>
      <c r="I37" s="461">
        <v>20186.2</v>
      </c>
      <c r="J37" s="461">
        <v>20186.2</v>
      </c>
      <c r="K37" s="461">
        <v>20186.2</v>
      </c>
      <c r="L37" s="461">
        <v>20186.2</v>
      </c>
      <c r="M37" s="461">
        <v>20186.2</v>
      </c>
      <c r="N37" s="461">
        <v>20186.2</v>
      </c>
      <c r="O37" s="461">
        <v>20186.2</v>
      </c>
      <c r="P37" s="461">
        <v>20186.2</v>
      </c>
      <c r="Q37" s="461">
        <v>20186.2</v>
      </c>
      <c r="R37" s="461">
        <v>64595</v>
      </c>
      <c r="S37" s="461">
        <v>64595</v>
      </c>
      <c r="T37" s="342">
        <f>SUM(H37:S37)</f>
        <v>331052</v>
      </c>
    </row>
  </sheetData>
  <mergeCells count="1">
    <mergeCell ref="A34:D36"/>
  </mergeCells>
  <pageMargins left="0.75" right="0.75" top="1" bottom="1" header="0.5" footer="0.5"/>
  <pageSetup scale="67" orientation="landscape" r:id="rId1"/>
  <headerFooter>
    <oddFooter>&amp;L&amp;1#&amp;"Calibri"&amp;14&amp;K000000Business Use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E941C-B684-4D56-A741-3CAB91C5FC3E}">
  <sheetPr>
    <tabColor rgb="FFD8E4BC"/>
  </sheetPr>
  <dimension ref="A1"/>
  <sheetViews>
    <sheetView showGridLines="0"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FB86-159C-44AD-849B-AA80AFEC6AAF}">
  <sheetPr>
    <tabColor theme="6" tint="0.39997558519241921"/>
  </sheetPr>
  <dimension ref="A1:P25"/>
  <sheetViews>
    <sheetView workbookViewId="0"/>
  </sheetViews>
  <sheetFormatPr defaultColWidth="8.85546875" defaultRowHeight="12.75"/>
  <cols>
    <col min="1" max="1" width="26.42578125" style="404" bestFit="1" customWidth="1"/>
    <col min="2" max="14" width="14" style="404" bestFit="1" customWidth="1"/>
    <col min="15" max="16384" width="8.85546875" style="404"/>
  </cols>
  <sheetData>
    <row r="1" spans="1:16">
      <c r="A1" s="404" t="s">
        <v>563</v>
      </c>
    </row>
    <row r="2" spans="1:16">
      <c r="A2" s="404" t="s">
        <v>639</v>
      </c>
      <c r="F2" s="513" t="s">
        <v>688</v>
      </c>
    </row>
    <row r="3" spans="1:16">
      <c r="A3" s="404" t="s">
        <v>564</v>
      </c>
    </row>
    <row r="5" spans="1:16">
      <c r="A5" s="472" t="s">
        <v>640</v>
      </c>
      <c r="B5" s="405">
        <v>43831</v>
      </c>
      <c r="C5" s="405">
        <v>43862</v>
      </c>
      <c r="D5" s="405">
        <v>43891</v>
      </c>
      <c r="E5" s="405">
        <v>43922</v>
      </c>
      <c r="F5" s="405">
        <v>43952</v>
      </c>
      <c r="G5" s="405">
        <v>43983</v>
      </c>
      <c r="H5" s="405">
        <v>44013</v>
      </c>
      <c r="I5" s="405">
        <v>44044</v>
      </c>
      <c r="J5" s="405">
        <v>44075</v>
      </c>
      <c r="K5" s="405">
        <v>44105</v>
      </c>
      <c r="L5" s="405">
        <v>44136</v>
      </c>
      <c r="M5" s="405">
        <v>44166</v>
      </c>
      <c r="N5" s="406" t="s">
        <v>3</v>
      </c>
    </row>
    <row r="6" spans="1:16">
      <c r="A6" s="404" t="s">
        <v>248</v>
      </c>
      <c r="B6" s="523"/>
      <c r="C6" s="523"/>
      <c r="D6" s="523"/>
      <c r="E6" s="523"/>
      <c r="F6" s="523"/>
      <c r="G6" s="523"/>
      <c r="H6" s="523"/>
      <c r="I6" s="523">
        <v>87326.15</v>
      </c>
      <c r="J6" s="523"/>
      <c r="K6" s="523"/>
      <c r="L6" s="523"/>
      <c r="M6" s="523"/>
      <c r="N6" s="470">
        <f>SUM(B6:M6)</f>
        <v>87326.15</v>
      </c>
      <c r="P6" s="404" t="s">
        <v>788</v>
      </c>
    </row>
    <row r="7" spans="1:16">
      <c r="A7" s="404" t="s">
        <v>323</v>
      </c>
      <c r="B7" s="522"/>
      <c r="C7" s="522"/>
      <c r="D7" s="522"/>
      <c r="E7" s="522"/>
      <c r="F7" s="522"/>
      <c r="G7" s="522"/>
      <c r="H7" s="522"/>
      <c r="I7" s="522"/>
      <c r="J7" s="522"/>
      <c r="K7" s="522">
        <v>215742.57</v>
      </c>
      <c r="L7" s="522"/>
      <c r="M7" s="522"/>
      <c r="N7" s="470">
        <f>SUM(B7:M7)</f>
        <v>215742.57</v>
      </c>
      <c r="P7" s="404" t="s">
        <v>788</v>
      </c>
    </row>
    <row r="8" spans="1:16">
      <c r="A8" s="404" t="s">
        <v>70</v>
      </c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>
        <f>SUM(B8:M8)</f>
        <v>0</v>
      </c>
    </row>
    <row r="9" spans="1:16">
      <c r="A9" s="404" t="s">
        <v>71</v>
      </c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>
        <f>SUM(B9:M9)</f>
        <v>0</v>
      </c>
    </row>
    <row r="10" spans="1:16">
      <c r="A10" s="404" t="s">
        <v>554</v>
      </c>
      <c r="B10" s="523"/>
      <c r="C10" s="523"/>
      <c r="D10" s="523"/>
      <c r="E10" s="523"/>
      <c r="F10" s="523"/>
      <c r="G10" s="523"/>
      <c r="H10" s="523"/>
      <c r="I10" s="523">
        <v>63255.53</v>
      </c>
      <c r="J10" s="523"/>
      <c r="K10" s="523"/>
      <c r="L10" s="523"/>
      <c r="M10" s="523"/>
      <c r="N10" s="470">
        <f>SUM(B10:M10)</f>
        <v>63255.53</v>
      </c>
      <c r="P10" s="404" t="s">
        <v>789</v>
      </c>
    </row>
    <row r="11" spans="1:16">
      <c r="A11" s="404" t="s">
        <v>3</v>
      </c>
      <c r="B11" s="471">
        <f>SUM(B6:B10)</f>
        <v>0</v>
      </c>
      <c r="C11" s="471">
        <f t="shared" ref="C11:N11" si="0">SUM(C6:C10)</f>
        <v>0</v>
      </c>
      <c r="D11" s="471">
        <f t="shared" si="0"/>
        <v>0</v>
      </c>
      <c r="E11" s="471">
        <f t="shared" si="0"/>
        <v>0</v>
      </c>
      <c r="F11" s="471">
        <f t="shared" si="0"/>
        <v>0</v>
      </c>
      <c r="G11" s="471">
        <f t="shared" si="0"/>
        <v>0</v>
      </c>
      <c r="H11" s="471">
        <f t="shared" si="0"/>
        <v>0</v>
      </c>
      <c r="I11" s="471">
        <f t="shared" si="0"/>
        <v>150581.68</v>
      </c>
      <c r="J11" s="471">
        <f t="shared" si="0"/>
        <v>0</v>
      </c>
      <c r="K11" s="471">
        <f t="shared" si="0"/>
        <v>215742.57</v>
      </c>
      <c r="L11" s="471">
        <f t="shared" si="0"/>
        <v>0</v>
      </c>
      <c r="M11" s="471">
        <f t="shared" si="0"/>
        <v>0</v>
      </c>
      <c r="N11" s="471">
        <f t="shared" si="0"/>
        <v>366324.25</v>
      </c>
    </row>
    <row r="16" spans="1:16">
      <c r="A16" s="472" t="s">
        <v>641</v>
      </c>
      <c r="B16" s="405">
        <v>43831</v>
      </c>
      <c r="C16" s="405">
        <v>43862</v>
      </c>
      <c r="D16" s="405">
        <v>43891</v>
      </c>
      <c r="E16" s="405">
        <v>43922</v>
      </c>
      <c r="F16" s="405">
        <v>43952</v>
      </c>
      <c r="G16" s="405">
        <v>43983</v>
      </c>
      <c r="H16" s="405">
        <v>44013</v>
      </c>
      <c r="I16" s="405">
        <v>44044</v>
      </c>
      <c r="J16" s="405">
        <v>44075</v>
      </c>
      <c r="K16" s="405">
        <v>44105</v>
      </c>
      <c r="L16" s="405">
        <v>44136</v>
      </c>
      <c r="M16" s="405">
        <v>44166</v>
      </c>
      <c r="N16" s="406" t="s">
        <v>3</v>
      </c>
    </row>
    <row r="17" spans="1:16">
      <c r="A17" s="404" t="s">
        <v>248</v>
      </c>
      <c r="B17" s="523"/>
      <c r="C17" s="523"/>
      <c r="D17" s="523"/>
      <c r="E17" s="523"/>
      <c r="F17" s="523"/>
      <c r="G17" s="523"/>
      <c r="H17" s="523"/>
      <c r="I17" s="523">
        <v>-87326</v>
      </c>
      <c r="J17" s="523"/>
      <c r="K17" s="523"/>
      <c r="L17" s="523"/>
      <c r="M17" s="523"/>
      <c r="N17" s="470">
        <f>SUM(B17:M17)</f>
        <v>-87326</v>
      </c>
      <c r="P17" s="404" t="s">
        <v>788</v>
      </c>
    </row>
    <row r="18" spans="1:16">
      <c r="A18" s="404" t="s">
        <v>323</v>
      </c>
      <c r="B18" s="522"/>
      <c r="C18" s="522"/>
      <c r="D18" s="522"/>
      <c r="E18" s="522"/>
      <c r="F18" s="522"/>
      <c r="G18" s="522"/>
      <c r="H18" s="522"/>
      <c r="I18" s="522"/>
      <c r="J18" s="522"/>
      <c r="K18" s="522">
        <v>-185304.93</v>
      </c>
      <c r="L18" s="522"/>
      <c r="M18" s="522"/>
      <c r="N18" s="470">
        <f>SUM(B18:M18)</f>
        <v>-185304.93</v>
      </c>
      <c r="P18" s="404" t="s">
        <v>788</v>
      </c>
    </row>
    <row r="19" spans="1:16">
      <c r="A19" s="404" t="s">
        <v>70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>
        <f>SUM(B19:M19)</f>
        <v>0</v>
      </c>
    </row>
    <row r="20" spans="1:16">
      <c r="A20" s="404" t="s">
        <v>71</v>
      </c>
      <c r="B20" s="470"/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>
        <f>SUM(B20:M20)</f>
        <v>0</v>
      </c>
    </row>
    <row r="21" spans="1:16">
      <c r="A21" s="404" t="s">
        <v>554</v>
      </c>
      <c r="B21" s="523"/>
      <c r="C21" s="523"/>
      <c r="D21" s="523"/>
      <c r="E21" s="523"/>
      <c r="F21" s="523"/>
      <c r="G21" s="523"/>
      <c r="H21" s="523"/>
      <c r="I21" s="523">
        <v>-63255.53</v>
      </c>
      <c r="J21" s="523"/>
      <c r="K21" s="523"/>
      <c r="L21" s="523"/>
      <c r="M21" s="523"/>
      <c r="N21" s="470">
        <f>SUM(B21:M21)</f>
        <v>-63255.53</v>
      </c>
      <c r="P21" s="404" t="s">
        <v>788</v>
      </c>
    </row>
    <row r="22" spans="1:16">
      <c r="A22" s="404" t="s">
        <v>3</v>
      </c>
      <c r="B22" s="471">
        <f>SUM(B17:B21)</f>
        <v>0</v>
      </c>
      <c r="C22" s="471">
        <f t="shared" ref="C22" si="1">SUM(C17:C21)</f>
        <v>0</v>
      </c>
      <c r="D22" s="471">
        <f t="shared" ref="D22" si="2">SUM(D17:D21)</f>
        <v>0</v>
      </c>
      <c r="E22" s="471">
        <f t="shared" ref="E22" si="3">SUM(E17:E21)</f>
        <v>0</v>
      </c>
      <c r="F22" s="471">
        <f t="shared" ref="F22" si="4">SUM(F17:F21)</f>
        <v>0</v>
      </c>
      <c r="G22" s="471">
        <f t="shared" ref="G22" si="5">SUM(G17:G21)</f>
        <v>0</v>
      </c>
      <c r="H22" s="471">
        <f t="shared" ref="H22" si="6">SUM(H17:H21)</f>
        <v>0</v>
      </c>
      <c r="I22" s="471">
        <f t="shared" ref="I22" si="7">SUM(I17:I21)</f>
        <v>-150581.53</v>
      </c>
      <c r="J22" s="471">
        <f t="shared" ref="J22" si="8">SUM(J17:J21)</f>
        <v>0</v>
      </c>
      <c r="K22" s="471">
        <f t="shared" ref="K22" si="9">SUM(K17:K21)</f>
        <v>-185304.93</v>
      </c>
      <c r="L22" s="471">
        <f t="shared" ref="L22" si="10">SUM(L17:L21)</f>
        <v>0</v>
      </c>
      <c r="M22" s="471">
        <f t="shared" ref="M22" si="11">SUM(M17:M21)</f>
        <v>0</v>
      </c>
      <c r="N22" s="471">
        <f t="shared" ref="N22" si="12">SUM(N17:N21)</f>
        <v>-335886.45999999996</v>
      </c>
    </row>
    <row r="23" spans="1:16" ht="15.75">
      <c r="A23" s="26"/>
    </row>
    <row r="24" spans="1:16" ht="15.75">
      <c r="A24" s="385"/>
    </row>
    <row r="25" spans="1:16" ht="15.75">
      <c r="A25" s="383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  <pageSetUpPr fitToPage="1"/>
  </sheetPr>
  <dimension ref="A1:AJ1048576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15">
        <v>2018</v>
      </c>
      <c r="E6" s="95">
        <v>2019</v>
      </c>
      <c r="F6" s="95">
        <f>$E$6</f>
        <v>2019</v>
      </c>
      <c r="G6" s="95">
        <f>$E$6</f>
        <v>2019</v>
      </c>
      <c r="H6" s="95">
        <f>$E$6</f>
        <v>2019</v>
      </c>
      <c r="I6" s="95">
        <f>$E$6</f>
        <v>2019</v>
      </c>
      <c r="J6" s="95">
        <f>$E$6</f>
        <v>2019</v>
      </c>
      <c r="K6" s="95">
        <f t="shared" ref="K6:Q6" si="0">$E$6</f>
        <v>2019</v>
      </c>
      <c r="L6" s="95">
        <f t="shared" si="0"/>
        <v>2019</v>
      </c>
      <c r="M6" s="95">
        <f t="shared" si="0"/>
        <v>2019</v>
      </c>
      <c r="N6" s="95">
        <f t="shared" si="0"/>
        <v>2019</v>
      </c>
      <c r="O6" s="95">
        <f t="shared" si="0"/>
        <v>2019</v>
      </c>
      <c r="P6" s="95">
        <f t="shared" si="0"/>
        <v>2019</v>
      </c>
      <c r="Q6" s="133">
        <f t="shared" si="0"/>
        <v>2019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28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412</v>
      </c>
      <c r="D11" s="284">
        <f>'Rev Req 2018-Distr'!P11</f>
        <v>35115997.550000004</v>
      </c>
      <c r="E11" s="285">
        <f>SUM('201901 Bk Depr'!R13,'201901 Bk Depr'!R14:R16,'201901 Bk Depr'!R20,'201901 Bk Depr'!R21:R22)</f>
        <v>35883592.280000001</v>
      </c>
      <c r="F11" s="285">
        <f>SUM('201902 Bk Depr'!R13,'201902 Bk Depr'!R14:R16,'201902 Bk Depr'!R20,'201902 Bk Depr'!R21:R22)</f>
        <v>36492977.160000004</v>
      </c>
      <c r="G11" s="285">
        <f>SUM('201903 Bk Depr'!R13,'201903 Bk Depr'!R14:R16,'201903 Bk Depr'!R20,'201903 Bk Depr'!R21:R22)</f>
        <v>37982216.370000005</v>
      </c>
      <c r="H11" s="285">
        <f>SUM('201904 Bk Depr'!R13,'201904 Bk Depr'!R14:R16,'201904 Bk Depr'!R20,'201904 Bk Depr'!R21:R22)</f>
        <v>41956291.920000002</v>
      </c>
      <c r="I11" s="285">
        <f>SUM('201905 Bk Depr'!R13,'201905 Bk Depr'!R14:R16,'201905 Bk Depr'!R20,'201905 Bk Depr'!R21:R22)</f>
        <v>43708828.920000002</v>
      </c>
      <c r="J11" s="285">
        <f>SUM('201906 Bk Depr'!R13,'201906 Bk Depr'!R14:R16,'201906 Bk Depr'!R20,'201906 Bk Depr'!R21:R22)</f>
        <v>45526302.380000003</v>
      </c>
      <c r="K11" s="285">
        <f>SUM('201907 Bk Depr'!R13,'201907 Bk Depr'!R14:R16,'201907 Bk Depr'!R20,'201907 Bk Depr'!R21:R22)</f>
        <v>47157804.270000003</v>
      </c>
      <c r="L11" s="285">
        <f>SUM('201908 Bk Depr'!R13,'201908 Bk Depr'!R14:R16,'201908 Bk Depr'!R20,'201908 Bk Depr'!R21:R22)</f>
        <v>48795483.160000004</v>
      </c>
      <c r="M11" s="285">
        <f>SUM('201909 Bk Depr'!R13,'201909 Bk Depr'!R14:R16,'201909 Bk Depr'!R20,'201909 Bk Depr'!R21:R22)</f>
        <v>50551755.920000002</v>
      </c>
      <c r="N11" s="285">
        <f>SUM('201910 Bk Depr'!R13,'201910 Bk Depr'!R14:R16,'201910 Bk Depr'!R20,'201910 Bk Depr'!R21:R22)</f>
        <v>52204029.25</v>
      </c>
      <c r="O11" s="285">
        <f>SUM('201911 Bk Depr'!R13,'201911 Bk Depr'!R14:R16,'201911 Bk Depr'!R20,'201911 Bk Depr'!R21:R22)</f>
        <v>54138786.820000008</v>
      </c>
      <c r="P11" s="285">
        <f>SUM('201912 Bk Depr'!R13,'201912 Bk Depr'!R14:R16,'201912 Bk Depr'!R20,'201912 Bk Depr'!R21:R22)</f>
        <v>55802508.359999999</v>
      </c>
      <c r="Q11" s="286">
        <f>AVERAGE(D11:P11)</f>
        <v>45024351.873846158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f>'201812 Bk Depr'!R31</f>
        <v>3466154.7800000003</v>
      </c>
      <c r="E12" s="285">
        <f>SUM('201901 Bk Depr'!R28,'201901 Bk Depr'!R29:R30)</f>
        <v>3771412.14</v>
      </c>
      <c r="F12" s="285">
        <f>SUM('201902 Bk Depr'!R28,'201902 Bk Depr'!R29:R30)</f>
        <v>3942589.82</v>
      </c>
      <c r="G12" s="285">
        <f>SUM('201903 Bk Depr'!R28,'201903 Bk Depr'!R29:R30)</f>
        <v>4127777.28</v>
      </c>
      <c r="H12" s="285">
        <f>SUM('201904 Bk Depr'!R28,'201904 Bk Depr'!R29:R30)</f>
        <v>4500793.04</v>
      </c>
      <c r="I12" s="285">
        <f>SUM('201905 Bk Depr'!R28,'201905 Bk Depr'!R29:R30)</f>
        <v>4893125.6100000003</v>
      </c>
      <c r="J12" s="285">
        <f>SUM('201906 Bk Depr'!R28,'201906 Bk Depr'!R29:R30)</f>
        <v>5343996.8600000003</v>
      </c>
      <c r="K12" s="285">
        <f>SUM('201907 Bk Depr'!R28,'201907 Bk Depr'!R29:R30)</f>
        <v>5728715.1799999997</v>
      </c>
      <c r="L12" s="285">
        <f>SUM('201908 Bk Depr'!R28,'201908 Bk Depr'!R29:R30)</f>
        <v>6102920.8499999996</v>
      </c>
      <c r="M12" s="285">
        <f>SUM('201909 Bk Depr'!R28,'201909 Bk Depr'!R29:R30)</f>
        <v>6571139.8199999994</v>
      </c>
      <c r="N12" s="285">
        <f>SUM('201910 Bk Depr'!R28,'201910 Bk Depr'!R29:R30)</f>
        <v>6984604.5799999991</v>
      </c>
      <c r="O12" s="285">
        <f>SUM('201911 Bk Depr'!R28,'201911 Bk Depr'!R29:R30)</f>
        <v>7487648.1899999995</v>
      </c>
      <c r="P12" s="285">
        <f>SUM('201912 Bk Depr'!R28,'201912 Bk Depr'!R29:R30)</f>
        <v>8089722.0599999996</v>
      </c>
      <c r="Q12" s="286">
        <f>AVERAGE(D12:P12)</f>
        <v>5462353.8623076919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92">
        <f>'Rev Req 2018-Distr'!P13</f>
        <v>-875631.05568375043</v>
      </c>
      <c r="E13" s="293">
        <f>-'Cap&amp;OpEx 2019'!C23-SUM('201901 Bk Depr'!P13,'201901 Bk Depr'!P14:P16)+D13</f>
        <v>-961776.73846500041</v>
      </c>
      <c r="F13" s="293">
        <f>-'Cap&amp;OpEx 2019'!C23-SUM('201902 Bk Depr'!P13,'201902 Bk Depr'!P14:P16)+E13</f>
        <v>-1049772.9643845004</v>
      </c>
      <c r="G13" s="293">
        <f>-'Cap&amp;OpEx 2019'!C23-SUM('201903 Bk Depr'!P13,'201903 Bk Depr'!P14:P16)+F13</f>
        <v>-1140592.4320470004</v>
      </c>
      <c r="H13" s="293">
        <f>-'Cap&amp;OpEx 2019'!C23-SUM('201904 Bk Depr'!P13,'201904 Bk Depr'!P14:P16)+G13</f>
        <v>-1238761.1011312504</v>
      </c>
      <c r="I13" s="293">
        <f>-'Cap&amp;OpEx 2019'!C23-SUM('201905 Bk Depr'!P13,'201905 Bk Depr'!P14:P16)+H13</f>
        <v>-1344620.5994647504</v>
      </c>
      <c r="J13" s="293">
        <f>-'Cap&amp;OpEx 2019'!C23-SUM('201906 Bk Depr'!P13,'201906 Bk Depr'!P14:P16)+I13</f>
        <v>-1455271.4297715004</v>
      </c>
      <c r="K13" s="293">
        <f>-'Cap&amp;OpEx 2019'!C23-SUM('201907 Bk Depr'!P13,'201907 Bk Depr'!P14:P16)+J13</f>
        <v>-1570548.2366265005</v>
      </c>
      <c r="L13" s="293">
        <f>-'Cap&amp;OpEx 2019'!C23-SUM('201908 Bk Depr'!P13,'201908 Bk Depr'!P14:P16)+K13</f>
        <v>-1690207.7984070005</v>
      </c>
      <c r="M13" s="293">
        <f>-'Cap&amp;OpEx 2019'!C23-SUM('201909 Bk Depr'!P13,'201909 Bk Depr'!P14:P16)+L13</f>
        <v>-1814421.5389972506</v>
      </c>
      <c r="N13" s="293">
        <f>-'Cap&amp;OpEx 2019'!C23-SUM('201910 Bk Depr'!P13,'201910 Bk Depr'!P14:P16)+M13</f>
        <v>-1943210.4620752507</v>
      </c>
      <c r="O13" s="293">
        <f>-'Cap&amp;OpEx 2019'!C23-SUM('201911 Bk Depr'!P13,'201911 Bk Depr'!P14:P16)+N13</f>
        <v>-2076774.4082085006</v>
      </c>
      <c r="P13" s="293">
        <f>-'Cap&amp;OpEx 2019'!C23-SUM('201912 Bk Depr'!P13,'201912 Bk Depr'!P14:P16)+O13</f>
        <v>-2215132.9283872508</v>
      </c>
      <c r="Q13" s="291">
        <f>AVERAGE(D13:P13)</f>
        <v>-1490517.0533576543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24">
        <f t="shared" ref="D14:Q14" si="1">SUM(D11:D13)</f>
        <v>37706521.274316259</v>
      </c>
      <c r="E14" s="285">
        <f t="shared" si="1"/>
        <v>38693227.681534998</v>
      </c>
      <c r="F14" s="285">
        <f t="shared" si="1"/>
        <v>39385794.015615501</v>
      </c>
      <c r="G14" s="285">
        <f t="shared" si="1"/>
        <v>40969401.217953004</v>
      </c>
      <c r="H14" s="285">
        <f t="shared" si="1"/>
        <v>45218323.858868748</v>
      </c>
      <c r="I14" s="285">
        <f t="shared" si="1"/>
        <v>47257333.930535249</v>
      </c>
      <c r="J14" s="285">
        <f t="shared" si="1"/>
        <v>49415027.810228504</v>
      </c>
      <c r="K14" s="285">
        <f t="shared" si="1"/>
        <v>51315971.213373505</v>
      </c>
      <c r="L14" s="285">
        <f t="shared" si="1"/>
        <v>53208196.211593002</v>
      </c>
      <c r="M14" s="285">
        <f t="shared" si="1"/>
        <v>55308474.201002754</v>
      </c>
      <c r="N14" s="285">
        <f t="shared" si="1"/>
        <v>57245423.36792475</v>
      </c>
      <c r="O14" s="285">
        <f t="shared" si="1"/>
        <v>59549660.601791501</v>
      </c>
      <c r="P14" s="285">
        <f t="shared" si="1"/>
        <v>61677097.491612747</v>
      </c>
      <c r="Q14" s="286">
        <f t="shared" si="1"/>
        <v>48996188.682796195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92">
        <f>'Rev Req 2018-Distr'!P16</f>
        <v>-5841052.2488318319</v>
      </c>
      <c r="E16" s="293">
        <f>-'Tax Depr 2019'!R17</f>
        <v>-6057699.6699651945</v>
      </c>
      <c r="F16" s="293">
        <f>-'Tax Depr 2019'!R18</f>
        <v>-6168978.5272605643</v>
      </c>
      <c r="G16" s="293">
        <f>-'Tax Depr 2019'!R19</f>
        <v>-6492185.4029225549</v>
      </c>
      <c r="H16" s="293">
        <f>-'Tax Depr 2019'!R20</f>
        <v>-6822913.4913147558</v>
      </c>
      <c r="I16" s="293">
        <f>-'Tax Depr 2019'!R21</f>
        <v>-7101210.783692644</v>
      </c>
      <c r="J16" s="293">
        <f>-'Tax Depr 2019'!R22</f>
        <v>-7355522.4084536443</v>
      </c>
      <c r="K16" s="293">
        <f>-'Tax Depr 2019'!R23</f>
        <v>-7592381.3503938559</v>
      </c>
      <c r="L16" s="293">
        <f>-'Tax Depr 2019'!R24</f>
        <v>-7808954.76789378</v>
      </c>
      <c r="M16" s="293">
        <f>-'Tax Depr 2019'!R25</f>
        <v>-8068037.1549068596</v>
      </c>
      <c r="N16" s="293">
        <f>-'Tax Depr 2019'!R26</f>
        <v>-8298930.4495899957</v>
      </c>
      <c r="O16" s="293">
        <f>-'Tax Depr 2019'!R27</f>
        <v>-8521084.399694657</v>
      </c>
      <c r="P16" s="293">
        <f>-'Tax Depr 2019'!R28</f>
        <v>-8790723.2920829672</v>
      </c>
      <c r="Q16" s="291">
        <f>AVERAGE(D16:P16)</f>
        <v>-7301513.380538715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284">
        <f t="shared" ref="D18:Q18" si="2">SUM(D14:D16)</f>
        <v>31865469.025484428</v>
      </c>
      <c r="E18" s="285">
        <f>SUM(E14:E16)</f>
        <v>32635528.011569805</v>
      </c>
      <c r="F18" s="285">
        <f t="shared" si="2"/>
        <v>33216815.488354936</v>
      </c>
      <c r="G18" s="285">
        <f t="shared" si="2"/>
        <v>34477215.815030448</v>
      </c>
      <c r="H18" s="285">
        <f t="shared" si="2"/>
        <v>38395410.367553994</v>
      </c>
      <c r="I18" s="285">
        <f t="shared" si="2"/>
        <v>40156123.146842606</v>
      </c>
      <c r="J18" s="285">
        <f t="shared" si="2"/>
        <v>42059505.401774861</v>
      </c>
      <c r="K18" s="285">
        <f t="shared" si="2"/>
        <v>43723589.86297965</v>
      </c>
      <c r="L18" s="285">
        <f t="shared" si="2"/>
        <v>45399241.443699226</v>
      </c>
      <c r="M18" s="285">
        <f t="shared" si="2"/>
        <v>47240437.046095893</v>
      </c>
      <c r="N18" s="285">
        <f t="shared" si="2"/>
        <v>48946492.918334752</v>
      </c>
      <c r="O18" s="285">
        <f t="shared" si="2"/>
        <v>51028576.202096842</v>
      </c>
      <c r="P18" s="285">
        <f t="shared" si="2"/>
        <v>52886374.199529782</v>
      </c>
      <c r="Q18" s="286">
        <f t="shared" si="2"/>
        <v>41694675.302257478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7.2333333333333338E-3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8.8400000000000006E-2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15">
        <f t="shared" ref="D22:Q22" si="3">D18*D20</f>
        <v>230493.55928433739</v>
      </c>
      <c r="E22" s="316">
        <f>E18*E20</f>
        <v>236063.65261702161</v>
      </c>
      <c r="F22" s="316">
        <f t="shared" si="3"/>
        <v>240268.29869910073</v>
      </c>
      <c r="G22" s="316">
        <f t="shared" si="3"/>
        <v>249385.19439538693</v>
      </c>
      <c r="H22" s="316">
        <f t="shared" si="3"/>
        <v>277726.80165864056</v>
      </c>
      <c r="I22" s="316">
        <f t="shared" si="3"/>
        <v>298493.84872486338</v>
      </c>
      <c r="J22" s="316">
        <f t="shared" si="3"/>
        <v>312642.3234865265</v>
      </c>
      <c r="K22" s="316">
        <f t="shared" si="3"/>
        <v>325012.01798148209</v>
      </c>
      <c r="L22" s="316">
        <f t="shared" si="3"/>
        <v>337467.69473149756</v>
      </c>
      <c r="M22" s="316">
        <f t="shared" si="3"/>
        <v>351153.9153759795</v>
      </c>
      <c r="N22" s="316">
        <f t="shared" si="3"/>
        <v>363835.59735962166</v>
      </c>
      <c r="O22" s="316">
        <f t="shared" si="3"/>
        <v>379312.41643558652</v>
      </c>
      <c r="P22" s="316">
        <f t="shared" si="3"/>
        <v>393122.04821650474</v>
      </c>
      <c r="Q22" s="317">
        <f t="shared" si="3"/>
        <v>3685809.2967195613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284">
        <f>'Rev Req 2018-Distr'!P25</f>
        <v>83420.177508000022</v>
      </c>
      <c r="E25" s="285">
        <f>'201901 Bk Depr'!P25</f>
        <v>86145.682781250041</v>
      </c>
      <c r="F25" s="285">
        <f>'201902 Bk Depr'!P25</f>
        <v>87996.225919500022</v>
      </c>
      <c r="G25" s="285">
        <f>'201903 Bk Depr'!P25</f>
        <v>90819.467662500028</v>
      </c>
      <c r="H25" s="285">
        <f>'201904 Bk Depr'!P25</f>
        <v>98168.669084250025</v>
      </c>
      <c r="I25" s="285">
        <f>'201905 Bk Depr'!P25</f>
        <v>105859.49833350003</v>
      </c>
      <c r="J25" s="285">
        <f>'201906 Bk Depr'!P25</f>
        <v>110650.83030675002</v>
      </c>
      <c r="K25" s="285">
        <f>'201907 Bk Depr'!P25</f>
        <v>115276.80685500003</v>
      </c>
      <c r="L25" s="285">
        <f>'201908 Bk Depr'!P25</f>
        <v>119659.56178050005</v>
      </c>
      <c r="M25" s="285">
        <f>'201909 Bk Depr'!P25</f>
        <v>124213.74059025005</v>
      </c>
      <c r="N25" s="285">
        <f>'201910 Bk Depr'!P25</f>
        <v>128788.92307800002</v>
      </c>
      <c r="O25" s="285">
        <f>'201911 Bk Depr'!P25</f>
        <v>133563.94613325002</v>
      </c>
      <c r="P25" s="285">
        <f>'201912 Bk Depr'!P25</f>
        <v>138358.52017875004</v>
      </c>
      <c r="Q25" s="286">
        <f>SUM(E25:P25)</f>
        <v>1339501.8727035001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284">
        <f>'Rev Req 2018-Distr'!P26</f>
        <v>177111.56000000003</v>
      </c>
      <c r="E26" s="285">
        <f>'Cap&amp;OpEx 2019'!C31</f>
        <v>13468.560000000001</v>
      </c>
      <c r="F26" s="285">
        <f>'Cap&amp;OpEx 2019'!D31</f>
        <v>-994.94999999999709</v>
      </c>
      <c r="G26" s="285">
        <f>'Cap&amp;OpEx 2019'!E31</f>
        <v>7399.9800000000114</v>
      </c>
      <c r="H26" s="285">
        <f>'Cap&amp;OpEx 2019'!F31</f>
        <v>23537.760000000009</v>
      </c>
      <c r="I26" s="285">
        <f>'Cap&amp;OpEx 2019'!G31</f>
        <v>154764.51</v>
      </c>
      <c r="J26" s="285">
        <f>'Cap&amp;OpEx 2019'!H31</f>
        <v>138836.32</v>
      </c>
      <c r="K26" s="285">
        <f>'Cap&amp;OpEx 2019'!I31</f>
        <v>70058.930000000008</v>
      </c>
      <c r="L26" s="285">
        <f>'Cap&amp;OpEx 2019'!J31</f>
        <v>75650.09</v>
      </c>
      <c r="M26" s="285">
        <f>'Cap&amp;OpEx 2019'!K31</f>
        <v>94599.16</v>
      </c>
      <c r="N26" s="285">
        <f>'Cap&amp;OpEx 2019'!L31</f>
        <v>69510.05</v>
      </c>
      <c r="O26" s="285">
        <f>'Cap&amp;OpEx 2019'!M31</f>
        <v>74100.510000000009</v>
      </c>
      <c r="P26" s="285">
        <f>'Cap&amp;OpEx 2019'!N31</f>
        <v>92177.96</v>
      </c>
      <c r="Q26" s="286">
        <f t="shared" ref="Q26:Q27" si="4">SUM(E26:P26)</f>
        <v>813108.88000000012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284">
        <f>'Rev Req 2018-Distr'!P27</f>
        <v>20784</v>
      </c>
      <c r="E27" s="285">
        <f>'Cap&amp;OpEx 2019'!C32</f>
        <v>40112</v>
      </c>
      <c r="F27" s="285">
        <f>'Cap&amp;OpEx 2019'!D32</f>
        <v>40112</v>
      </c>
      <c r="G27" s="285">
        <f>'Cap&amp;OpEx 2019'!E32</f>
        <v>40112</v>
      </c>
      <c r="H27" s="285">
        <f>'Cap&amp;OpEx 2019'!F32</f>
        <v>40112</v>
      </c>
      <c r="I27" s="285">
        <f>'Cap&amp;OpEx 2019'!G32</f>
        <v>40112</v>
      </c>
      <c r="J27" s="285">
        <f>'Cap&amp;OpEx 2019'!H32</f>
        <v>40112</v>
      </c>
      <c r="K27" s="285">
        <f>'Cap&amp;OpEx 2019'!I32</f>
        <v>40112</v>
      </c>
      <c r="L27" s="285">
        <f>'Cap&amp;OpEx 2019'!J32</f>
        <v>40112</v>
      </c>
      <c r="M27" s="285">
        <f>'Cap&amp;OpEx 2019'!K32</f>
        <v>40112</v>
      </c>
      <c r="N27" s="285">
        <f>'Cap&amp;OpEx 2019'!L32</f>
        <v>40112</v>
      </c>
      <c r="O27" s="285">
        <f>'Cap&amp;OpEx 2019'!M32</f>
        <v>40112</v>
      </c>
      <c r="P27" s="285">
        <f>'Cap&amp;OpEx 2019'!N32</f>
        <v>40112</v>
      </c>
      <c r="Q27" s="286">
        <f t="shared" si="4"/>
        <v>481344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284">
        <f>SUM(D25:D28)</f>
        <v>281315.73750800005</v>
      </c>
      <c r="E29" s="285">
        <f t="shared" ref="E29:P29" si="5">SUM(E25:E28)</f>
        <v>139726.24278125004</v>
      </c>
      <c r="F29" s="285">
        <f t="shared" si="5"/>
        <v>127113.27591950003</v>
      </c>
      <c r="G29" s="285">
        <f t="shared" si="5"/>
        <v>138331.44766250002</v>
      </c>
      <c r="H29" s="285">
        <f t="shared" si="5"/>
        <v>161818.42908425003</v>
      </c>
      <c r="I29" s="285">
        <f t="shared" si="5"/>
        <v>300736.00833350001</v>
      </c>
      <c r="J29" s="285">
        <f t="shared" si="5"/>
        <v>289599.15030675003</v>
      </c>
      <c r="K29" s="285">
        <f t="shared" si="5"/>
        <v>225447.73685500002</v>
      </c>
      <c r="L29" s="285">
        <f t="shared" si="5"/>
        <v>235421.65178050005</v>
      </c>
      <c r="M29" s="285">
        <f t="shared" si="5"/>
        <v>258924.90059025004</v>
      </c>
      <c r="N29" s="285">
        <f t="shared" si="5"/>
        <v>238410.97307800001</v>
      </c>
      <c r="O29" s="285">
        <f t="shared" si="5"/>
        <v>247776.45613325003</v>
      </c>
      <c r="P29" s="285">
        <f t="shared" si="5"/>
        <v>270648.48017875006</v>
      </c>
      <c r="Q29" s="286">
        <f>SUM(Q25:Q28)</f>
        <v>2633954.7527035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321">
        <f t="shared" ref="D31:Q31" si="6">D22+D29</f>
        <v>511809.29679233744</v>
      </c>
      <c r="E31" s="322">
        <f t="shared" si="6"/>
        <v>375789.89539827162</v>
      </c>
      <c r="F31" s="322">
        <f t="shared" si="6"/>
        <v>367381.57461860077</v>
      </c>
      <c r="G31" s="322">
        <f t="shared" si="6"/>
        <v>387716.64205788693</v>
      </c>
      <c r="H31" s="322">
        <f t="shared" si="6"/>
        <v>439545.23074289062</v>
      </c>
      <c r="I31" s="322">
        <f t="shared" si="6"/>
        <v>599229.85705836338</v>
      </c>
      <c r="J31" s="322">
        <f t="shared" si="6"/>
        <v>602241.47379327659</v>
      </c>
      <c r="K31" s="322">
        <f t="shared" si="6"/>
        <v>550459.75483648211</v>
      </c>
      <c r="L31" s="322">
        <f t="shared" si="6"/>
        <v>572889.34651199763</v>
      </c>
      <c r="M31" s="322">
        <f t="shared" si="6"/>
        <v>610078.81596622954</v>
      </c>
      <c r="N31" s="322">
        <f t="shared" si="6"/>
        <v>602246.57043762167</v>
      </c>
      <c r="O31" s="322">
        <f t="shared" si="6"/>
        <v>627088.87256883655</v>
      </c>
      <c r="P31" s="322">
        <f t="shared" si="6"/>
        <v>663770.52839525486</v>
      </c>
      <c r="Q31" s="323">
        <f t="shared" si="6"/>
        <v>6319764.0494230613</v>
      </c>
      <c r="R31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2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R34"/>
    </row>
    <row r="35" spans="1:28" s="31" customFormat="1">
      <c r="B35" s="30" t="s">
        <v>426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S52" s="23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S53" s="2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S54" s="23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34" spans="14:19">
      <c r="N134"/>
      <c r="O134"/>
      <c r="P134"/>
      <c r="Q134"/>
      <c r="S134"/>
    </row>
    <row r="1048576" spans="19:19">
      <c r="S1048576" s="80">
        <f>SUM(D1048576:P1048576)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1 of 17&amp;L&amp;1#&amp;"Calibri"&amp;14&amp;K000000Business Use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39997558519241921"/>
    <pageSetUpPr fitToPage="1"/>
  </sheetPr>
  <dimension ref="A1:AJ1048492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31">
        <v>2018</v>
      </c>
      <c r="E6" s="132">
        <v>2019</v>
      </c>
      <c r="F6" s="132">
        <f>$E$6</f>
        <v>2019</v>
      </c>
      <c r="G6" s="132">
        <f>$E$6</f>
        <v>2019</v>
      </c>
      <c r="H6" s="132">
        <f>$E$6</f>
        <v>2019</v>
      </c>
      <c r="I6" s="132">
        <f>$E$6</f>
        <v>2019</v>
      </c>
      <c r="J6" s="132">
        <f>$E$6</f>
        <v>2019</v>
      </c>
      <c r="K6" s="132">
        <f t="shared" ref="K6:Q6" si="0">$E$6</f>
        <v>2019</v>
      </c>
      <c r="L6" s="132">
        <f t="shared" si="0"/>
        <v>2019</v>
      </c>
      <c r="M6" s="132">
        <f t="shared" si="0"/>
        <v>2019</v>
      </c>
      <c r="N6" s="132">
        <f t="shared" si="0"/>
        <v>2019</v>
      </c>
      <c r="O6" s="132">
        <f t="shared" si="0"/>
        <v>2019</v>
      </c>
      <c r="P6" s="132">
        <f t="shared" si="0"/>
        <v>2019</v>
      </c>
      <c r="Q6" s="133">
        <f t="shared" si="0"/>
        <v>2019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28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419</v>
      </c>
      <c r="D11" s="284">
        <f>'Rev Req 2018-Trans'!P11</f>
        <v>11207438.539999999</v>
      </c>
      <c r="E11" s="285">
        <f>'Cap&amp;OpEx 2019'!C11+D11</f>
        <v>11864591.74</v>
      </c>
      <c r="F11" s="285">
        <f>'Cap&amp;OpEx 2019'!D11+E11</f>
        <v>12426920.369999999</v>
      </c>
      <c r="G11" s="285">
        <f>'Cap&amp;OpEx 2019'!E11+F11</f>
        <v>15217857.67</v>
      </c>
      <c r="H11" s="285">
        <f>'Cap&amp;OpEx 2019'!F11+G11</f>
        <v>16484315.449999999</v>
      </c>
      <c r="I11" s="285">
        <f>'Cap&amp;OpEx 2019'!G11+H11</f>
        <v>19551518.379999999</v>
      </c>
      <c r="J11" s="285">
        <f>'Cap&amp;OpEx 2019'!H11+I11</f>
        <v>20801914.799999997</v>
      </c>
      <c r="K11" s="285">
        <f>'Cap&amp;OpEx 2019'!I11+J11</f>
        <v>23420482.129999999</v>
      </c>
      <c r="L11" s="285">
        <f>'Cap&amp;OpEx 2019'!J11+K11</f>
        <v>26447799.649999999</v>
      </c>
      <c r="M11" s="285">
        <f>'Cap&amp;OpEx 2019'!K11+L11</f>
        <v>31360379.030000001</v>
      </c>
      <c r="N11" s="285">
        <f>'Cap&amp;OpEx 2019'!L11+M11</f>
        <v>37085782.100000001</v>
      </c>
      <c r="O11" s="285">
        <f>'Cap&amp;OpEx 2019'!M11+N11</f>
        <v>42365586.899999999</v>
      </c>
      <c r="P11" s="285">
        <f>'Cap&amp;OpEx 2019'!N11+O11</f>
        <v>44002739.890000001</v>
      </c>
      <c r="Q11" s="286">
        <f>AVERAGE(D11:P11)</f>
        <v>24018255.896153845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f>'Cap&amp;OpEx 2018'!N26</f>
        <v>0</v>
      </c>
      <c r="E12" s="285">
        <f>'Cap&amp;OpEx 2019'!C26+D12</f>
        <v>0</v>
      </c>
      <c r="F12" s="285">
        <f>'Cap&amp;OpEx 2019'!D26+E12</f>
        <v>0</v>
      </c>
      <c r="G12" s="285">
        <f>'Cap&amp;OpEx 2019'!E26+F12</f>
        <v>0</v>
      </c>
      <c r="H12" s="285">
        <f>'Cap&amp;OpEx 2019'!F26+G12</f>
        <v>0</v>
      </c>
      <c r="I12" s="285">
        <f>'Cap&amp;OpEx 2019'!G26+H12</f>
        <v>0</v>
      </c>
      <c r="J12" s="285">
        <f>'Cap&amp;OpEx 2019'!H26+I12</f>
        <v>0</v>
      </c>
      <c r="K12" s="285">
        <f>'Cap&amp;OpEx 2019'!I26+J12</f>
        <v>0</v>
      </c>
      <c r="L12" s="285">
        <f>'Cap&amp;OpEx 2019'!J26+K12</f>
        <v>0</v>
      </c>
      <c r="M12" s="285">
        <f>'Cap&amp;OpEx 2019'!K26+L12</f>
        <v>0</v>
      </c>
      <c r="N12" s="285">
        <f>'Cap&amp;OpEx 2019'!L26+M12</f>
        <v>0</v>
      </c>
      <c r="O12" s="285">
        <f>'Cap&amp;OpEx 2019'!M26+N12</f>
        <v>0</v>
      </c>
      <c r="P12" s="285">
        <f>'Cap&amp;OpEx 2019'!N26+O12</f>
        <v>0</v>
      </c>
      <c r="Q12" s="286">
        <f t="shared" ref="Q12:Q13" si="1">AVERAGE(D12:P12)</f>
        <v>0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89">
        <v>0</v>
      </c>
      <c r="E13" s="290">
        <v>0</v>
      </c>
      <c r="F13" s="290">
        <v>0</v>
      </c>
      <c r="G13" s="290">
        <v>0</v>
      </c>
      <c r="H13" s="290">
        <v>0</v>
      </c>
      <c r="I13" s="290">
        <v>0</v>
      </c>
      <c r="J13" s="290">
        <v>0</v>
      </c>
      <c r="K13" s="290">
        <v>0</v>
      </c>
      <c r="L13" s="290">
        <v>0</v>
      </c>
      <c r="M13" s="290">
        <v>0</v>
      </c>
      <c r="N13" s="290">
        <v>0</v>
      </c>
      <c r="O13" s="290">
        <v>0</v>
      </c>
      <c r="P13" s="290">
        <v>0</v>
      </c>
      <c r="Q13" s="291">
        <f t="shared" si="1"/>
        <v>0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284">
        <f>SUM(D11:D13)</f>
        <v>11207438.539999999</v>
      </c>
      <c r="E14" s="285">
        <f t="shared" ref="E14:Q14" si="2">SUM(E11:E13)</f>
        <v>11864591.74</v>
      </c>
      <c r="F14" s="285">
        <f t="shared" si="2"/>
        <v>12426920.369999999</v>
      </c>
      <c r="G14" s="285">
        <f t="shared" si="2"/>
        <v>15217857.67</v>
      </c>
      <c r="H14" s="285">
        <f t="shared" si="2"/>
        <v>16484315.449999999</v>
      </c>
      <c r="I14" s="285">
        <f t="shared" si="2"/>
        <v>19551518.379999999</v>
      </c>
      <c r="J14" s="285">
        <f t="shared" si="2"/>
        <v>20801914.799999997</v>
      </c>
      <c r="K14" s="285">
        <f t="shared" si="2"/>
        <v>23420482.129999999</v>
      </c>
      <c r="L14" s="285">
        <f t="shared" si="2"/>
        <v>26447799.649999999</v>
      </c>
      <c r="M14" s="285">
        <f t="shared" si="2"/>
        <v>31360379.030000001</v>
      </c>
      <c r="N14" s="285">
        <f t="shared" si="2"/>
        <v>37085782.100000001</v>
      </c>
      <c r="O14" s="285">
        <f t="shared" si="2"/>
        <v>42365586.899999999</v>
      </c>
      <c r="P14" s="285">
        <f t="shared" si="2"/>
        <v>44002739.890000001</v>
      </c>
      <c r="Q14" s="286">
        <f t="shared" si="2"/>
        <v>24018255.896153845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89">
        <f>'Rev Req 2018-Trans'!P16</f>
        <v>0</v>
      </c>
      <c r="E16" s="290">
        <v>0</v>
      </c>
      <c r="F16" s="290">
        <v>0</v>
      </c>
      <c r="G16" s="290">
        <v>0</v>
      </c>
      <c r="H16" s="290">
        <v>0</v>
      </c>
      <c r="I16" s="290">
        <v>0</v>
      </c>
      <c r="J16" s="290">
        <v>0</v>
      </c>
      <c r="K16" s="290">
        <v>0</v>
      </c>
      <c r="L16" s="290">
        <v>0</v>
      </c>
      <c r="M16" s="290">
        <v>0</v>
      </c>
      <c r="N16" s="290">
        <v>0</v>
      </c>
      <c r="O16" s="290">
        <v>0</v>
      </c>
      <c r="P16" s="290">
        <v>0</v>
      </c>
      <c r="Q16" s="291">
        <f t="shared" ref="Q16" si="3">AVERAGE(D16:P16)</f>
        <v>0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284">
        <f>SUM(D14:D16)</f>
        <v>11207438.539999999</v>
      </c>
      <c r="E18" s="285">
        <f t="shared" ref="E18:O18" si="4">SUM(E14:E16)</f>
        <v>11864591.74</v>
      </c>
      <c r="F18" s="285">
        <f t="shared" si="4"/>
        <v>12426920.369999999</v>
      </c>
      <c r="G18" s="285">
        <f t="shared" si="4"/>
        <v>15217857.67</v>
      </c>
      <c r="H18" s="285">
        <f t="shared" si="4"/>
        <v>16484315.449999999</v>
      </c>
      <c r="I18" s="285">
        <f t="shared" si="4"/>
        <v>19551518.379999999</v>
      </c>
      <c r="J18" s="285">
        <f t="shared" si="4"/>
        <v>20801914.799999997</v>
      </c>
      <c r="K18" s="285">
        <f t="shared" si="4"/>
        <v>23420482.129999999</v>
      </c>
      <c r="L18" s="285">
        <f t="shared" si="4"/>
        <v>26447799.649999999</v>
      </c>
      <c r="M18" s="285">
        <f t="shared" si="4"/>
        <v>31360379.030000001</v>
      </c>
      <c r="N18" s="285">
        <f t="shared" si="4"/>
        <v>37085782.100000001</v>
      </c>
      <c r="O18" s="285">
        <f t="shared" si="4"/>
        <v>42365586.899999999</v>
      </c>
      <c r="P18" s="285">
        <f>SUM(P14:P16)</f>
        <v>44002739.890000001</v>
      </c>
      <c r="Q18" s="286">
        <f>SUM(Q14:Q16)</f>
        <v>24018255.896153845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7.2333333333333338E-3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8.8400000000000006E-2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15">
        <f t="shared" ref="D22:O22" si="5">D18*D20</f>
        <v>81067.138772666673</v>
      </c>
      <c r="E22" s="316">
        <f>E18*E20</f>
        <v>85820.546919333341</v>
      </c>
      <c r="F22" s="316">
        <f t="shared" si="5"/>
        <v>89888.057342999993</v>
      </c>
      <c r="G22" s="316">
        <f t="shared" si="5"/>
        <v>110075.83714633335</v>
      </c>
      <c r="H22" s="316">
        <f t="shared" si="5"/>
        <v>119236.54842166667</v>
      </c>
      <c r="I22" s="316">
        <f t="shared" si="5"/>
        <v>145332.95329133334</v>
      </c>
      <c r="J22" s="316">
        <f t="shared" si="5"/>
        <v>154627.56667999999</v>
      </c>
      <c r="K22" s="316">
        <f t="shared" si="5"/>
        <v>174092.25049966667</v>
      </c>
      <c r="L22" s="316">
        <f t="shared" si="5"/>
        <v>196595.31073166666</v>
      </c>
      <c r="M22" s="316">
        <f t="shared" si="5"/>
        <v>233112.15078966669</v>
      </c>
      <c r="N22" s="316">
        <f t="shared" si="5"/>
        <v>275670.9802766667</v>
      </c>
      <c r="O22" s="316">
        <f t="shared" si="5"/>
        <v>314917.52928999998</v>
      </c>
      <c r="P22" s="316">
        <f>P18*P20</f>
        <v>327087.03318233334</v>
      </c>
      <c r="Q22" s="317">
        <f>Q18*Q20</f>
        <v>2123213.8212199998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287">
        <v>0</v>
      </c>
      <c r="E25" s="288">
        <v>0</v>
      </c>
      <c r="F25" s="288">
        <v>0</v>
      </c>
      <c r="G25" s="288">
        <v>0</v>
      </c>
      <c r="H25" s="288">
        <v>0</v>
      </c>
      <c r="I25" s="288">
        <v>0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287">
        <v>0</v>
      </c>
      <c r="E26" s="288">
        <v>0</v>
      </c>
      <c r="F26" s="288">
        <v>0</v>
      </c>
      <c r="G26" s="288">
        <v>0</v>
      </c>
      <c r="H26" s="288">
        <v>0</v>
      </c>
      <c r="I26" s="288">
        <v>0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284">
        <f>'Cap&amp;OpEx 2018'!N33</f>
        <v>440.78</v>
      </c>
      <c r="E27" s="285">
        <f>'Cap&amp;OpEx 2019'!C33</f>
        <v>7144.99</v>
      </c>
      <c r="F27" s="285">
        <f>'Cap&amp;OpEx 2019'!D33</f>
        <v>7144.99</v>
      </c>
      <c r="G27" s="285">
        <f>'Cap&amp;OpEx 2019'!E33</f>
        <v>7144.99</v>
      </c>
      <c r="H27" s="285">
        <f>'Cap&amp;OpEx 2019'!F33</f>
        <v>7144.99</v>
      </c>
      <c r="I27" s="285">
        <f>'Cap&amp;OpEx 2019'!G33</f>
        <v>7144.99</v>
      </c>
      <c r="J27" s="285">
        <f>'Cap&amp;OpEx 2019'!H33</f>
        <v>7144.99</v>
      </c>
      <c r="K27" s="285">
        <f>'Cap&amp;OpEx 2019'!I33</f>
        <v>7144.99</v>
      </c>
      <c r="L27" s="285">
        <f>'Cap&amp;OpEx 2019'!J33</f>
        <v>7144.99</v>
      </c>
      <c r="M27" s="285">
        <f>'Cap&amp;OpEx 2019'!K33</f>
        <v>7144.99</v>
      </c>
      <c r="N27" s="285">
        <f>'Cap&amp;OpEx 2019'!L33</f>
        <v>7144.99</v>
      </c>
      <c r="O27" s="285">
        <f>'Cap&amp;OpEx 2019'!M33</f>
        <v>7144.99</v>
      </c>
      <c r="P27" s="285">
        <f>'Cap&amp;OpEx 2019'!N33</f>
        <v>7144.99</v>
      </c>
      <c r="Q27" s="286">
        <f>SUM(E27:P27)</f>
        <v>85739.88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284">
        <f>SUM(D25:D28)</f>
        <v>440.78</v>
      </c>
      <c r="E29" s="285">
        <f t="shared" ref="E29:Q29" si="6">SUM(E25:E28)</f>
        <v>7144.99</v>
      </c>
      <c r="F29" s="285">
        <f t="shared" si="6"/>
        <v>7144.99</v>
      </c>
      <c r="G29" s="285">
        <f t="shared" si="6"/>
        <v>7144.99</v>
      </c>
      <c r="H29" s="285">
        <f t="shared" si="6"/>
        <v>7144.99</v>
      </c>
      <c r="I29" s="285">
        <f t="shared" si="6"/>
        <v>7144.99</v>
      </c>
      <c r="J29" s="285">
        <f t="shared" si="6"/>
        <v>7144.99</v>
      </c>
      <c r="K29" s="285">
        <f t="shared" si="6"/>
        <v>7144.99</v>
      </c>
      <c r="L29" s="285">
        <f t="shared" si="6"/>
        <v>7144.99</v>
      </c>
      <c r="M29" s="285">
        <f t="shared" si="6"/>
        <v>7144.99</v>
      </c>
      <c r="N29" s="285">
        <f t="shared" si="6"/>
        <v>7144.99</v>
      </c>
      <c r="O29" s="285">
        <f t="shared" si="6"/>
        <v>7144.99</v>
      </c>
      <c r="P29" s="285">
        <f t="shared" si="6"/>
        <v>7144.99</v>
      </c>
      <c r="Q29" s="286">
        <f t="shared" si="6"/>
        <v>85739.88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321">
        <f>D22+D29</f>
        <v>81507.918772666671</v>
      </c>
      <c r="E31" s="322">
        <f t="shared" ref="E31:Q31" si="7">E22+E29</f>
        <v>92965.536919333346</v>
      </c>
      <c r="F31" s="322">
        <f t="shared" si="7"/>
        <v>97033.047342999998</v>
      </c>
      <c r="G31" s="322">
        <f t="shared" si="7"/>
        <v>117220.82714633335</v>
      </c>
      <c r="H31" s="322">
        <f t="shared" si="7"/>
        <v>126381.53842166667</v>
      </c>
      <c r="I31" s="322">
        <f t="shared" si="7"/>
        <v>152477.94329133333</v>
      </c>
      <c r="J31" s="322">
        <f t="shared" si="7"/>
        <v>161772.55667999998</v>
      </c>
      <c r="K31" s="322">
        <f t="shared" si="7"/>
        <v>181237.24049966666</v>
      </c>
      <c r="L31" s="322">
        <f t="shared" si="7"/>
        <v>203740.30073166665</v>
      </c>
      <c r="M31" s="322">
        <f t="shared" si="7"/>
        <v>240257.14078966668</v>
      </c>
      <c r="N31" s="322">
        <f t="shared" si="7"/>
        <v>282815.97027666669</v>
      </c>
      <c r="O31" s="322">
        <f t="shared" si="7"/>
        <v>322062.51928999997</v>
      </c>
      <c r="P31" s="322">
        <f>P22+P29</f>
        <v>334232.02318233333</v>
      </c>
      <c r="Q31" s="323">
        <f t="shared" si="7"/>
        <v>2208953.7012199997</v>
      </c>
      <c r="R31"/>
    </row>
    <row r="32" spans="1:19" s="31" customFormat="1">
      <c r="A32" s="32"/>
      <c r="B32" s="32"/>
      <c r="D32" s="80"/>
      <c r="P32" s="80"/>
      <c r="R32"/>
    </row>
    <row r="33" spans="1:18" customFormat="1" ht="21" customHeight="1"/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/>
    </row>
    <row r="35" spans="1:18" s="31" customFormat="1">
      <c r="A35" s="79"/>
      <c r="B35" s="30" t="s">
        <v>426</v>
      </c>
      <c r="Q35" s="80"/>
      <c r="R35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2 of 17&amp;L&amp;1#&amp;"Calibri"&amp;14&amp;K000000Business Use</oddFooter>
  </headerFooter>
  <rowBreaks count="1" manualBreakCount="1">
    <brk id="3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  <pageSetUpPr fitToPage="1"/>
  </sheetPr>
  <dimension ref="A1:AD50"/>
  <sheetViews>
    <sheetView workbookViewId="0"/>
  </sheetViews>
  <sheetFormatPr defaultColWidth="9.140625" defaultRowHeight="15.75"/>
  <cols>
    <col min="1" max="1" width="9.140625" style="28"/>
    <col min="2" max="2" width="38.85546875" style="26" bestFit="1" customWidth="1"/>
    <col min="3" max="15" width="15.85546875" style="26" customWidth="1"/>
    <col min="16" max="16" width="12.140625" style="28" bestFit="1" customWidth="1"/>
    <col min="17" max="17" width="16.140625" style="28" bestFit="1" customWidth="1"/>
    <col min="18" max="30" width="14.85546875" style="28" customWidth="1"/>
    <col min="31" max="31" width="9.140625" style="28"/>
    <col min="32" max="32" width="10.5703125" style="28" bestFit="1" customWidth="1"/>
    <col min="33" max="16384" width="9.140625" style="28"/>
  </cols>
  <sheetData>
    <row r="1" spans="1:30" ht="18.75">
      <c r="A1" s="191" t="s">
        <v>65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0"/>
      <c r="Y1" s="40"/>
      <c r="Z1" s="40"/>
      <c r="AA1" s="40"/>
      <c r="AB1" s="40"/>
      <c r="AC1" s="40"/>
      <c r="AD1" s="40"/>
    </row>
    <row r="2" spans="1:30" ht="18.75">
      <c r="A2" s="191" t="s">
        <v>251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0"/>
      <c r="Y2" s="40"/>
      <c r="Z2" s="40"/>
      <c r="AA2" s="40"/>
      <c r="AB2" s="40"/>
      <c r="AC2" s="40"/>
      <c r="AD2" s="40"/>
    </row>
    <row r="3" spans="1:30" ht="18.75">
      <c r="A3" s="191" t="s">
        <v>158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0"/>
      <c r="Y3" s="40"/>
      <c r="Z3" s="40"/>
      <c r="AA3" s="40"/>
      <c r="AB3" s="40"/>
      <c r="AC3" s="40"/>
      <c r="AD3" s="40"/>
    </row>
    <row r="4" spans="1:30">
      <c r="Q4" s="40"/>
      <c r="R4" s="40"/>
      <c r="S4" s="40"/>
      <c r="T4" s="40"/>
      <c r="U4" s="40"/>
      <c r="V4" s="40"/>
      <c r="X4" s="40"/>
      <c r="Y4" s="40"/>
      <c r="Z4" s="40"/>
      <c r="AA4" s="40"/>
      <c r="AB4" s="40"/>
      <c r="AC4" s="40"/>
      <c r="AD4" s="40"/>
    </row>
    <row r="5" spans="1:30">
      <c r="Q5" s="40"/>
      <c r="R5" s="40"/>
      <c r="S5" s="40"/>
      <c r="T5" s="40"/>
      <c r="U5" s="40"/>
      <c r="V5" s="40"/>
      <c r="X5" s="40"/>
      <c r="Y5" s="40"/>
      <c r="Z5" s="40"/>
      <c r="AA5" s="40"/>
      <c r="AB5" s="40"/>
      <c r="AC5" s="40"/>
      <c r="AD5" s="40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67</v>
      </c>
      <c r="Q6" s="28"/>
      <c r="R6" s="28"/>
      <c r="S6" s="28"/>
      <c r="T6" s="28"/>
      <c r="U6" s="28"/>
      <c r="V6" s="28"/>
      <c r="W6" s="28"/>
    </row>
    <row r="7" spans="1:30" ht="16.5" thickBot="1">
      <c r="A7" s="44" t="s">
        <v>5</v>
      </c>
      <c r="B7" s="44" t="s">
        <v>6</v>
      </c>
      <c r="C7" s="44" t="s">
        <v>83</v>
      </c>
      <c r="D7" s="44" t="s">
        <v>84</v>
      </c>
      <c r="E7" s="44" t="s">
        <v>253</v>
      </c>
      <c r="F7" s="44" t="s">
        <v>254</v>
      </c>
      <c r="G7" s="44" t="s">
        <v>85</v>
      </c>
      <c r="H7" s="44" t="s">
        <v>255</v>
      </c>
      <c r="I7" s="44" t="s">
        <v>86</v>
      </c>
      <c r="J7" s="44" t="s">
        <v>87</v>
      </c>
      <c r="K7" s="44" t="s">
        <v>88</v>
      </c>
      <c r="L7" s="44" t="s">
        <v>89</v>
      </c>
      <c r="M7" s="44" t="s">
        <v>90</v>
      </c>
      <c r="N7" s="44" t="s">
        <v>91</v>
      </c>
      <c r="O7" s="44">
        <v>2019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38">
        <v>1</v>
      </c>
      <c r="B10" s="26" t="s">
        <v>246</v>
      </c>
      <c r="C10" s="35">
        <f>SUM('2019 Capital Budget'!F16:F19)</f>
        <v>-2253.9899999999798</v>
      </c>
      <c r="D10" s="35">
        <f>SUM('2019 Capital Budget'!G16:G19)</f>
        <v>14667.820000000002</v>
      </c>
      <c r="E10" s="35">
        <f>SUM('2019 Capital Budget'!H16:H19)</f>
        <v>0</v>
      </c>
      <c r="F10" s="35">
        <f>SUM('2019 Capital Budget'!I16:I19)</f>
        <v>38923.71</v>
      </c>
      <c r="G10" s="35">
        <f>SUM('2019 Capital Budget'!J16:J19)</f>
        <v>20480.28</v>
      </c>
      <c r="H10" s="35">
        <f>SUM('2019 Capital Budget'!K16:K19)</f>
        <v>21271.05</v>
      </c>
      <c r="I10" s="35">
        <f>SUM('2019 Capital Budget'!L16:L19)</f>
        <v>23381.06</v>
      </c>
      <c r="J10" s="35">
        <f>SUM('2019 Capital Budget'!M16:M19)</f>
        <v>22010.240000000002</v>
      </c>
      <c r="K10" s="35">
        <f>SUM('2019 Capital Budget'!N16:N19)</f>
        <v>18961.490000000002</v>
      </c>
      <c r="L10" s="35">
        <f>SUM('2019 Capital Budget'!O16:O19)</f>
        <v>20082.560000000001</v>
      </c>
      <c r="M10" s="35">
        <f>SUM('2019 Capital Budget'!P16:P19)</f>
        <v>79871.010000000009</v>
      </c>
      <c r="N10" s="35">
        <f>SUM('2019 Capital Budget'!Q16:Q19)</f>
        <v>14014.550000000001</v>
      </c>
      <c r="O10" s="35">
        <f>SUM(C10:N10)</f>
        <v>271409.78000000003</v>
      </c>
      <c r="P10" s="46"/>
    </row>
    <row r="11" spans="1:30">
      <c r="A11" s="38">
        <f>A10+1</f>
        <v>2</v>
      </c>
      <c r="B11" s="26" t="s">
        <v>247</v>
      </c>
      <c r="C11" s="35">
        <f>'2019 Capital Budget'!F50</f>
        <v>657153.20000000112</v>
      </c>
      <c r="D11" s="35">
        <f>'2019 Capital Budget'!G50</f>
        <v>562328.62999999896</v>
      </c>
      <c r="E11" s="35">
        <f>'2019 Capital Budget'!H50</f>
        <v>2790937.3000000007</v>
      </c>
      <c r="F11" s="35">
        <f>'2019 Capital Budget'!I50</f>
        <v>1266457.7799999993</v>
      </c>
      <c r="G11" s="35">
        <f>'2019 Capital Budget'!J50</f>
        <v>3067202.9299999997</v>
      </c>
      <c r="H11" s="35">
        <f>'2019 Capital Budget'!K50</f>
        <v>1250396.4199999981</v>
      </c>
      <c r="I11" s="35">
        <f>'2019 Capital Budget'!L50</f>
        <v>2618567.3300000019</v>
      </c>
      <c r="J11" s="35">
        <f>'2019 Capital Budget'!M50</f>
        <v>3027317.5199999996</v>
      </c>
      <c r="K11" s="35">
        <f>'2019 Capital Budget'!N50</f>
        <v>4912579.3800000027</v>
      </c>
      <c r="L11" s="35">
        <f>'2019 Capital Budget'!O50</f>
        <v>5725403.0700000003</v>
      </c>
      <c r="M11" s="35">
        <f>'2019 Capital Budget'!P50</f>
        <v>5279804.799999997</v>
      </c>
      <c r="N11" s="35">
        <f>'2019 Capital Budget'!Q50</f>
        <v>1637152.9900000021</v>
      </c>
      <c r="O11" s="35">
        <f t="shared" ref="O11:O14" si="0">SUM(C11:N11)</f>
        <v>32795301.350000001</v>
      </c>
      <c r="P11" s="46"/>
    </row>
    <row r="12" spans="1:30">
      <c r="A12" s="38">
        <f>A11+1</f>
        <v>3</v>
      </c>
      <c r="B12" s="26" t="s">
        <v>77</v>
      </c>
      <c r="C12" s="35">
        <f>'2019 Capital Budget'!F20+'2019 Capital Budget'!F21</f>
        <v>517199.86</v>
      </c>
      <c r="D12" s="35">
        <f>'2019 Capital Budget'!G20+'2019 Capital Budget'!G21</f>
        <v>199834.85</v>
      </c>
      <c r="E12" s="35">
        <f>'2019 Capital Budget'!H20+'2019 Capital Budget'!H21</f>
        <v>0</v>
      </c>
      <c r="F12" s="35">
        <f>'2019 Capital Budget'!I20+'2019 Capital Budget'!I21</f>
        <v>528130.11</v>
      </c>
      <c r="G12" s="35">
        <f>'2019 Capital Budget'!J20+'2019 Capital Budget'!J21</f>
        <v>334113.7</v>
      </c>
      <c r="H12" s="35">
        <f>'2019 Capital Budget'!K20+'2019 Capital Budget'!K21</f>
        <v>303068.81</v>
      </c>
      <c r="I12" s="35">
        <f>'2019 Capital Budget'!L20+'2019 Capital Budget'!L21</f>
        <v>284864.46000000002</v>
      </c>
      <c r="J12" s="35">
        <f>'2019 Capital Budget'!M20+'2019 Capital Budget'!M21</f>
        <v>232409.20999999996</v>
      </c>
      <c r="K12" s="35">
        <f>'2019 Capital Budget'!N20+'2019 Capital Budget'!N21</f>
        <v>308155.68</v>
      </c>
      <c r="L12" s="35">
        <f>'2019 Capital Budget'!O20+'2019 Capital Budget'!O21</f>
        <v>200869.63</v>
      </c>
      <c r="M12" s="35">
        <f>'2019 Capital Budget'!P20+'2019 Capital Budget'!P21</f>
        <v>170062.19</v>
      </c>
      <c r="N12" s="35">
        <f>'2019 Capital Budget'!Q20+'2019 Capital Budget'!Q21</f>
        <v>239382.03</v>
      </c>
      <c r="O12" s="35">
        <f t="shared" si="0"/>
        <v>3318090.53</v>
      </c>
      <c r="P12" s="46"/>
    </row>
    <row r="13" spans="1:30">
      <c r="A13" s="38">
        <f>A12+1</f>
        <v>4</v>
      </c>
      <c r="B13" s="26" t="s">
        <v>78</v>
      </c>
      <c r="C13" s="282">
        <v>0</v>
      </c>
      <c r="D13" s="282">
        <v>0</v>
      </c>
      <c r="E13" s="282">
        <v>0</v>
      </c>
      <c r="F13" s="282">
        <v>0</v>
      </c>
      <c r="G13" s="282">
        <v>0</v>
      </c>
      <c r="H13" s="282">
        <v>0</v>
      </c>
      <c r="I13" s="282">
        <v>0</v>
      </c>
      <c r="J13" s="282">
        <v>0</v>
      </c>
      <c r="K13" s="282">
        <v>0</v>
      </c>
      <c r="L13" s="282">
        <v>0</v>
      </c>
      <c r="M13" s="282">
        <v>0</v>
      </c>
      <c r="N13" s="282">
        <v>0</v>
      </c>
      <c r="O13" s="35">
        <f t="shared" si="0"/>
        <v>0</v>
      </c>
      <c r="P13" s="46"/>
    </row>
    <row r="14" spans="1:30">
      <c r="A14" s="38">
        <f>A13+1</f>
        <v>5</v>
      </c>
      <c r="B14" s="26" t="s">
        <v>159</v>
      </c>
      <c r="C14" s="34">
        <f>SUM('2019 Capital Budget'!F9:F15,'2019 Capital Budget'!F25)</f>
        <v>252648.8600000001</v>
      </c>
      <c r="D14" s="34">
        <f>SUM('2019 Capital Budget'!G9:G15,'2019 Capital Budget'!G25)</f>
        <v>394882.21</v>
      </c>
      <c r="E14" s="34">
        <f>SUM('2019 Capital Budget'!H9:H15,'2019 Capital Budget'!H25)</f>
        <v>1489239.21</v>
      </c>
      <c r="F14" s="34">
        <f>SUM('2019 Capital Budget'!I9:I15,'2019 Capital Budget'!I25)</f>
        <v>3407021.7299999991</v>
      </c>
      <c r="G14" s="34">
        <f>SUM('2019 Capital Budget'!J9:J15,'2019 Capital Budget'!J25)</f>
        <v>1397943.0199999993</v>
      </c>
      <c r="H14" s="34">
        <f>SUM('2019 Capital Budget'!K9:K15,'2019 Capital Budget'!K25)</f>
        <v>1493133.6</v>
      </c>
      <c r="I14" s="34">
        <f>SUM('2019 Capital Budget'!L9:L15,'2019 Capital Budget'!L25)</f>
        <v>1323256.3699999999</v>
      </c>
      <c r="J14" s="34">
        <f>SUM('2019 Capital Budget'!M9:M15,'2019 Capital Budget'!M25)</f>
        <v>1383259.4399999995</v>
      </c>
      <c r="K14" s="34">
        <f>SUM('2019 Capital Budget'!N9:N15,'2019 Capital Budget'!N25)</f>
        <v>1429155.59</v>
      </c>
      <c r="L14" s="34">
        <f>SUM('2019 Capital Budget'!O9:O15,'2019 Capital Budget'!O25)</f>
        <v>1431321.14</v>
      </c>
      <c r="M14" s="34">
        <f>SUM('2019 Capital Budget'!P9:P15,'2019 Capital Budget'!P25)</f>
        <v>1684824.3699999999</v>
      </c>
      <c r="N14" s="34">
        <f>SUM('2019 Capital Budget'!Q9:Q15,'2019 Capital Budget'!Q25)</f>
        <v>1410324.96</v>
      </c>
      <c r="O14" s="34">
        <f t="shared" si="0"/>
        <v>17097010.499999996</v>
      </c>
      <c r="P14" s="86"/>
    </row>
    <row r="15" spans="1:30">
      <c r="A15" s="38">
        <f>A14+1</f>
        <v>6</v>
      </c>
      <c r="B15" s="26" t="s">
        <v>79</v>
      </c>
      <c r="C15" s="33">
        <f t="shared" ref="C15:H15" si="1">SUM(C10:C14)</f>
        <v>1424747.9300000013</v>
      </c>
      <c r="D15" s="33">
        <f t="shared" si="1"/>
        <v>1171713.5099999988</v>
      </c>
      <c r="E15" s="33">
        <f t="shared" si="1"/>
        <v>4280176.5100000007</v>
      </c>
      <c r="F15" s="33">
        <f t="shared" si="1"/>
        <v>5240533.3299999982</v>
      </c>
      <c r="G15" s="33">
        <f t="shared" si="1"/>
        <v>4819739.9299999988</v>
      </c>
      <c r="H15" s="33">
        <f t="shared" si="1"/>
        <v>3067869.879999998</v>
      </c>
      <c r="I15" s="33">
        <f t="shared" ref="I15:N15" si="2">SUM(I10:I14)</f>
        <v>4250069.2200000016</v>
      </c>
      <c r="J15" s="33">
        <f t="shared" si="2"/>
        <v>4664996.4099999992</v>
      </c>
      <c r="K15" s="33">
        <f t="shared" si="2"/>
        <v>6668852.1400000025</v>
      </c>
      <c r="L15" s="33">
        <f t="shared" si="2"/>
        <v>7377676.3999999994</v>
      </c>
      <c r="M15" s="33">
        <f t="shared" si="2"/>
        <v>7214562.3699999973</v>
      </c>
      <c r="N15" s="33">
        <f t="shared" si="2"/>
        <v>3300874.5300000021</v>
      </c>
      <c r="O15" s="33">
        <f>SUM(O10:O14)</f>
        <v>53481812.159999996</v>
      </c>
      <c r="P15" s="46"/>
    </row>
    <row r="16" spans="1:30">
      <c r="I16" s="33"/>
      <c r="J16" s="33"/>
      <c r="K16" s="33"/>
      <c r="L16" s="33"/>
      <c r="M16" s="33"/>
      <c r="N16" s="33"/>
      <c r="O16" s="33"/>
      <c r="P16" s="46"/>
    </row>
    <row r="17" spans="1:16">
      <c r="A17" s="38">
        <f>A15+1</f>
        <v>7</v>
      </c>
      <c r="B17" s="26" t="s">
        <v>248</v>
      </c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0</v>
      </c>
      <c r="I17" s="282">
        <v>0</v>
      </c>
      <c r="J17" s="282">
        <v>0</v>
      </c>
      <c r="K17" s="282">
        <v>0</v>
      </c>
      <c r="L17" s="282">
        <v>0</v>
      </c>
      <c r="M17" s="282">
        <v>0</v>
      </c>
      <c r="N17" s="282">
        <v>0</v>
      </c>
      <c r="O17" s="35">
        <f>SUM(C17:N17)</f>
        <v>0</v>
      </c>
      <c r="P17" s="46"/>
    </row>
    <row r="18" spans="1:16">
      <c r="A18" s="38">
        <f t="shared" ref="A18:A19" si="3">A17+1</f>
        <v>8</v>
      </c>
      <c r="B18" s="26" t="s">
        <v>323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0</v>
      </c>
      <c r="I18" s="282">
        <v>0</v>
      </c>
      <c r="J18" s="282">
        <v>0</v>
      </c>
      <c r="K18" s="282">
        <v>0</v>
      </c>
      <c r="L18" s="282">
        <v>0</v>
      </c>
      <c r="M18" s="282">
        <v>0</v>
      </c>
      <c r="N18" s="282">
        <v>0</v>
      </c>
      <c r="O18" s="35">
        <f>SUM(C18:N18)</f>
        <v>0</v>
      </c>
      <c r="P18" s="46"/>
    </row>
    <row r="19" spans="1:16">
      <c r="A19" s="38">
        <f t="shared" si="3"/>
        <v>9</v>
      </c>
      <c r="B19" s="26" t="s">
        <v>70</v>
      </c>
      <c r="C19" s="282">
        <v>0</v>
      </c>
      <c r="D19" s="282">
        <v>0</v>
      </c>
      <c r="E19" s="282">
        <v>0</v>
      </c>
      <c r="F19" s="282">
        <v>0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2">
        <v>0</v>
      </c>
      <c r="M19" s="282">
        <v>0</v>
      </c>
      <c r="N19" s="282">
        <v>0</v>
      </c>
      <c r="O19" s="35">
        <f t="shared" ref="O19:O20" si="4">SUM(C19:N19)</f>
        <v>0</v>
      </c>
      <c r="P19" s="46"/>
    </row>
    <row r="20" spans="1:16">
      <c r="A20" s="38">
        <f>A19+1</f>
        <v>10</v>
      </c>
      <c r="B20" s="26" t="s">
        <v>71</v>
      </c>
      <c r="C20" s="273">
        <v>0</v>
      </c>
      <c r="D20" s="273">
        <v>0</v>
      </c>
      <c r="E20" s="273">
        <v>0</v>
      </c>
      <c r="F20" s="273">
        <v>0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34">
        <f t="shared" si="4"/>
        <v>0</v>
      </c>
      <c r="P20" s="46"/>
    </row>
    <row r="21" spans="1:16">
      <c r="A21" s="38">
        <f>A20+1</f>
        <v>11</v>
      </c>
      <c r="B21" s="26" t="s">
        <v>177</v>
      </c>
      <c r="C21" s="35">
        <f t="shared" ref="C21:O21" si="5">SUM(C17:C20)</f>
        <v>0</v>
      </c>
      <c r="D21" s="35">
        <f t="shared" si="5"/>
        <v>0</v>
      </c>
      <c r="E21" s="35">
        <f t="shared" si="5"/>
        <v>0</v>
      </c>
      <c r="F21" s="35">
        <f t="shared" si="5"/>
        <v>0</v>
      </c>
      <c r="G21" s="35">
        <f t="shared" si="5"/>
        <v>0</v>
      </c>
      <c r="H21" s="35">
        <f t="shared" si="5"/>
        <v>0</v>
      </c>
      <c r="I21" s="35">
        <f t="shared" si="5"/>
        <v>0</v>
      </c>
      <c r="J21" s="35">
        <f t="shared" si="5"/>
        <v>0</v>
      </c>
      <c r="K21" s="35">
        <f t="shared" si="5"/>
        <v>0</v>
      </c>
      <c r="L21" s="35">
        <f t="shared" si="5"/>
        <v>0</v>
      </c>
      <c r="M21" s="35">
        <f t="shared" si="5"/>
        <v>0</v>
      </c>
      <c r="N21" s="35">
        <f t="shared" si="5"/>
        <v>0</v>
      </c>
      <c r="O21" s="35">
        <f t="shared" si="5"/>
        <v>0</v>
      </c>
      <c r="P21" s="46"/>
    </row>
    <row r="22" spans="1:16">
      <c r="A22" s="38"/>
      <c r="I22" s="35"/>
      <c r="J22" s="35"/>
      <c r="K22" s="35"/>
      <c r="L22" s="35"/>
      <c r="M22" s="35"/>
      <c r="N22" s="35"/>
      <c r="O22" s="35"/>
      <c r="P22" s="46"/>
    </row>
    <row r="23" spans="1:16">
      <c r="A23" s="38">
        <f>A21+1</f>
        <v>12</v>
      </c>
      <c r="B23" s="26" t="s">
        <v>176</v>
      </c>
      <c r="C23" s="283">
        <v>0</v>
      </c>
      <c r="D23" s="283">
        <v>0</v>
      </c>
      <c r="E23" s="283">
        <v>0</v>
      </c>
      <c r="F23" s="283">
        <v>0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0</v>
      </c>
      <c r="M23" s="283">
        <v>0</v>
      </c>
      <c r="N23" s="283">
        <v>0</v>
      </c>
      <c r="O23" s="33">
        <f>SUM(C23:N23)</f>
        <v>0</v>
      </c>
      <c r="P23" s="46"/>
    </row>
    <row r="24" spans="1:16">
      <c r="A24" s="38"/>
      <c r="I24" s="33"/>
      <c r="J24" s="33"/>
      <c r="K24" s="33"/>
      <c r="L24" s="33"/>
      <c r="M24" s="33"/>
      <c r="N24" s="33"/>
      <c r="O24" s="33"/>
      <c r="P24" s="46"/>
    </row>
    <row r="25" spans="1:16" ht="16.5" customHeight="1">
      <c r="A25" s="38">
        <f>A23+1</f>
        <v>13</v>
      </c>
      <c r="B25" s="26" t="s">
        <v>249</v>
      </c>
      <c r="C25" s="360">
        <f>SUM('2019 Capital Budget'!F33:F36)</f>
        <v>1943.33</v>
      </c>
      <c r="D25" s="360">
        <f>SUM('2019 Capital Budget'!G33:G36)</f>
        <v>0</v>
      </c>
      <c r="E25" s="360">
        <f>SUM('2019 Capital Budget'!H33:H36)</f>
        <v>0</v>
      </c>
      <c r="F25" s="360">
        <f>SUM('2019 Capital Budget'!I33:I36)</f>
        <v>0</v>
      </c>
      <c r="G25" s="360">
        <f>SUM('2019 Capital Budget'!J33:J36)</f>
        <v>0</v>
      </c>
      <c r="H25" s="360">
        <f>SUM('2019 Capital Budget'!K33:K36)</f>
        <v>0</v>
      </c>
      <c r="I25" s="360">
        <f>SUM('2019 Capital Budget'!L33:L36)</f>
        <v>0</v>
      </c>
      <c r="J25" s="360">
        <f>SUM('2019 Capital Budget'!M33:M36)</f>
        <v>0</v>
      </c>
      <c r="K25" s="360">
        <f>SUM('2019 Capital Budget'!N33:N36)</f>
        <v>0</v>
      </c>
      <c r="L25" s="360">
        <f>SUM('2019 Capital Budget'!O33:O36)</f>
        <v>0</v>
      </c>
      <c r="M25" s="360">
        <f>SUM('2019 Capital Budget'!P33:P36)</f>
        <v>0</v>
      </c>
      <c r="N25" s="360">
        <f>SUM('2019 Capital Budget'!Q33:Q36)</f>
        <v>0</v>
      </c>
      <c r="O25" s="35">
        <f>SUM(C25:N25)</f>
        <v>1943.33</v>
      </c>
      <c r="P25" s="46"/>
    </row>
    <row r="26" spans="1:16" ht="16.5" customHeight="1">
      <c r="A26" s="38">
        <f>A25+1</f>
        <v>14</v>
      </c>
      <c r="B26" s="26" t="s">
        <v>322</v>
      </c>
      <c r="C26" s="33">
        <f>SUM('2019 Capital Budget'!F39:F40)</f>
        <v>0</v>
      </c>
      <c r="D26" s="33">
        <f>SUM('2019 Capital Budget'!G39:G40)</f>
        <v>0</v>
      </c>
      <c r="E26" s="33">
        <f>SUM('2019 Capital Budget'!H39:H40)</f>
        <v>0</v>
      </c>
      <c r="F26" s="33">
        <f>SUM('2019 Capital Budget'!I39:I40)</f>
        <v>0</v>
      </c>
      <c r="G26" s="33">
        <f>SUM('2019 Capital Budget'!J39:J40)</f>
        <v>0</v>
      </c>
      <c r="H26" s="33">
        <f>SUM('2019 Capital Budget'!K39:K40)</f>
        <v>0</v>
      </c>
      <c r="I26" s="33">
        <f>SUM('2019 Capital Budget'!L39:L40)</f>
        <v>0</v>
      </c>
      <c r="J26" s="33">
        <f>SUM('2019 Capital Budget'!M39:M40)</f>
        <v>0</v>
      </c>
      <c r="K26" s="33">
        <f>SUM('2019 Capital Budget'!N39:N40)</f>
        <v>0</v>
      </c>
      <c r="L26" s="33">
        <f>SUM('2019 Capital Budget'!O39:O40)</f>
        <v>0</v>
      </c>
      <c r="M26" s="33">
        <f>SUM('2019 Capital Budget'!P39:P40)</f>
        <v>0</v>
      </c>
      <c r="N26" s="33">
        <f>SUM('2019 Capital Budget'!Q39:Q40)</f>
        <v>0</v>
      </c>
      <c r="O26" s="35">
        <f>SUM(C26:N26)</f>
        <v>0</v>
      </c>
      <c r="P26" s="46"/>
    </row>
    <row r="27" spans="1:16">
      <c r="A27" s="38">
        <f t="shared" ref="A27:A29" si="6">A26+1</f>
        <v>15</v>
      </c>
      <c r="B27" s="26" t="s">
        <v>80</v>
      </c>
      <c r="C27" s="33">
        <f>SUM('2019 Capital Budget'!F37:F38,'2019 Capital Budget'!F41:F42)</f>
        <v>142325.40999999997</v>
      </c>
      <c r="D27" s="33">
        <f>SUM('2019 Capital Budget'!G37:G38,'2019 Capital Budget'!G41:G42)</f>
        <v>171177.69</v>
      </c>
      <c r="E27" s="33">
        <f>SUM('2019 Capital Budget'!H37:H38,'2019 Capital Budget'!H41:H42)</f>
        <v>183680.3</v>
      </c>
      <c r="F27" s="33">
        <f>SUM('2019 Capital Budget'!I37:I38,'2019 Capital Budget'!I41:I42)</f>
        <v>374522.92</v>
      </c>
      <c r="G27" s="33">
        <f>SUM('2019 Capital Budget'!J37:J38,'2019 Capital Budget'!J41:J42)</f>
        <v>392332.57</v>
      </c>
      <c r="H27" s="33">
        <f>SUM('2019 Capital Budget'!K37:K38,'2019 Capital Budget'!K41:K42)</f>
        <v>450871.25</v>
      </c>
      <c r="I27" s="33">
        <f>SUM('2019 Capital Budget'!L37:L38,'2019 Capital Budget'!L41:L42)</f>
        <v>384718.32</v>
      </c>
      <c r="J27" s="33">
        <f>SUM('2019 Capital Budget'!M37:M38,'2019 Capital Budget'!M41:M42)</f>
        <v>374205.67</v>
      </c>
      <c r="K27" s="33">
        <f>SUM('2019 Capital Budget'!N37:N38,'2019 Capital Budget'!N41:N42)</f>
        <v>468218.97</v>
      </c>
      <c r="L27" s="33">
        <f>SUM('2019 Capital Budget'!O37:O38,'2019 Capital Budget'!O41:O42)</f>
        <v>413464.76</v>
      </c>
      <c r="M27" s="33">
        <f>SUM('2019 Capital Budget'!P37:P38,'2019 Capital Budget'!P41:P42)</f>
        <v>503043.61</v>
      </c>
      <c r="N27" s="33">
        <f>SUM('2019 Capital Budget'!Q37:Q38,'2019 Capital Budget'!Q41:Q42)</f>
        <v>602073.87</v>
      </c>
      <c r="O27" s="35">
        <f t="shared" ref="O27:O28" si="7">SUM(C27:N27)</f>
        <v>4460635.3399999989</v>
      </c>
      <c r="P27" s="46"/>
    </row>
    <row r="28" spans="1:16">
      <c r="A28" s="38">
        <f t="shared" si="6"/>
        <v>16</v>
      </c>
      <c r="B28" s="26" t="s">
        <v>81</v>
      </c>
      <c r="C28" s="338">
        <f>SUM('2019 Capital Budget'!F30:F32)</f>
        <v>160988.62</v>
      </c>
      <c r="D28" s="338">
        <f>SUM('2019 Capital Budget'!G30:G32)</f>
        <v>-0.01</v>
      </c>
      <c r="E28" s="338">
        <f>SUM('2019 Capital Budget'!H30:H32)</f>
        <v>1507.16</v>
      </c>
      <c r="F28" s="338">
        <f>SUM('2019 Capital Budget'!I30:I32)</f>
        <v>-1507.16</v>
      </c>
      <c r="G28" s="338">
        <f>SUM('2019 Capital Budget'!J30:J32)</f>
        <v>0</v>
      </c>
      <c r="H28" s="338">
        <f>SUM('2019 Capital Budget'!K30:K32)</f>
        <v>0</v>
      </c>
      <c r="I28" s="338">
        <f>SUM('2019 Capital Budget'!L30:L32)</f>
        <v>0</v>
      </c>
      <c r="J28" s="338">
        <f>SUM('2019 Capital Budget'!M30:M32)</f>
        <v>0</v>
      </c>
      <c r="K28" s="338">
        <f>SUM('2019 Capital Budget'!N30:N32)</f>
        <v>0</v>
      </c>
      <c r="L28" s="338">
        <f>SUM('2019 Capital Budget'!O30:O32)</f>
        <v>0</v>
      </c>
      <c r="M28" s="338">
        <f>SUM('2019 Capital Budget'!P30:P32)</f>
        <v>0</v>
      </c>
      <c r="N28" s="338">
        <f>SUM('2019 Capital Budget'!Q30:Q32)</f>
        <v>0</v>
      </c>
      <c r="O28" s="34">
        <f t="shared" si="7"/>
        <v>160988.60999999999</v>
      </c>
      <c r="P28" s="86"/>
    </row>
    <row r="29" spans="1:16">
      <c r="A29" s="38">
        <f t="shared" si="6"/>
        <v>17</v>
      </c>
      <c r="B29" s="26" t="s">
        <v>82</v>
      </c>
      <c r="C29" s="33">
        <f t="shared" ref="C29:O29" si="8">SUM(C25:C28)</f>
        <v>305257.36</v>
      </c>
      <c r="D29" s="33">
        <f t="shared" si="8"/>
        <v>171177.68</v>
      </c>
      <c r="E29" s="33">
        <f t="shared" si="8"/>
        <v>185187.46</v>
      </c>
      <c r="F29" s="33">
        <f t="shared" si="8"/>
        <v>373015.76</v>
      </c>
      <c r="G29" s="33">
        <f t="shared" si="8"/>
        <v>392332.57</v>
      </c>
      <c r="H29" s="33">
        <f t="shared" si="8"/>
        <v>450871.25</v>
      </c>
      <c r="I29" s="33">
        <f t="shared" si="8"/>
        <v>384718.32</v>
      </c>
      <c r="J29" s="33">
        <f t="shared" si="8"/>
        <v>374205.67</v>
      </c>
      <c r="K29" s="33">
        <f t="shared" si="8"/>
        <v>468218.97</v>
      </c>
      <c r="L29" s="33">
        <f t="shared" si="8"/>
        <v>413464.76</v>
      </c>
      <c r="M29" s="33">
        <f t="shared" si="8"/>
        <v>503043.61</v>
      </c>
      <c r="N29" s="33">
        <f t="shared" si="8"/>
        <v>602073.87</v>
      </c>
      <c r="O29" s="33">
        <f t="shared" si="8"/>
        <v>4623567.2799999993</v>
      </c>
      <c r="P29" s="46"/>
    </row>
    <row r="30" spans="1:16">
      <c r="A30" s="38"/>
      <c r="I30" s="33"/>
      <c r="J30" s="33"/>
      <c r="K30" s="33"/>
      <c r="L30" s="33"/>
      <c r="M30" s="33"/>
      <c r="N30" s="33"/>
      <c r="O30" s="33"/>
      <c r="P30" s="46"/>
    </row>
    <row r="31" spans="1:16">
      <c r="A31" s="38">
        <f>A29+1</f>
        <v>18</v>
      </c>
      <c r="B31" s="26" t="s">
        <v>59</v>
      </c>
      <c r="C31" s="33">
        <v>13468.560000000001</v>
      </c>
      <c r="D31" s="33">
        <v>-994.94999999999709</v>
      </c>
      <c r="E31" s="33">
        <v>7399.9800000000114</v>
      </c>
      <c r="F31" s="33">
        <v>23537.760000000009</v>
      </c>
      <c r="G31" s="33">
        <v>154764.51</v>
      </c>
      <c r="H31" s="33">
        <v>138836.32</v>
      </c>
      <c r="I31" s="33">
        <v>70058.930000000008</v>
      </c>
      <c r="J31" s="33">
        <v>75650.09</v>
      </c>
      <c r="K31" s="33">
        <v>94599.16</v>
      </c>
      <c r="L31" s="33">
        <v>69510.05</v>
      </c>
      <c r="M31" s="33">
        <v>74100.510000000009</v>
      </c>
      <c r="N31" s="33">
        <v>92177.96</v>
      </c>
      <c r="O31" s="33">
        <f>SUM(C31:N31)</f>
        <v>813108.88000000012</v>
      </c>
      <c r="P31" s="46"/>
    </row>
    <row r="32" spans="1:16">
      <c r="A32" s="38">
        <f>A31+1</f>
        <v>19</v>
      </c>
      <c r="B32" s="26" t="s">
        <v>417</v>
      </c>
      <c r="C32" s="33">
        <v>40112</v>
      </c>
      <c r="D32" s="33">
        <v>40112</v>
      </c>
      <c r="E32" s="33">
        <v>40112</v>
      </c>
      <c r="F32" s="33">
        <v>40112</v>
      </c>
      <c r="G32" s="33">
        <v>40112</v>
      </c>
      <c r="H32" s="33">
        <v>40112</v>
      </c>
      <c r="I32" s="33">
        <v>40112</v>
      </c>
      <c r="J32" s="33">
        <v>40112</v>
      </c>
      <c r="K32" s="33">
        <v>40112</v>
      </c>
      <c r="L32" s="33">
        <v>40112</v>
      </c>
      <c r="M32" s="33">
        <v>40112</v>
      </c>
      <c r="N32" s="33">
        <v>40112</v>
      </c>
      <c r="O32" s="33">
        <f>SUM(C32:N32)</f>
        <v>481344</v>
      </c>
      <c r="P32" s="46"/>
    </row>
    <row r="33" spans="1:30">
      <c r="A33" s="38">
        <v>20</v>
      </c>
      <c r="B33" s="26" t="s">
        <v>418</v>
      </c>
      <c r="C33" s="33">
        <v>7144.99</v>
      </c>
      <c r="D33" s="33">
        <v>7144.99</v>
      </c>
      <c r="E33" s="33">
        <v>7144.99</v>
      </c>
      <c r="F33" s="33">
        <v>7144.99</v>
      </c>
      <c r="G33" s="33">
        <v>7144.99</v>
      </c>
      <c r="H33" s="33">
        <v>7144.99</v>
      </c>
      <c r="I33" s="33">
        <v>7144.99</v>
      </c>
      <c r="J33" s="33">
        <v>7144.99</v>
      </c>
      <c r="K33" s="33">
        <v>7144.99</v>
      </c>
      <c r="L33" s="33">
        <v>7144.99</v>
      </c>
      <c r="M33" s="33">
        <v>7144.99</v>
      </c>
      <c r="N33" s="33">
        <v>7144.99</v>
      </c>
      <c r="O33" s="33">
        <f>SUM(C33:N33)</f>
        <v>85739.88</v>
      </c>
    </row>
    <row r="34" spans="1:30">
      <c r="L34" s="63"/>
      <c r="M34" s="33"/>
    </row>
    <row r="36" spans="1:30" s="26" customFormat="1">
      <c r="A36" s="28"/>
      <c r="M36" s="28"/>
      <c r="N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s="26" customFormat="1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s="26" customFormat="1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s="26" customFormat="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s="26" customFormat="1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s="26" customForma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s="26" customForma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s="26" customForma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s="26" customForma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s="26" customForma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s="26" customForma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s="26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s="26" customForma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s="26" customForma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s="26" customForma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</sheetData>
  <pageMargins left="0.7" right="0.7" top="0.75" bottom="0.75" header="0.3" footer="0.3"/>
  <pageSetup scale="49" orientation="landscape" r:id="rId1"/>
  <headerFooter>
    <oddFooter>&amp;R&amp;"Times New Roman,Bold"&amp;18Exhibit 4
Page 4 of 17&amp;L&amp;1#&amp;"Calibri"&amp;14&amp;K000000Business Use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427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'201812 Bk Depr'!R13</f>
        <v>7189099.9499999993</v>
      </c>
      <c r="H13" s="1">
        <f>1.62%/12</f>
        <v>1.3500000000000003E-3</v>
      </c>
      <c r="J13" s="278">
        <f>F13*H13</f>
        <v>9705.2849325000007</v>
      </c>
      <c r="L13" s="279">
        <f>'Cap&amp;OpEx 2019'!C10</f>
        <v>-2253.9899999999798</v>
      </c>
      <c r="N13" s="278">
        <f>H13*L13*0.5</f>
        <v>-1.5214432499999866</v>
      </c>
      <c r="P13" s="278">
        <f>J13+N13</f>
        <v>9703.7634892500009</v>
      </c>
      <c r="R13" s="278">
        <f>L13+F13</f>
        <v>7186845.959999999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'201812 Bk Depr'!R14</f>
        <v>4709352.8400000008</v>
      </c>
      <c r="H14" s="1">
        <f>3.24%/12</f>
        <v>2.7000000000000006E-3</v>
      </c>
      <c r="J14" s="278">
        <f>F14*H14</f>
        <v>12715.252668000005</v>
      </c>
      <c r="L14" s="279">
        <f>'Cap&amp;OpEx 2019'!C12</f>
        <v>517199.86</v>
      </c>
      <c r="N14" s="278">
        <f>H14*L14*0.5</f>
        <v>698.21981100000016</v>
      </c>
      <c r="P14" s="278">
        <f>J14+N14</f>
        <v>13413.472479000005</v>
      </c>
      <c r="R14" s="278">
        <f>L14+F14</f>
        <v>5226552.7000000011</v>
      </c>
    </row>
    <row r="15" spans="1:18">
      <c r="A15" s="6">
        <f t="shared" ref="A15" si="0">A14+1</f>
        <v>3</v>
      </c>
      <c r="B15" s="4"/>
      <c r="C15" s="9" t="s">
        <v>63</v>
      </c>
      <c r="D15" s="6">
        <v>380</v>
      </c>
      <c r="F15" s="274">
        <f>'201812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2019'!C13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>A15+1</f>
        <v>4</v>
      </c>
      <c r="B16" s="4"/>
      <c r="C16" s="4" t="s">
        <v>160</v>
      </c>
      <c r="D16" s="6">
        <v>380</v>
      </c>
      <c r="F16" s="275">
        <f>'201812 Bk Depr'!R16</f>
        <v>16000164.520000001</v>
      </c>
      <c r="H16" s="1">
        <f t="shared" si="1"/>
        <v>2.7000000000000006E-3</v>
      </c>
      <c r="J16" s="278">
        <f>F16*H16</f>
        <v>43200.444204000014</v>
      </c>
      <c r="L16" s="280">
        <f>'Cap&amp;OpEx 2019'!C14</f>
        <v>252648.8600000001</v>
      </c>
      <c r="N16" s="278">
        <f>H16*L16*0.5</f>
        <v>341.07596100000023</v>
      </c>
      <c r="P16" s="278">
        <f>J16+N16</f>
        <v>43541.520165000016</v>
      </c>
      <c r="R16" s="278">
        <f>L16+F16</f>
        <v>16252813.380000001</v>
      </c>
    </row>
    <row r="17" spans="1:18">
      <c r="A17" s="6">
        <f>A16+1</f>
        <v>5</v>
      </c>
      <c r="B17" s="4"/>
      <c r="C17" s="4" t="s">
        <v>21</v>
      </c>
      <c r="F17" s="276">
        <f>SUM(F13:F16)</f>
        <v>35115997.550000004</v>
      </c>
      <c r="J17" s="276">
        <f>SUM(J13:J16)</f>
        <v>85107.908452500036</v>
      </c>
      <c r="L17" s="276">
        <f>SUM(L13:L16)</f>
        <v>767594.7300000001</v>
      </c>
      <c r="N17" s="276">
        <f>SUM(N13:N16)</f>
        <v>1037.7743287500004</v>
      </c>
      <c r="P17" s="276">
        <f>SUM(P13:P16)</f>
        <v>86145.682781250041</v>
      </c>
      <c r="R17" s="276">
        <f>SUM(R13:R16)</f>
        <v>35883592.280000001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'201812 Bk Depr'!R20</f>
        <v>0</v>
      </c>
      <c r="H20" s="1">
        <f>1.62%/12</f>
        <v>1.3500000000000003E-3</v>
      </c>
      <c r="J20" s="278">
        <f>F20*H20</f>
        <v>0</v>
      </c>
      <c r="L20" s="279">
        <f>'Cap&amp;OpEx 2019'!C17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'201812 Bk Depr'!R21</f>
        <v>0</v>
      </c>
      <c r="H21" s="1">
        <f>3.24%/12</f>
        <v>2.7000000000000006E-3</v>
      </c>
      <c r="J21" s="278">
        <f t="shared" ref="J21:J22" si="2">F21*H21</f>
        <v>0</v>
      </c>
      <c r="L21" s="279">
        <f>'Cap&amp;OpEx 2019'!C19</f>
        <v>0</v>
      </c>
      <c r="N21" s="278">
        <f t="shared" ref="N21:N22" si="3">H21*L21*0.5</f>
        <v>0</v>
      </c>
      <c r="P21" s="278">
        <f t="shared" ref="P21:P22" si="4">J21+N21</f>
        <v>0</v>
      </c>
      <c r="R21" s="278">
        <f t="shared" ref="R21:R22" si="5"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275">
        <f>'201812 Bk Depr'!R22</f>
        <v>0</v>
      </c>
      <c r="H22" s="1">
        <f>3.24%/12</f>
        <v>2.7000000000000006E-3</v>
      </c>
      <c r="J22" s="278">
        <f t="shared" si="2"/>
        <v>0</v>
      </c>
      <c r="L22" s="280">
        <f>'Cap&amp;OpEx 2019'!C20</f>
        <v>0</v>
      </c>
      <c r="N22" s="278">
        <f t="shared" si="3"/>
        <v>0</v>
      </c>
      <c r="P22" s="278">
        <f t="shared" si="4"/>
        <v>0</v>
      </c>
      <c r="R22" s="278">
        <f t="shared" si="5"/>
        <v>0</v>
      </c>
    </row>
    <row r="23" spans="1:18">
      <c r="A23" s="6">
        <f t="shared" si="6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35115997.550000004</v>
      </c>
      <c r="J25" s="277">
        <f>J17+J23</f>
        <v>85107.908452500036</v>
      </c>
      <c r="L25" s="277">
        <f>L17+L23</f>
        <v>767594.7300000001</v>
      </c>
      <c r="N25" s="277">
        <f>N17+N23</f>
        <v>1037.7743287500004</v>
      </c>
      <c r="P25" s="277">
        <f>P17+P23</f>
        <v>86145.682781250041</v>
      </c>
      <c r="R25" s="277">
        <f>R17+R23</f>
        <v>35883592.280000001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'201812 Bk Depr'!R28</f>
        <v>1925972.51</v>
      </c>
      <c r="J28" s="278"/>
      <c r="L28" s="279">
        <f>'Cap&amp;OpEx 2019'!C25</f>
        <v>1943.33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'201812 Bk Depr'!R29</f>
        <v>1540182.27</v>
      </c>
      <c r="J29" s="278"/>
      <c r="L29" s="279">
        <f>'Cap&amp;OpEx 2019'!C27</f>
        <v>142325.40999999997</v>
      </c>
      <c r="N29" s="278"/>
      <c r="P29" s="278"/>
      <c r="R29" s="278">
        <f>L29+F29</f>
        <v>1682507.68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275">
        <f>'201812 Bk Depr'!R30</f>
        <v>0</v>
      </c>
      <c r="J30" s="278"/>
      <c r="L30" s="280">
        <f>'Cap&amp;OpEx 2019'!C28</f>
        <v>160988.62</v>
      </c>
      <c r="N30" s="278"/>
      <c r="P30" s="278"/>
      <c r="R30" s="278">
        <f>L30+F30</f>
        <v>160988.62</v>
      </c>
    </row>
    <row r="31" spans="1:18">
      <c r="A31" s="6">
        <f t="shared" si="7"/>
        <v>14</v>
      </c>
      <c r="B31" s="4"/>
      <c r="C31" s="4" t="s">
        <v>23</v>
      </c>
      <c r="F31" s="276">
        <f>SUM(F28:F30)</f>
        <v>3466154.7800000003</v>
      </c>
      <c r="J31" s="276">
        <f>SUM(J28:J30)</f>
        <v>0</v>
      </c>
      <c r="L31" s="276">
        <f>SUM(L28:L30)</f>
        <v>305257.36</v>
      </c>
      <c r="N31" s="276">
        <f>SUM(N28:N30)</f>
        <v>0</v>
      </c>
      <c r="P31" s="276">
        <f>SUM(P28:P30)</f>
        <v>0</v>
      </c>
      <c r="R31" s="276">
        <f>SUM(R28:R30)</f>
        <v>3771412.14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5 of 17&amp;L&amp;1#&amp;"Calibri"&amp;14&amp;K000000Business Use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428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'201901 Bk Depr'!R13</f>
        <v>7186845.959999999</v>
      </c>
      <c r="H13" s="1">
        <f>1.62%/12</f>
        <v>1.3500000000000003E-3</v>
      </c>
      <c r="J13" s="278">
        <f>F13*H13</f>
        <v>9702.2420460000012</v>
      </c>
      <c r="L13" s="279">
        <f>'Cap&amp;OpEx 2019'!D10</f>
        <v>14667.820000000002</v>
      </c>
      <c r="N13" s="278">
        <f>H13*L13*0.5</f>
        <v>9.900778500000003</v>
      </c>
      <c r="P13" s="278">
        <f>J13+N13</f>
        <v>9712.1428245000006</v>
      </c>
      <c r="R13" s="278">
        <f>L13+F13</f>
        <v>7201513.7799999993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'201901 Bk Depr'!R14</f>
        <v>5226552.7000000011</v>
      </c>
      <c r="H14" s="1">
        <f>3.24%/12</f>
        <v>2.7000000000000006E-3</v>
      </c>
      <c r="J14" s="278">
        <f>F14*H14</f>
        <v>14111.692290000006</v>
      </c>
      <c r="L14" s="279">
        <f>'Cap&amp;OpEx 2019'!D12</f>
        <v>199834.85</v>
      </c>
      <c r="N14" s="278">
        <f>H14*L14*0.5</f>
        <v>269.77704750000004</v>
      </c>
      <c r="P14" s="278">
        <f>J14+N14</f>
        <v>14381.469337500006</v>
      </c>
      <c r="R14" s="278">
        <f>L14+F14</f>
        <v>5426387.5500000007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'201901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2019'!D13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'201901 Bk Depr'!R16</f>
        <v>16252813.380000001</v>
      </c>
      <c r="H16" s="1">
        <f t="shared" si="1"/>
        <v>2.7000000000000006E-3</v>
      </c>
      <c r="J16" s="278">
        <f>F16*H16</f>
        <v>43882.596126000011</v>
      </c>
      <c r="L16" s="280">
        <f>'Cap&amp;OpEx 2019'!D14</f>
        <v>394882.21</v>
      </c>
      <c r="N16" s="278">
        <f>H16*L16*0.5</f>
        <v>533.09098350000011</v>
      </c>
      <c r="P16" s="278">
        <f>J16+N16</f>
        <v>44415.68710950001</v>
      </c>
      <c r="R16" s="278">
        <f>L16+F16</f>
        <v>16647695.590000002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35883592.280000001</v>
      </c>
      <c r="J17" s="276">
        <f>SUM(J13:J16)</f>
        <v>87183.457110000018</v>
      </c>
      <c r="L17" s="276">
        <f>SUM(L13:L16)</f>
        <v>609384.88</v>
      </c>
      <c r="N17" s="276">
        <f>SUM(N13:N16)</f>
        <v>812.76880950000009</v>
      </c>
      <c r="P17" s="276">
        <f>SUM(P13:P16)</f>
        <v>87996.225919500022</v>
      </c>
      <c r="R17" s="276">
        <f>SUM(R13:R16)</f>
        <v>36492977.160000004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'201901 Bk Depr'!R20</f>
        <v>0</v>
      </c>
      <c r="H20" s="1">
        <f>1.62%/12</f>
        <v>1.3500000000000003E-3</v>
      </c>
      <c r="J20" s="278">
        <f>F20*H20</f>
        <v>0</v>
      </c>
      <c r="L20" s="279">
        <f>'Cap&amp;OpEx 2019'!D17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'201901 Bk Depr'!R21</f>
        <v>0</v>
      </c>
      <c r="H21" s="1">
        <f>3.24%/12</f>
        <v>2.7000000000000006E-3</v>
      </c>
      <c r="J21" s="278">
        <f>F21*H21</f>
        <v>0</v>
      </c>
      <c r="L21" s="279">
        <f>'Cap&amp;OpEx 2019'!D19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'201901 Bk Depr'!R22</f>
        <v>0</v>
      </c>
      <c r="H22" s="1">
        <f>3.24%/12</f>
        <v>2.7000000000000006E-3</v>
      </c>
      <c r="J22" s="278">
        <f>F22*H22</f>
        <v>0</v>
      </c>
      <c r="L22" s="280">
        <f>'Cap&amp;OpEx 2019'!D20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35883592.280000001</v>
      </c>
      <c r="J25" s="277">
        <f>J17+J23</f>
        <v>87183.457110000018</v>
      </c>
      <c r="L25" s="277">
        <f>L17+L23</f>
        <v>609384.88</v>
      </c>
      <c r="N25" s="277">
        <f>N17+N23</f>
        <v>812.76880950000009</v>
      </c>
      <c r="P25" s="277">
        <f>P17+P23</f>
        <v>87996.225919500022</v>
      </c>
      <c r="R25" s="277">
        <f>R17+R23</f>
        <v>36492977.160000004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'201901 Bk Depr'!R28</f>
        <v>1927915.84</v>
      </c>
      <c r="J28" s="278"/>
      <c r="L28" s="279">
        <f>'Cap&amp;OpEx 2019'!D25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'201901 Bk Depr'!R29</f>
        <v>1682507.68</v>
      </c>
      <c r="J29" s="278"/>
      <c r="L29" s="279">
        <f>'Cap&amp;OpEx 2019'!D27</f>
        <v>171177.69</v>
      </c>
      <c r="N29" s="278"/>
      <c r="P29" s="278"/>
      <c r="R29" s="278">
        <f>L29+F29</f>
        <v>1853685.3699999999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'201901 Bk Depr'!R30</f>
        <v>160988.62</v>
      </c>
      <c r="J30" s="278"/>
      <c r="L30" s="280">
        <f>'Cap&amp;OpEx 2019'!D28</f>
        <v>-0.01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3771412.14</v>
      </c>
      <c r="J31" s="276">
        <f>SUM(J28:J30)</f>
        <v>0</v>
      </c>
      <c r="L31" s="276">
        <f>SUM(L28:L30)</f>
        <v>171177.68</v>
      </c>
      <c r="N31" s="276">
        <f>SUM(N28:N30)</f>
        <v>0</v>
      </c>
      <c r="P31" s="276">
        <f>SUM(P28:P30)</f>
        <v>0</v>
      </c>
      <c r="R31" s="276">
        <f>SUM(R28:R30)</f>
        <v>3942589.82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6 of 17&amp;L&amp;1#&amp;"Calibri"&amp;14&amp;K000000Business Use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429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'201902 Bk Depr'!R13</f>
        <v>7201513.7799999993</v>
      </c>
      <c r="H13" s="1">
        <f>1.62%/12</f>
        <v>1.3500000000000003E-3</v>
      </c>
      <c r="J13" s="278">
        <f>F13*H13</f>
        <v>9722.0436030000019</v>
      </c>
      <c r="L13" s="279">
        <f>'Cap&amp;OpEx 2019'!E10</f>
        <v>0</v>
      </c>
      <c r="N13" s="278">
        <f>H13*L13*0.5</f>
        <v>0</v>
      </c>
      <c r="P13" s="278">
        <f>J13+N13</f>
        <v>9722.0436030000019</v>
      </c>
      <c r="R13" s="278">
        <f>L13+F13</f>
        <v>7201513.7799999993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'201902 Bk Depr'!R14</f>
        <v>5426387.5500000007</v>
      </c>
      <c r="H14" s="1">
        <f>3.24%/12</f>
        <v>2.7000000000000006E-3</v>
      </c>
      <c r="J14" s="278">
        <f>F14*H14</f>
        <v>14651.246385000006</v>
      </c>
      <c r="L14" s="279">
        <f>'Cap&amp;OpEx 2019'!E12</f>
        <v>0</v>
      </c>
      <c r="N14" s="278">
        <f>H14*L14*0.5</f>
        <v>0</v>
      </c>
      <c r="P14" s="278">
        <f>J14+N14</f>
        <v>14651.246385000006</v>
      </c>
      <c r="R14" s="278">
        <f>L14+F14</f>
        <v>5426387.5500000007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'201902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2019'!E13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'201902 Bk Depr'!R16</f>
        <v>16647695.590000002</v>
      </c>
      <c r="H16" s="1">
        <f t="shared" si="1"/>
        <v>2.7000000000000006E-3</v>
      </c>
      <c r="J16" s="278">
        <f>F16*H16</f>
        <v>44948.778093000015</v>
      </c>
      <c r="L16" s="280">
        <f>'Cap&amp;OpEx 2019'!E14</f>
        <v>1489239.21</v>
      </c>
      <c r="N16" s="278">
        <f>H16*L16*0.5</f>
        <v>2010.4729335000004</v>
      </c>
      <c r="P16" s="278">
        <f>J16+N16</f>
        <v>46959.251026500016</v>
      </c>
      <c r="R16" s="278">
        <f>L16+F16</f>
        <v>18136934.800000001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36492977.160000004</v>
      </c>
      <c r="J17" s="276">
        <f>SUM(J13:J16)</f>
        <v>88808.994729000027</v>
      </c>
      <c r="L17" s="276">
        <f>SUM(L13:L16)</f>
        <v>1489239.21</v>
      </c>
      <c r="N17" s="276">
        <f>SUM(N13:N16)</f>
        <v>2010.4729335000004</v>
      </c>
      <c r="P17" s="276">
        <f>SUM(P13:P16)</f>
        <v>90819.467662500028</v>
      </c>
      <c r="R17" s="276">
        <f>SUM(R13:R16)</f>
        <v>37982216.370000005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'201902 Bk Depr'!R20</f>
        <v>0</v>
      </c>
      <c r="H20" s="1">
        <f>1.62%/12</f>
        <v>1.3500000000000003E-3</v>
      </c>
      <c r="J20" s="278">
        <f>F20*H20</f>
        <v>0</v>
      </c>
      <c r="L20" s="279">
        <f>'Cap&amp;OpEx 2019'!E17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'201902 Bk Depr'!R21</f>
        <v>0</v>
      </c>
      <c r="H21" s="1">
        <f>3.24%/12</f>
        <v>2.7000000000000006E-3</v>
      </c>
      <c r="J21" s="278">
        <f>F21*H21</f>
        <v>0</v>
      </c>
      <c r="L21" s="279">
        <f>'Cap&amp;OpEx 2019'!E19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'201902 Bk Depr'!R22</f>
        <v>0</v>
      </c>
      <c r="H22" s="1">
        <f>3.24%/12</f>
        <v>2.7000000000000006E-3</v>
      </c>
      <c r="J22" s="278">
        <f>F22*H22</f>
        <v>0</v>
      </c>
      <c r="L22" s="280">
        <f>'Cap&amp;OpEx 2019'!E20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36492977.160000004</v>
      </c>
      <c r="J25" s="277">
        <f>J17+J23</f>
        <v>88808.994729000027</v>
      </c>
      <c r="L25" s="277">
        <f>L17+L23</f>
        <v>1489239.21</v>
      </c>
      <c r="N25" s="277">
        <f>N17+N23</f>
        <v>2010.4729335000004</v>
      </c>
      <c r="P25" s="277">
        <f>P17+P23</f>
        <v>90819.467662500028</v>
      </c>
      <c r="R25" s="277">
        <f>R17+R23</f>
        <v>37982216.370000005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'201902 Bk Depr'!R28</f>
        <v>1927915.84</v>
      </c>
      <c r="J28" s="278"/>
      <c r="L28" s="279">
        <f>'Cap&amp;OpEx 2019'!E25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'201902 Bk Depr'!R29</f>
        <v>1853685.3699999999</v>
      </c>
      <c r="J29" s="278"/>
      <c r="L29" s="279">
        <f>'Cap&amp;OpEx 2019'!E27</f>
        <v>183680.3</v>
      </c>
      <c r="N29" s="278"/>
      <c r="P29" s="278"/>
      <c r="R29" s="278">
        <f>L29+F29</f>
        <v>2037365.67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'201902 Bk Depr'!R30</f>
        <v>160988.60999999999</v>
      </c>
      <c r="J30" s="278"/>
      <c r="L30" s="280">
        <f>'Cap&amp;OpEx 2019'!E28</f>
        <v>1507.16</v>
      </c>
      <c r="N30" s="278"/>
      <c r="P30" s="278"/>
      <c r="R30" s="278">
        <f>L30+F30</f>
        <v>162495.76999999999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3942589.82</v>
      </c>
      <c r="J31" s="276">
        <f>SUM(J28:J30)</f>
        <v>0</v>
      </c>
      <c r="L31" s="276">
        <f>SUM(L28:L30)</f>
        <v>185187.46</v>
      </c>
      <c r="N31" s="276">
        <f>SUM(N28:N30)</f>
        <v>0</v>
      </c>
      <c r="P31" s="276">
        <f>SUM(P28:P30)</f>
        <v>0</v>
      </c>
      <c r="R31" s="276">
        <f>SUM(R28:R30)</f>
        <v>4127777.28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7 of 17&amp;L&amp;1#&amp;"Calibri"&amp;14&amp;K000000Business Use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'201903 Bk Depr'!R13</f>
        <v>7201513.7799999993</v>
      </c>
      <c r="H13" s="1">
        <f>1.62%/12</f>
        <v>1.3500000000000003E-3</v>
      </c>
      <c r="J13" s="278">
        <f>F13*H13</f>
        <v>9722.0436030000019</v>
      </c>
      <c r="L13" s="279">
        <f>'Cap&amp;OpEx 2019'!F10</f>
        <v>38923.71</v>
      </c>
      <c r="N13" s="278">
        <f>H13*L13*0.5</f>
        <v>26.273504250000006</v>
      </c>
      <c r="P13" s="278">
        <f>J13+N13</f>
        <v>9748.3171072500027</v>
      </c>
      <c r="R13" s="278">
        <f>L13+F13</f>
        <v>7240437.4899999993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'201903 Bk Depr'!R14</f>
        <v>5426387.5500000007</v>
      </c>
      <c r="H14" s="1">
        <f>3.24%/12</f>
        <v>2.7000000000000006E-3</v>
      </c>
      <c r="J14" s="278">
        <f>F14*H14</f>
        <v>14651.246385000006</v>
      </c>
      <c r="L14" s="279">
        <f>'Cap&amp;OpEx 2019'!F12</f>
        <v>528130.11</v>
      </c>
      <c r="N14" s="278">
        <f>H14*L14*0.5</f>
        <v>712.97564850000015</v>
      </c>
      <c r="P14" s="278">
        <f>J14+N14</f>
        <v>15364.222033500006</v>
      </c>
      <c r="R14" s="278">
        <f>L14+F14</f>
        <v>5954517.6600000011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'201903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2019'!F13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'201903 Bk Depr'!R16</f>
        <v>18136934.800000001</v>
      </c>
      <c r="H16" s="1">
        <f t="shared" si="1"/>
        <v>2.7000000000000006E-3</v>
      </c>
      <c r="J16" s="278">
        <f>F16*H16</f>
        <v>48969.72396000001</v>
      </c>
      <c r="L16" s="280">
        <f>'Cap&amp;OpEx 2019'!F14</f>
        <v>3407021.7299999991</v>
      </c>
      <c r="N16" s="278">
        <f>H16*L16*0.5</f>
        <v>4599.4793354999993</v>
      </c>
      <c r="P16" s="278">
        <f>J16+N16</f>
        <v>53569.20329550001</v>
      </c>
      <c r="R16" s="278">
        <f>L16+F16</f>
        <v>21543956.530000001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37982216.370000005</v>
      </c>
      <c r="J17" s="276">
        <f>SUM(J13:J16)</f>
        <v>92829.940596000029</v>
      </c>
      <c r="L17" s="276">
        <f>SUM(L13:L16)</f>
        <v>3974075.5499999989</v>
      </c>
      <c r="N17" s="276">
        <f>SUM(N13:N16)</f>
        <v>5338.7284882499989</v>
      </c>
      <c r="P17" s="276">
        <f>SUM(P13:P16)</f>
        <v>98168.669084250025</v>
      </c>
      <c r="R17" s="276">
        <f>SUM(R13:R16)</f>
        <v>41956291.920000002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'201903 Bk Depr'!R20</f>
        <v>0</v>
      </c>
      <c r="H20" s="1">
        <f>1.62%/12</f>
        <v>1.3500000000000003E-3</v>
      </c>
      <c r="J20" s="278">
        <f>F20*H20</f>
        <v>0</v>
      </c>
      <c r="L20" s="279">
        <f>'Cap&amp;OpEx 2019'!F17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'201903 Bk Depr'!R21</f>
        <v>0</v>
      </c>
      <c r="H21" s="1">
        <f>3.24%/12</f>
        <v>2.7000000000000006E-3</v>
      </c>
      <c r="J21" s="278">
        <f>F21*H21</f>
        <v>0</v>
      </c>
      <c r="L21" s="279">
        <f>'Cap&amp;OpEx 2019'!F19</f>
        <v>0</v>
      </c>
      <c r="N21" s="278">
        <f>H21*L21*0.5</f>
        <v>0</v>
      </c>
      <c r="P21" s="278">
        <f>J21+N21</f>
        <v>0</v>
      </c>
      <c r="R21" s="278">
        <f t="shared" ref="R21" si="2">L21+F21</f>
        <v>0</v>
      </c>
    </row>
    <row r="22" spans="1:18">
      <c r="A22" s="6">
        <f t="shared" ref="A22:A23" si="3">A21+1</f>
        <v>8</v>
      </c>
      <c r="B22" s="4"/>
      <c r="C22" s="9" t="s">
        <v>63</v>
      </c>
      <c r="D22" s="6">
        <v>380</v>
      </c>
      <c r="F22" s="275">
        <f>'201903 Bk Depr'!R22</f>
        <v>0</v>
      </c>
      <c r="H22" s="1">
        <f>3.24%/12</f>
        <v>2.7000000000000006E-3</v>
      </c>
      <c r="J22" s="278">
        <f>F22*H22</f>
        <v>0</v>
      </c>
      <c r="L22" s="280">
        <f>'Cap&amp;OpEx 2019'!F20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3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37982216.370000005</v>
      </c>
      <c r="J25" s="277">
        <f>J17+J23</f>
        <v>92829.940596000029</v>
      </c>
      <c r="L25" s="277">
        <f>L17+L23</f>
        <v>3974075.5499999989</v>
      </c>
      <c r="N25" s="277">
        <f>N17+N23</f>
        <v>5338.7284882499989</v>
      </c>
      <c r="P25" s="277">
        <f>P17+P23</f>
        <v>98168.669084250025</v>
      </c>
      <c r="R25" s="277">
        <f>R17+R23</f>
        <v>41956291.920000002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'201903 Bk Depr'!R28</f>
        <v>1927915.84</v>
      </c>
      <c r="J28" s="278"/>
      <c r="L28" s="279">
        <f>'Cap&amp;OpEx 2019'!F25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'201903 Bk Depr'!R29</f>
        <v>2037365.67</v>
      </c>
      <c r="J29" s="278"/>
      <c r="L29" s="279">
        <f>'Cap&amp;OpEx 2019'!F27</f>
        <v>374522.92</v>
      </c>
      <c r="N29" s="278"/>
      <c r="P29" s="278"/>
      <c r="R29" s="278">
        <f>L29+F29</f>
        <v>2411888.59</v>
      </c>
    </row>
    <row r="30" spans="1:18">
      <c r="A30" s="6">
        <f t="shared" ref="A30:A31" si="4">A29+1</f>
        <v>13</v>
      </c>
      <c r="B30" s="4"/>
      <c r="C30" s="9" t="s">
        <v>63</v>
      </c>
      <c r="D30" s="6">
        <v>380</v>
      </c>
      <c r="F30" s="275">
        <f>'201903 Bk Depr'!R30</f>
        <v>162495.76999999999</v>
      </c>
      <c r="J30" s="278"/>
      <c r="L30" s="280">
        <f>'Cap&amp;OpEx 2019'!F28</f>
        <v>-1507.16</v>
      </c>
      <c r="N30" s="278"/>
      <c r="P30" s="278"/>
      <c r="R30" s="278">
        <f>L30+F30</f>
        <v>160988.60999999999</v>
      </c>
    </row>
    <row r="31" spans="1:18">
      <c r="A31" s="6">
        <f t="shared" si="4"/>
        <v>14</v>
      </c>
      <c r="B31" s="4"/>
      <c r="C31" s="4" t="s">
        <v>23</v>
      </c>
      <c r="F31" s="276">
        <f>SUM(F28:F30)</f>
        <v>4127777.28</v>
      </c>
      <c r="J31" s="276">
        <f>SUM(J28:J30)</f>
        <v>0</v>
      </c>
      <c r="L31" s="276">
        <f>SUM(L28:L30)</f>
        <v>373015.76</v>
      </c>
      <c r="N31" s="276">
        <f>SUM(N28:N30)</f>
        <v>0</v>
      </c>
      <c r="P31" s="276">
        <f>SUM(P28:P30)</f>
        <v>0</v>
      </c>
      <c r="R31" s="276">
        <f>SUM(R28:R30)</f>
        <v>4500793.04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8 of 17&amp;L&amp;1#&amp;"Calibri"&amp;14&amp;K000000Business Use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'201904 Bk Depr'!R13</f>
        <v>7240437.4899999993</v>
      </c>
      <c r="H13" s="1">
        <f>1.62%/12</f>
        <v>1.3500000000000003E-3</v>
      </c>
      <c r="J13" s="278">
        <f>F13*H13</f>
        <v>9774.5906115000016</v>
      </c>
      <c r="L13" s="279">
        <f>'Cap&amp;OpEx 2019'!G10</f>
        <v>20480.28</v>
      </c>
      <c r="N13" s="278">
        <f>H13*L13*0.5</f>
        <v>13.824189000000002</v>
      </c>
      <c r="P13" s="278">
        <f>J13+N13</f>
        <v>9788.4148005000025</v>
      </c>
      <c r="R13" s="278">
        <f>L13+F13</f>
        <v>7260917.7699999996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'201904 Bk Depr'!R14</f>
        <v>5954517.6600000011</v>
      </c>
      <c r="H14" s="1">
        <f>3.24%/12</f>
        <v>2.7000000000000006E-3</v>
      </c>
      <c r="J14" s="278">
        <f>F14*H14</f>
        <v>16077.197682000005</v>
      </c>
      <c r="L14" s="279">
        <f>'Cap&amp;OpEx 2019'!G12</f>
        <v>334113.7</v>
      </c>
      <c r="N14" s="278">
        <f>H14*L14*0.5</f>
        <v>451.05349500000011</v>
      </c>
      <c r="P14" s="278">
        <f>J14+N14</f>
        <v>16528.251177000006</v>
      </c>
      <c r="R14" s="278">
        <f>L14+F14</f>
        <v>6288631.3600000013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'201904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2019'!G13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'201904 Bk Depr'!R16</f>
        <v>21543956.530000001</v>
      </c>
      <c r="H16" s="1">
        <f t="shared" si="1"/>
        <v>2.7000000000000006E-3</v>
      </c>
      <c r="J16" s="278">
        <f>F16*H16</f>
        <v>58168.682631000018</v>
      </c>
      <c r="L16" s="280">
        <f>'Cap&amp;OpEx 2019'!G14</f>
        <v>1397943.0199999993</v>
      </c>
      <c r="N16" s="278">
        <f>H16*L16*0.5</f>
        <v>1887.2230769999994</v>
      </c>
      <c r="P16" s="278">
        <f>J16+N16</f>
        <v>60055.90570800002</v>
      </c>
      <c r="R16" s="278">
        <f>L16+F16</f>
        <v>22941899.550000001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41956291.920000002</v>
      </c>
      <c r="J17" s="276">
        <f>SUM(J13:J16)</f>
        <v>103507.39757250003</v>
      </c>
      <c r="L17" s="276">
        <f>SUM(L13:L16)</f>
        <v>1752536.9999999993</v>
      </c>
      <c r="N17" s="276">
        <f>SUM(N13:N16)</f>
        <v>2352.1007609999997</v>
      </c>
      <c r="P17" s="276">
        <f>SUM(P13:P16)</f>
        <v>105859.49833350003</v>
      </c>
      <c r="R17" s="276">
        <f>SUM(R13:R16)</f>
        <v>43708828.920000002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'201904 Bk Depr'!R20</f>
        <v>0</v>
      </c>
      <c r="H20" s="1">
        <f>1.62%/12</f>
        <v>1.3500000000000003E-3</v>
      </c>
      <c r="J20" s="278">
        <f>F20*H20</f>
        <v>0</v>
      </c>
      <c r="L20" s="279">
        <f>'Cap&amp;OpEx 2019'!G17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'201904 Bk Depr'!R21</f>
        <v>0</v>
      </c>
      <c r="H21" s="1">
        <f>3.24%/12</f>
        <v>2.7000000000000006E-3</v>
      </c>
      <c r="J21" s="278">
        <f>F21*H21</f>
        <v>0</v>
      </c>
      <c r="L21" s="279">
        <f>'Cap&amp;OpEx 2019'!G19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'201904 Bk Depr'!R22</f>
        <v>0</v>
      </c>
      <c r="H22" s="1">
        <f>3.24%/12</f>
        <v>2.7000000000000006E-3</v>
      </c>
      <c r="J22" s="278">
        <f>F22*H22</f>
        <v>0</v>
      </c>
      <c r="L22" s="280">
        <f>'Cap&amp;OpEx 2019'!G20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41956291.920000002</v>
      </c>
      <c r="J25" s="277">
        <f>J17+J23</f>
        <v>103507.39757250003</v>
      </c>
      <c r="L25" s="277">
        <f>L17+L23</f>
        <v>1752536.9999999993</v>
      </c>
      <c r="N25" s="277">
        <f>N17+N23</f>
        <v>2352.1007609999997</v>
      </c>
      <c r="P25" s="277">
        <f>P17+P23</f>
        <v>105859.49833350003</v>
      </c>
      <c r="R25" s="277">
        <f>R17+R23</f>
        <v>43708828.920000002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'201904 Bk Depr'!R28</f>
        <v>1927915.84</v>
      </c>
      <c r="J28" s="278"/>
      <c r="L28" s="279">
        <f>'Cap&amp;OpEx 2019'!G25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'201904 Bk Depr'!R29</f>
        <v>2411888.59</v>
      </c>
      <c r="J29" s="278"/>
      <c r="L29" s="279">
        <f>'Cap&amp;OpEx 2019'!G27</f>
        <v>392332.57</v>
      </c>
      <c r="N29" s="278"/>
      <c r="P29" s="278"/>
      <c r="R29" s="278">
        <f>L29+F29</f>
        <v>2804221.1599999997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'201904 Bk Depr'!R30</f>
        <v>160988.60999999999</v>
      </c>
      <c r="J30" s="278"/>
      <c r="L30" s="280">
        <f>'Cap&amp;OpEx 2019'!G28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4500793.04</v>
      </c>
      <c r="J31" s="276">
        <f>SUM(J28:J30)</f>
        <v>0</v>
      </c>
      <c r="L31" s="276">
        <f>SUM(L28:L30)</f>
        <v>392332.57</v>
      </c>
      <c r="N31" s="276">
        <f>SUM(N28:N30)</f>
        <v>0</v>
      </c>
      <c r="P31" s="276">
        <f>SUM(P28:P30)</f>
        <v>0</v>
      </c>
      <c r="R31" s="276">
        <f>SUM(R28:R30)</f>
        <v>4893125.6100000003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9 of 17&amp;L&amp;1#&amp;"Calibri"&amp;14&amp;K000000Business Use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2009-342E-4603-A7BD-63AC2B00E2E1}">
  <sheetPr>
    <tabColor rgb="FFD8E4BC"/>
    <pageSetUpPr fitToPage="1"/>
  </sheetPr>
  <dimension ref="A1:Q133"/>
  <sheetViews>
    <sheetView showGridLines="0" view="pageBreakPreview" zoomScale="90" zoomScaleNormal="100" zoomScaleSheetLayoutView="90" workbookViewId="0">
      <selection activeCell="T10" sqref="T10"/>
    </sheetView>
  </sheetViews>
  <sheetFormatPr defaultColWidth="9.140625" defaultRowHeight="15.75"/>
  <cols>
    <col min="1" max="1" width="5.5703125" style="26" bestFit="1" customWidth="1"/>
    <col min="2" max="2" width="2.42578125" style="26" customWidth="1"/>
    <col min="3" max="3" width="35.5703125" style="26" customWidth="1"/>
    <col min="4" max="17" width="15.140625" style="26" customWidth="1"/>
    <col min="18" max="16384" width="9.140625" style="26"/>
  </cols>
  <sheetData>
    <row r="1" spans="1:17">
      <c r="B1" s="327"/>
      <c r="C1" s="327"/>
      <c r="D1" s="924"/>
      <c r="E1" s="327"/>
      <c r="F1" s="327"/>
      <c r="G1" s="327"/>
      <c r="H1" s="327"/>
      <c r="I1" s="327"/>
      <c r="J1" s="1359" t="s">
        <v>669</v>
      </c>
      <c r="L1" s="327"/>
      <c r="M1" s="327"/>
      <c r="N1" s="327"/>
      <c r="O1" s="327"/>
      <c r="P1" s="327"/>
      <c r="Q1" s="327"/>
    </row>
    <row r="2" spans="1:17">
      <c r="B2" s="327"/>
      <c r="D2" s="327"/>
      <c r="E2" s="327"/>
      <c r="F2" s="327"/>
      <c r="G2" s="327"/>
      <c r="H2" s="327"/>
      <c r="I2" s="327"/>
      <c r="J2" s="1359" t="s">
        <v>961</v>
      </c>
      <c r="L2" s="327"/>
      <c r="M2" s="327"/>
      <c r="N2" s="327"/>
      <c r="O2" s="327"/>
      <c r="P2" s="327"/>
      <c r="Q2" s="327"/>
    </row>
    <row r="3" spans="1:17">
      <c r="B3" s="327"/>
      <c r="C3" s="197"/>
      <c r="D3" s="327"/>
      <c r="E3" s="327"/>
      <c r="F3" s="327"/>
      <c r="G3" s="327"/>
      <c r="H3" s="327"/>
      <c r="I3" s="327"/>
      <c r="J3" s="1359" t="s">
        <v>958</v>
      </c>
      <c r="L3" s="327"/>
      <c r="M3" s="327"/>
      <c r="N3" s="327"/>
      <c r="O3" s="327"/>
      <c r="P3" s="327"/>
      <c r="Q3" s="327"/>
    </row>
    <row r="4" spans="1:17">
      <c r="A4" s="840"/>
      <c r="Q4" s="385"/>
    </row>
    <row r="5" spans="1:17" s="841" customFormat="1">
      <c r="A5" s="1360"/>
      <c r="B5" s="843"/>
      <c r="C5" s="845"/>
      <c r="D5" s="919">
        <v>2023</v>
      </c>
      <c r="E5" s="919">
        <v>2024</v>
      </c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>
        <f t="shared" ref="P5:Q5" si="0">$E$5</f>
        <v>2024</v>
      </c>
      <c r="Q5" s="919">
        <f t="shared" si="0"/>
        <v>2024</v>
      </c>
    </row>
    <row r="6" spans="1:17" s="841" customFormat="1">
      <c r="A6" s="1363" t="s">
        <v>4</v>
      </c>
      <c r="B6" s="843"/>
      <c r="C6" s="1358"/>
      <c r="D6" s="1074" t="s">
        <v>104</v>
      </c>
      <c r="E6" s="1074" t="s">
        <v>92</v>
      </c>
      <c r="F6" s="1074" t="s">
        <v>95</v>
      </c>
      <c r="G6" s="1074" t="s">
        <v>96</v>
      </c>
      <c r="H6" s="1074" t="s">
        <v>97</v>
      </c>
      <c r="I6" s="1074" t="s">
        <v>85</v>
      </c>
      <c r="J6" s="1074" t="s">
        <v>98</v>
      </c>
      <c r="K6" s="1074" t="s">
        <v>99</v>
      </c>
      <c r="L6" s="1074" t="s">
        <v>100</v>
      </c>
      <c r="M6" s="1074" t="s">
        <v>101</v>
      </c>
      <c r="N6" s="1074" t="s">
        <v>102</v>
      </c>
      <c r="O6" s="1074" t="s">
        <v>103</v>
      </c>
      <c r="P6" s="1074" t="s">
        <v>104</v>
      </c>
      <c r="Q6" s="1074" t="s">
        <v>3</v>
      </c>
    </row>
    <row r="7" spans="1:17" s="841" customFormat="1">
      <c r="A7" s="1360"/>
      <c r="B7" s="843"/>
      <c r="C7" s="1364">
        <v>-1</v>
      </c>
      <c r="D7" s="1365">
        <v>-2</v>
      </c>
      <c r="E7" s="1365">
        <v>-3</v>
      </c>
      <c r="F7" s="1365">
        <v>-4</v>
      </c>
      <c r="G7" s="1365">
        <v>-5</v>
      </c>
      <c r="H7" s="1365">
        <v>-6</v>
      </c>
      <c r="I7" s="1365">
        <v>-7</v>
      </c>
      <c r="J7" s="1365">
        <v>-8</v>
      </c>
      <c r="K7" s="1365">
        <v>-9</v>
      </c>
      <c r="L7" s="1365">
        <v>-10</v>
      </c>
      <c r="M7" s="1365">
        <v>-11</v>
      </c>
      <c r="N7" s="1365">
        <v>-12</v>
      </c>
      <c r="O7" s="1365">
        <v>-13</v>
      </c>
      <c r="P7" s="1365">
        <v>-14</v>
      </c>
      <c r="Q7" s="1365">
        <v>-15</v>
      </c>
    </row>
    <row r="8" spans="1:17" ht="6" customHeight="1">
      <c r="A8" s="66"/>
      <c r="B8" s="66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</row>
    <row r="9" spans="1:17" s="841" customFormat="1">
      <c r="A9" s="843"/>
      <c r="C9" s="1366" t="s">
        <v>51</v>
      </c>
      <c r="D9" s="844"/>
      <c r="E9" s="844"/>
      <c r="F9" s="844"/>
      <c r="G9" s="844"/>
      <c r="H9" s="844"/>
      <c r="I9" s="844"/>
      <c r="J9" s="844"/>
      <c r="K9" s="845"/>
      <c r="L9" s="845"/>
      <c r="M9" s="845"/>
      <c r="N9" s="845"/>
      <c r="O9" s="845"/>
      <c r="P9" s="846"/>
      <c r="Q9" s="845"/>
    </row>
    <row r="10" spans="1:17" s="841" customFormat="1" ht="18.75" customHeight="1">
      <c r="A10" s="843">
        <v>1</v>
      </c>
      <c r="B10" s="843"/>
      <c r="C10" s="1085" t="s">
        <v>957</v>
      </c>
      <c r="D10" s="1095">
        <f>'Rev Req 2023-Distr'!P11</f>
        <v>78229937.709999979</v>
      </c>
      <c r="E10" s="1095">
        <f>D10+SUM('Cap&amp;OpEx 2024'!C13,'Cap&amp;OpEx 2024'!C19)</f>
        <v>80012103.339999974</v>
      </c>
      <c r="F10" s="1095">
        <f>E10+SUM('Cap&amp;OpEx 2024'!D13,'Cap&amp;OpEx 2024'!D19)</f>
        <v>81794269.189999968</v>
      </c>
      <c r="G10" s="1095">
        <f>F10+SUM('Cap&amp;OpEx 2024'!E13,'Cap&amp;OpEx 2024'!E19)</f>
        <v>83576435.039999962</v>
      </c>
      <c r="H10" s="1095">
        <f>G10+SUM('Cap&amp;OpEx 2024'!F13,'Cap&amp;OpEx 2024'!F19)</f>
        <v>85358600.889999956</v>
      </c>
      <c r="I10" s="1095">
        <f>H10+SUM('Cap&amp;OpEx 2024'!G13,'Cap&amp;OpEx 2024'!G19)</f>
        <v>87140766.73999995</v>
      </c>
      <c r="J10" s="1095">
        <f>I10+SUM('Cap&amp;OpEx 2024'!H13,'Cap&amp;OpEx 2024'!H19)</f>
        <v>88922932.589999944</v>
      </c>
      <c r="K10" s="1095">
        <f>J10+SUM('Cap&amp;OpEx 2024'!I13,'Cap&amp;OpEx 2024'!I19)</f>
        <v>90705098.439999938</v>
      </c>
      <c r="L10" s="1095">
        <f>K10+SUM('Cap&amp;OpEx 2024'!J13,'Cap&amp;OpEx 2024'!J19)</f>
        <v>92487264.289999932</v>
      </c>
      <c r="M10" s="1095">
        <f>L10+SUM('Cap&amp;OpEx 2024'!K13,'Cap&amp;OpEx 2024'!K19)</f>
        <v>94269430.139999926</v>
      </c>
      <c r="N10" s="1095">
        <f>M10+SUM('Cap&amp;OpEx 2024'!L13,'Cap&amp;OpEx 2024'!L19)</f>
        <v>96051595.98999992</v>
      </c>
      <c r="O10" s="1095">
        <f>N10+SUM('Cap&amp;OpEx 2024'!M13,'Cap&amp;OpEx 2024'!M19)</f>
        <v>97833761.839999914</v>
      </c>
      <c r="P10" s="1095">
        <f>O10+SUM('Cap&amp;OpEx 2024'!N13,'Cap&amp;OpEx 2024'!N19)</f>
        <v>99615927.689999908</v>
      </c>
      <c r="Q10" s="1095">
        <f>ROUND(AVERAGE(D10:P10),2)</f>
        <v>88922932.609999999</v>
      </c>
    </row>
    <row r="11" spans="1:17" s="841" customFormat="1" ht="18.75" customHeight="1">
      <c r="A11" s="843">
        <v>2</v>
      </c>
      <c r="B11" s="843"/>
      <c r="C11" s="1086" t="s">
        <v>19</v>
      </c>
      <c r="D11" s="1093">
        <f>'Rev Req 2023-Distr'!P12</f>
        <v>5383791.0100000016</v>
      </c>
      <c r="E11" s="1093">
        <f>'Cap&amp;OpEx 2024'!C31+D11</f>
        <v>5408705.7800000012</v>
      </c>
      <c r="F11" s="1093">
        <f>'Cap&amp;OpEx 2024'!D31+E11</f>
        <v>5433620.5300000012</v>
      </c>
      <c r="G11" s="1093">
        <f>'Cap&amp;OpEx 2024'!E31+F11</f>
        <v>5458535.2800000012</v>
      </c>
      <c r="H11" s="1093">
        <f>'Cap&amp;OpEx 2024'!F31+G11</f>
        <v>5483450.0300000012</v>
      </c>
      <c r="I11" s="1093">
        <f>'Cap&amp;OpEx 2024'!G31+H11</f>
        <v>5508364.7800000012</v>
      </c>
      <c r="J11" s="1093">
        <f>'Cap&amp;OpEx 2024'!H31+I11</f>
        <v>5533279.5300000012</v>
      </c>
      <c r="K11" s="1093">
        <f>'Cap&amp;OpEx 2024'!I31+J11</f>
        <v>5558194.2800000012</v>
      </c>
      <c r="L11" s="1093">
        <f>'Cap&amp;OpEx 2024'!J31+K11</f>
        <v>5583109.0300000012</v>
      </c>
      <c r="M11" s="1093">
        <f>'Cap&amp;OpEx 2024'!K31+L11</f>
        <v>5608023.7800000012</v>
      </c>
      <c r="N11" s="1093">
        <f>'Cap&amp;OpEx 2024'!L31+M11</f>
        <v>5632938.5300000012</v>
      </c>
      <c r="O11" s="1093">
        <f>'Cap&amp;OpEx 2024'!M31+N11</f>
        <v>5657853.2800000012</v>
      </c>
      <c r="P11" s="1093">
        <f>'Cap&amp;OpEx 2024'!N31+O11</f>
        <v>5682768.0300000012</v>
      </c>
      <c r="Q11" s="1093">
        <f>ROUND(AVERAGE(D11:P11),2)</f>
        <v>5533279.5300000003</v>
      </c>
    </row>
    <row r="12" spans="1:17" s="841" customFormat="1" ht="18.75" customHeight="1">
      <c r="A12" s="843">
        <v>3</v>
      </c>
      <c r="B12" s="843"/>
      <c r="C12" s="1086" t="s">
        <v>52</v>
      </c>
      <c r="D12" s="1093">
        <f>'Rev Req 2023-Distr'!P13</f>
        <v>-5894954.0349242408</v>
      </c>
      <c r="E12" s="1093">
        <f>'Cap&amp;OpEx 2024'!C25-'Depreciation 2024'!F16+D12</f>
        <v>-6111600.4904567413</v>
      </c>
      <c r="F12" s="1093">
        <f>'Cap&amp;OpEx 2024'!D25-'Depreciation 2024'!G16+E12</f>
        <v>-6333058.7934872415</v>
      </c>
      <c r="G12" s="1093">
        <f>'Cap&amp;OpEx 2024'!E25-'Depreciation 2024'!H16+F12</f>
        <v>-6559328.944312742</v>
      </c>
      <c r="H12" s="1093">
        <f>'Cap&amp;OpEx 2024'!F25-'Depreciation 2024'!I16+G12</f>
        <v>-6790410.9429332418</v>
      </c>
      <c r="I12" s="1093">
        <f>'Cap&amp;OpEx 2024'!G25-'Depreciation 2024'!J16+H12</f>
        <v>-7026304.789348742</v>
      </c>
      <c r="J12" s="1093">
        <f>'Cap&amp;OpEx 2024'!H25-'Depreciation 2024'!K16+I12</f>
        <v>-7267010.4835592415</v>
      </c>
      <c r="K12" s="1093">
        <f>'Cap&amp;OpEx 2024'!I25-'Depreciation 2024'!L16+J12</f>
        <v>-7512528.0255647413</v>
      </c>
      <c r="L12" s="1093">
        <f>'Cap&amp;OpEx 2024'!J25-'Depreciation 2024'!M16+K12</f>
        <v>-7762857.4153652415</v>
      </c>
      <c r="M12" s="1093">
        <f>'Cap&amp;OpEx 2024'!K25-'Depreciation 2024'!N16+L12</f>
        <v>-8017998.652960741</v>
      </c>
      <c r="N12" s="1093">
        <f>'Cap&amp;OpEx 2024'!L25-'Depreciation 2024'!O16+M12</f>
        <v>-8277951.7383512408</v>
      </c>
      <c r="O12" s="1093">
        <f>'Cap&amp;OpEx 2024'!M25-'Depreciation 2024'!P16+N12</f>
        <v>-8542716.6715367399</v>
      </c>
      <c r="P12" s="1093">
        <f>'Cap&amp;OpEx 2024'!N25-'Depreciation 2024'!Q16+O12</f>
        <v>-8812293.4525172394</v>
      </c>
      <c r="Q12" s="1093">
        <f>ROUND(AVERAGE(D12:P12),2)</f>
        <v>-7300693.4199999999</v>
      </c>
    </row>
    <row r="13" spans="1:17" s="841" customFormat="1" ht="18.75" customHeight="1">
      <c r="A13" s="843">
        <v>4</v>
      </c>
      <c r="C13" s="1075" t="s">
        <v>916</v>
      </c>
      <c r="D13" s="1095">
        <f t="shared" ref="D13:P13" si="1">SUM(D10:D12)</f>
        <v>77718774.685075745</v>
      </c>
      <c r="E13" s="1095">
        <f t="shared" si="1"/>
        <v>79309208.62954323</v>
      </c>
      <c r="F13" s="1095">
        <f t="shared" si="1"/>
        <v>80894830.926512733</v>
      </c>
      <c r="G13" s="1095">
        <f t="shared" si="1"/>
        <v>82475641.375687227</v>
      </c>
      <c r="H13" s="1095">
        <f t="shared" si="1"/>
        <v>84051639.977066711</v>
      </c>
      <c r="I13" s="1095">
        <f t="shared" si="1"/>
        <v>85622826.730651215</v>
      </c>
      <c r="J13" s="1095">
        <f t="shared" si="1"/>
        <v>87189201.636440709</v>
      </c>
      <c r="K13" s="1095">
        <f t="shared" si="1"/>
        <v>88750764.694435194</v>
      </c>
      <c r="L13" s="1095">
        <f t="shared" si="1"/>
        <v>90307515.904634684</v>
      </c>
      <c r="M13" s="1095">
        <f t="shared" si="1"/>
        <v>91859455.26703918</v>
      </c>
      <c r="N13" s="1095">
        <f t="shared" si="1"/>
        <v>93406582.781648681</v>
      </c>
      <c r="O13" s="1095">
        <f t="shared" si="1"/>
        <v>94948898.448463172</v>
      </c>
      <c r="P13" s="1095">
        <f t="shared" si="1"/>
        <v>96486402.267482668</v>
      </c>
      <c r="Q13" s="1095">
        <f>SUM(Q10:Q12)</f>
        <v>87155518.719999999</v>
      </c>
    </row>
    <row r="14" spans="1:17">
      <c r="A14" s="66"/>
      <c r="B14" s="66"/>
      <c r="C14" s="385"/>
      <c r="D14" s="1094"/>
      <c r="E14" s="1094"/>
      <c r="F14" s="1094"/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</row>
    <row r="15" spans="1:17" s="841" customFormat="1" ht="18.75" customHeight="1">
      <c r="A15" s="843">
        <v>5</v>
      </c>
      <c r="B15" s="843"/>
      <c r="C15" s="1086" t="s">
        <v>54</v>
      </c>
      <c r="D15" s="1093">
        <f>'Rev Req 2023-Distr'!P16</f>
        <v>-13302287.810621576</v>
      </c>
      <c r="E15" s="1093">
        <f>-'Tax Depr 2024'!Z17</f>
        <v>-13321730.874744175</v>
      </c>
      <c r="F15" s="1093">
        <f>-'Tax Depr 2024'!Z18</f>
        <v>-13395072.29825322</v>
      </c>
      <c r="G15" s="1093">
        <f>-'Tax Depr 2024'!Z19</f>
        <v>-13522312.086064611</v>
      </c>
      <c r="H15" s="1093">
        <f>-'Tax Depr 2024'!Z20</f>
        <v>-13703450.238178348</v>
      </c>
      <c r="I15" s="1093">
        <f>-'Tax Depr 2024'!Z21</f>
        <v>-13938486.75459443</v>
      </c>
      <c r="J15" s="1093">
        <f>-'Tax Depr 2024'!Z22</f>
        <v>-14227421.635312859</v>
      </c>
      <c r="K15" s="1093">
        <f>-'Tax Depr 2024'!Z23</f>
        <v>-14570254.880333632</v>
      </c>
      <c r="L15" s="1093">
        <f>-'Tax Depr 2024'!Z24</f>
        <v>-14966986.48965675</v>
      </c>
      <c r="M15" s="1093">
        <f>-'Tax Depr 2024'!Z25</f>
        <v>-15417616.463282214</v>
      </c>
      <c r="N15" s="1093">
        <f>-'Tax Depr 2024'!Z26</f>
        <v>-15922144.801210023</v>
      </c>
      <c r="O15" s="1093">
        <f>-'Tax Depr 2024'!Z27</f>
        <v>-16480571.503440177</v>
      </c>
      <c r="P15" s="1093">
        <f>-'Tax Depr 2024'!Z28</f>
        <v>-17092896.569972675</v>
      </c>
      <c r="Q15" s="1093">
        <f>ROUND(-'Tax Depr 2024'!AC28,2)</f>
        <v>-14411518.109999999</v>
      </c>
    </row>
    <row r="16" spans="1:17">
      <c r="A16" s="66"/>
      <c r="B16" s="66"/>
      <c r="C16" s="385"/>
      <c r="D16" s="1094"/>
      <c r="E16" s="1094"/>
      <c r="F16" s="1094"/>
      <c r="G16" s="1094"/>
      <c r="H16" s="1094"/>
      <c r="I16" s="1094"/>
      <c r="J16" s="1094"/>
      <c r="K16" s="1094"/>
      <c r="L16" s="1094"/>
      <c r="M16" s="1094"/>
      <c r="N16" s="1094"/>
      <c r="O16" s="1094"/>
      <c r="P16" s="1094"/>
      <c r="Q16" s="1094"/>
    </row>
    <row r="17" spans="1:17" s="841" customFormat="1">
      <c r="A17" s="843">
        <v>6</v>
      </c>
      <c r="C17" s="847" t="s">
        <v>55</v>
      </c>
      <c r="D17" s="1095">
        <f>SUM(D13:D15)</f>
        <v>64416486.87445417</v>
      </c>
      <c r="E17" s="1095">
        <f>SUM(E13:E15)</f>
        <v>65987477.754799053</v>
      </c>
      <c r="F17" s="1095">
        <f t="shared" ref="F17:P17" si="2">SUM(F13:F15)</f>
        <v>67499758.62825951</v>
      </c>
      <c r="G17" s="1095">
        <f t="shared" si="2"/>
        <v>68953329.28962262</v>
      </c>
      <c r="H17" s="1095">
        <f t="shared" si="2"/>
        <v>70348189.738888368</v>
      </c>
      <c r="I17" s="1095">
        <f t="shared" si="2"/>
        <v>71684339.976056784</v>
      </c>
      <c r="J17" s="1095">
        <f t="shared" si="2"/>
        <v>72961780.001127854</v>
      </c>
      <c r="K17" s="1095">
        <f t="shared" si="2"/>
        <v>74180509.814101562</v>
      </c>
      <c r="L17" s="1095">
        <f t="shared" si="2"/>
        <v>75340529.414977938</v>
      </c>
      <c r="M17" s="1095">
        <f t="shared" si="2"/>
        <v>76441838.803756967</v>
      </c>
      <c r="N17" s="1095">
        <f t="shared" si="2"/>
        <v>77484437.98043865</v>
      </c>
      <c r="O17" s="1095">
        <f t="shared" si="2"/>
        <v>78468326.945023</v>
      </c>
      <c r="P17" s="1095">
        <f t="shared" si="2"/>
        <v>79393505.697509989</v>
      </c>
      <c r="Q17" s="1095">
        <f>SUM(Q13:Q15)</f>
        <v>72744000.609999999</v>
      </c>
    </row>
    <row r="18" spans="1:17">
      <c r="A18" s="66"/>
      <c r="B18" s="66"/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</row>
    <row r="19" spans="1:17" s="841" customFormat="1">
      <c r="A19" s="843">
        <v>7</v>
      </c>
      <c r="B19" s="843"/>
      <c r="C19" s="1086" t="s">
        <v>56</v>
      </c>
      <c r="D19" s="1076">
        <f>'Rev Req 2023-Distr'!P20</f>
        <v>7.0499999999999998E-3</v>
      </c>
      <c r="E19" s="1076">
        <f>'ROR 2024'!$G$12/12</f>
        <v>7.0499999999999998E-3</v>
      </c>
      <c r="F19" s="1076">
        <f>'ROR 2024'!$G$12/12</f>
        <v>7.0499999999999998E-3</v>
      </c>
      <c r="G19" s="1076">
        <f>'ROR 2024'!$G$12/12</f>
        <v>7.0499999999999998E-3</v>
      </c>
      <c r="H19" s="1076">
        <f>'ROR 2024'!$G$12/12</f>
        <v>7.0499999999999998E-3</v>
      </c>
      <c r="I19" s="1076">
        <f>'ROR 2024'!$G$12/12</f>
        <v>7.0499999999999998E-3</v>
      </c>
      <c r="J19" s="1076">
        <f>'ROR 2024'!$G$12/12</f>
        <v>7.0499999999999998E-3</v>
      </c>
      <c r="K19" s="1076">
        <f>'ROR 2024'!$G$12/12</f>
        <v>7.0499999999999998E-3</v>
      </c>
      <c r="L19" s="1076">
        <f>'ROR 2024'!$G$12/12</f>
        <v>7.0499999999999998E-3</v>
      </c>
      <c r="M19" s="1076">
        <f>'ROR 2024'!$G$12/12</f>
        <v>7.0499999999999998E-3</v>
      </c>
      <c r="N19" s="1076">
        <f>'ROR 2024'!$G$12/12</f>
        <v>7.0499999999999998E-3</v>
      </c>
      <c r="O19" s="1076">
        <f>'ROR 2024'!$G$12/12</f>
        <v>7.0499999999999998E-3</v>
      </c>
      <c r="P19" s="1076">
        <f>'ROR 2024'!$G$12/12</f>
        <v>7.0499999999999998E-3</v>
      </c>
      <c r="Q19" s="1076">
        <f>SUM(E19:P19)</f>
        <v>8.4599999999999995E-2</v>
      </c>
    </row>
    <row r="20" spans="1:17">
      <c r="A20" s="66"/>
      <c r="B20" s="66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</row>
    <row r="21" spans="1:17" s="841" customFormat="1" ht="21" customHeight="1">
      <c r="A21" s="843">
        <v>8</v>
      </c>
      <c r="C21" s="1367" t="s">
        <v>57</v>
      </c>
      <c r="D21" s="1368">
        <f>D17*D19</f>
        <v>454136.23246490187</v>
      </c>
      <c r="E21" s="1368">
        <f>E17*E19</f>
        <v>465211.71817133331</v>
      </c>
      <c r="F21" s="1368">
        <f t="shared" ref="F21:P21" si="3">F17*F19</f>
        <v>475873.29832922952</v>
      </c>
      <c r="G21" s="1368">
        <f t="shared" si="3"/>
        <v>486120.97149183945</v>
      </c>
      <c r="H21" s="1368">
        <f t="shared" si="3"/>
        <v>495954.73765916296</v>
      </c>
      <c r="I21" s="1368">
        <f t="shared" si="3"/>
        <v>505374.5968312003</v>
      </c>
      <c r="J21" s="1368">
        <f t="shared" si="3"/>
        <v>514380.54900795134</v>
      </c>
      <c r="K21" s="1368">
        <f t="shared" si="3"/>
        <v>522972.59418941598</v>
      </c>
      <c r="L21" s="1368">
        <f t="shared" si="3"/>
        <v>531150.73237559444</v>
      </c>
      <c r="M21" s="1368">
        <f t="shared" si="3"/>
        <v>538914.96356648661</v>
      </c>
      <c r="N21" s="1368">
        <f t="shared" si="3"/>
        <v>546265.28776209243</v>
      </c>
      <c r="O21" s="1368">
        <f t="shared" si="3"/>
        <v>553201.70496241213</v>
      </c>
      <c r="P21" s="1368">
        <f t="shared" si="3"/>
        <v>559724.21516744536</v>
      </c>
      <c r="Q21" s="1368">
        <f>ROUND(Q17*Q19,2)</f>
        <v>6154142.4500000002</v>
      </c>
    </row>
    <row r="22" spans="1:17">
      <c r="A22" s="66"/>
      <c r="B22" s="66"/>
      <c r="C22" s="385"/>
      <c r="D22" s="923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</row>
    <row r="23" spans="1:17" s="841" customFormat="1" ht="18.75" customHeight="1">
      <c r="A23" s="843"/>
      <c r="C23" s="1366" t="s">
        <v>58</v>
      </c>
      <c r="D23" s="845"/>
      <c r="E23" s="845"/>
      <c r="F23" s="845"/>
      <c r="G23" s="845"/>
      <c r="H23" s="845"/>
      <c r="I23" s="845"/>
      <c r="J23" s="845"/>
      <c r="K23" s="845"/>
      <c r="L23" s="845"/>
      <c r="M23" s="845"/>
      <c r="N23" s="845"/>
      <c r="O23" s="845"/>
      <c r="P23" s="845"/>
      <c r="Q23" s="845"/>
    </row>
    <row r="24" spans="1:17" s="841" customFormat="1" ht="18.75" customHeight="1">
      <c r="A24" s="843">
        <v>9</v>
      </c>
      <c r="B24" s="843"/>
      <c r="C24" s="1086" t="s">
        <v>1012</v>
      </c>
      <c r="D24" s="1093">
        <f>'Rev Req 2023-Distr'!P25</f>
        <v>209127.31353900005</v>
      </c>
      <c r="E24" s="1093">
        <f>'Depreciation 2024'!F16+'Depreciation 2024'!F22</f>
        <v>213626.75541750004</v>
      </c>
      <c r="F24" s="1093">
        <f>'Depreciation 2024'!G16+'Depreciation 2024'!G22</f>
        <v>218438.60291550003</v>
      </c>
      <c r="G24" s="1093">
        <f>'Depreciation 2024'!H16+'Depreciation 2024'!H22</f>
        <v>223250.45071050001</v>
      </c>
      <c r="H24" s="1093">
        <f>'Depreciation 2024'!I16+'Depreciation 2024'!I22</f>
        <v>228062.29850549999</v>
      </c>
      <c r="I24" s="1093">
        <f>'Depreciation 2024'!J16+'Depreciation 2024'!J22</f>
        <v>232874.14630049997</v>
      </c>
      <c r="J24" s="1093">
        <f>'Depreciation 2024'!K16+'Depreciation 2024'!K22</f>
        <v>237685.99409549995</v>
      </c>
      <c r="K24" s="1093">
        <f>'Depreciation 2024'!L16+'Depreciation 2024'!L22</f>
        <v>242497.84189049993</v>
      </c>
      <c r="L24" s="1093">
        <f>'Depreciation 2024'!M16+'Depreciation 2024'!M22</f>
        <v>247309.68968549994</v>
      </c>
      <c r="M24" s="1093">
        <f>'Depreciation 2024'!N16+'Depreciation 2024'!N22</f>
        <v>252121.53748049992</v>
      </c>
      <c r="N24" s="1093">
        <f>'Depreciation 2024'!O16+'Depreciation 2024'!O22</f>
        <v>256933.3852754999</v>
      </c>
      <c r="O24" s="1093">
        <f>'Depreciation 2024'!P16+'Depreciation 2024'!P22</f>
        <v>261745.23307049985</v>
      </c>
      <c r="P24" s="1093">
        <f>'Depreciation 2024'!Q16+'Depreciation 2024'!Q22</f>
        <v>266557.08086549985</v>
      </c>
      <c r="Q24" s="1093">
        <f>ROUND(SUM(E24:P24),2)</f>
        <v>2881103.02</v>
      </c>
    </row>
    <row r="25" spans="1:17" s="841" customFormat="1" ht="18.75" customHeight="1">
      <c r="A25" s="843">
        <v>10</v>
      </c>
      <c r="B25" s="843"/>
      <c r="C25" s="1086" t="s">
        <v>801</v>
      </c>
      <c r="D25" s="1093">
        <f>'Rev Req 2023-Distr'!P26</f>
        <v>243501.69000000003</v>
      </c>
      <c r="E25" s="1093">
        <f>'Cap&amp;OpEx 2024'!C33</f>
        <v>73125.290000000008</v>
      </c>
      <c r="F25" s="1093">
        <f>'Cap&amp;OpEx 2024'!D33</f>
        <v>70792.47</v>
      </c>
      <c r="G25" s="1093">
        <f>'Cap&amp;OpEx 2024'!E33</f>
        <v>74109.53</v>
      </c>
      <c r="H25" s="1093">
        <f>'Cap&amp;OpEx 2024'!F33</f>
        <v>72446.600000000006</v>
      </c>
      <c r="I25" s="1093">
        <f>'Cap&amp;OpEx 2024'!G33</f>
        <v>73549.070000000007</v>
      </c>
      <c r="J25" s="1093">
        <f>'Cap&amp;OpEx 2024'!H33</f>
        <v>65556.28</v>
      </c>
      <c r="K25" s="1093">
        <f>'Cap&amp;OpEx 2024'!I33</f>
        <v>72067.22</v>
      </c>
      <c r="L25" s="1093">
        <f>'Cap&amp;OpEx 2024'!J33</f>
        <v>74833.17</v>
      </c>
      <c r="M25" s="1093">
        <f>'Cap&amp;OpEx 2024'!K33</f>
        <v>69860.13</v>
      </c>
      <c r="N25" s="1093">
        <f>'Cap&amp;OpEx 2024'!L33</f>
        <v>74520.72</v>
      </c>
      <c r="O25" s="1093">
        <f>'Cap&amp;OpEx 2024'!M33</f>
        <v>63861.68</v>
      </c>
      <c r="P25" s="1093">
        <f>'Cap&amp;OpEx 2024'!N33</f>
        <v>60531.12</v>
      </c>
      <c r="Q25" s="1093">
        <f>ROUND(SUM(E25:P25),2)</f>
        <v>845253.28</v>
      </c>
    </row>
    <row r="26" spans="1:17" s="841" customFormat="1" ht="18.75" customHeight="1">
      <c r="A26" s="843">
        <v>11</v>
      </c>
      <c r="B26" s="843"/>
      <c r="C26" s="1086" t="s">
        <v>175</v>
      </c>
      <c r="D26" s="1093">
        <f>'Rev Req 2023-Distr'!P27</f>
        <v>64199.040000000001</v>
      </c>
      <c r="E26" s="1093">
        <f>'Cap&amp;OpEx 2024'!C34</f>
        <v>85080.43</v>
      </c>
      <c r="F26" s="1093">
        <f>'Cap&amp;OpEx 2024'!D34</f>
        <v>85080.43</v>
      </c>
      <c r="G26" s="1093">
        <f>'Cap&amp;OpEx 2024'!E34</f>
        <v>85080.43</v>
      </c>
      <c r="H26" s="1093">
        <f>'Cap&amp;OpEx 2024'!F34</f>
        <v>85080.43</v>
      </c>
      <c r="I26" s="1093">
        <f>'Cap&amp;OpEx 2024'!G34</f>
        <v>85080.43</v>
      </c>
      <c r="J26" s="1093">
        <f>'Cap&amp;OpEx 2024'!H34</f>
        <v>85080.43</v>
      </c>
      <c r="K26" s="1093">
        <f>'Cap&amp;OpEx 2024'!I34</f>
        <v>85080.43</v>
      </c>
      <c r="L26" s="1093">
        <f>'Cap&amp;OpEx 2024'!J34</f>
        <v>85080.43</v>
      </c>
      <c r="M26" s="1093">
        <f>'Cap&amp;OpEx 2024'!K34</f>
        <v>85080.43</v>
      </c>
      <c r="N26" s="1093">
        <f>'Cap&amp;OpEx 2024'!L34</f>
        <v>85080.43</v>
      </c>
      <c r="O26" s="1093">
        <f>'Cap&amp;OpEx 2024'!M34</f>
        <v>85080.43</v>
      </c>
      <c r="P26" s="1093">
        <f>'Cap&amp;OpEx 2024'!N34</f>
        <v>85080.43</v>
      </c>
      <c r="Q26" s="1093">
        <f>ROUND(SUM(E26:P26),2)</f>
        <v>1020965.16</v>
      </c>
    </row>
    <row r="27" spans="1:17">
      <c r="A27" s="66"/>
      <c r="B27" s="66"/>
      <c r="C27" s="385"/>
      <c r="D27" s="848"/>
      <c r="E27" s="848"/>
      <c r="F27" s="848"/>
      <c r="G27" s="848"/>
      <c r="H27" s="848"/>
      <c r="I27" s="848"/>
      <c r="J27" s="848"/>
      <c r="K27" s="848"/>
      <c r="L27" s="848"/>
      <c r="M27" s="848"/>
      <c r="N27" s="848"/>
      <c r="O27" s="848"/>
      <c r="P27" s="848"/>
      <c r="Q27" s="848"/>
    </row>
    <row r="28" spans="1:17" s="841" customFormat="1" ht="21.75" customHeight="1">
      <c r="A28" s="843">
        <v>12</v>
      </c>
      <c r="C28" s="1369" t="s">
        <v>917</v>
      </c>
      <c r="D28" s="1370">
        <f t="shared" ref="D28:P28" si="4">SUM(D24:D26)</f>
        <v>516828.04353900003</v>
      </c>
      <c r="E28" s="1370">
        <f t="shared" si="4"/>
        <v>371832.47541750007</v>
      </c>
      <c r="F28" s="1370">
        <f t="shared" si="4"/>
        <v>374311.50291550002</v>
      </c>
      <c r="G28" s="1370">
        <f t="shared" si="4"/>
        <v>382440.41071050003</v>
      </c>
      <c r="H28" s="1370">
        <f t="shared" si="4"/>
        <v>385589.32850549999</v>
      </c>
      <c r="I28" s="1370">
        <f t="shared" si="4"/>
        <v>391503.64630049997</v>
      </c>
      <c r="J28" s="1370">
        <f t="shared" si="4"/>
        <v>388322.70409549994</v>
      </c>
      <c r="K28" s="1370">
        <f t="shared" si="4"/>
        <v>399645.49189049989</v>
      </c>
      <c r="L28" s="1370">
        <f t="shared" si="4"/>
        <v>407223.28968549991</v>
      </c>
      <c r="M28" s="1370">
        <f t="shared" si="4"/>
        <v>407062.09748049994</v>
      </c>
      <c r="N28" s="1370">
        <f t="shared" si="4"/>
        <v>416534.53527549986</v>
      </c>
      <c r="O28" s="1370">
        <f t="shared" si="4"/>
        <v>410687.34307049983</v>
      </c>
      <c r="P28" s="1370">
        <f t="shared" si="4"/>
        <v>412168.63086549984</v>
      </c>
      <c r="Q28" s="1370">
        <f>SUM(Q24:Q26)</f>
        <v>4747321.46</v>
      </c>
    </row>
    <row r="29" spans="1:17" ht="18" customHeight="1">
      <c r="A29" s="66"/>
      <c r="B29" s="66"/>
      <c r="C29" s="385"/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</row>
    <row r="30" spans="1:17" s="841" customFormat="1" ht="22.5" customHeight="1">
      <c r="A30" s="843">
        <v>13</v>
      </c>
      <c r="C30" s="1371" t="s">
        <v>162</v>
      </c>
      <c r="D30" s="1372">
        <f t="shared" ref="D30:P30" si="5">D21+D28</f>
        <v>970964.27600390185</v>
      </c>
      <c r="E30" s="1372">
        <f t="shared" si="5"/>
        <v>837044.19358883332</v>
      </c>
      <c r="F30" s="1372">
        <f t="shared" si="5"/>
        <v>850184.80124472955</v>
      </c>
      <c r="G30" s="1372">
        <f t="shared" si="5"/>
        <v>868561.38220233948</v>
      </c>
      <c r="H30" s="1372">
        <f t="shared" si="5"/>
        <v>881544.06616466295</v>
      </c>
      <c r="I30" s="1372">
        <f t="shared" si="5"/>
        <v>896878.2431317002</v>
      </c>
      <c r="J30" s="1372">
        <f t="shared" si="5"/>
        <v>902703.25310345134</v>
      </c>
      <c r="K30" s="1372">
        <f t="shared" si="5"/>
        <v>922618.08607991587</v>
      </c>
      <c r="L30" s="1372">
        <f t="shared" si="5"/>
        <v>938374.02206109441</v>
      </c>
      <c r="M30" s="1372">
        <f t="shared" si="5"/>
        <v>945977.06104698661</v>
      </c>
      <c r="N30" s="1372">
        <f t="shared" si="5"/>
        <v>962799.82303759223</v>
      </c>
      <c r="O30" s="1372">
        <f t="shared" si="5"/>
        <v>963889.04803291196</v>
      </c>
      <c r="P30" s="1372">
        <f t="shared" si="5"/>
        <v>971892.84603294521</v>
      </c>
      <c r="Q30" s="1372">
        <f>Q21+Q28</f>
        <v>10901463.91</v>
      </c>
    </row>
    <row r="31" spans="1:17">
      <c r="D31" s="485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</row>
    <row r="32" spans="1:17" ht="5.25" customHeight="1">
      <c r="A32" s="190"/>
      <c r="B32" s="190"/>
      <c r="C32" s="190"/>
      <c r="D32" s="925"/>
      <c r="E32" s="926"/>
      <c r="F32" s="926"/>
      <c r="G32" s="926"/>
      <c r="H32" s="926"/>
      <c r="I32" s="926"/>
      <c r="J32" s="926"/>
      <c r="K32" s="926"/>
      <c r="L32" s="926"/>
      <c r="M32" s="926"/>
      <c r="N32" s="926"/>
      <c r="O32" s="926"/>
      <c r="P32" s="190"/>
      <c r="Q32" s="190"/>
    </row>
    <row r="33" spans="1:17">
      <c r="A33" s="190"/>
      <c r="C33" s="1373" t="s">
        <v>937</v>
      </c>
      <c r="D33" s="190"/>
      <c r="E33" s="190"/>
      <c r="F33" s="190"/>
      <c r="G33" s="190"/>
      <c r="H33" s="190"/>
      <c r="I33" s="190"/>
      <c r="J33" s="190"/>
      <c r="K33" s="190"/>
      <c r="L33" s="190"/>
      <c r="M33" s="926"/>
      <c r="N33" s="926"/>
      <c r="O33" s="926"/>
      <c r="P33" s="190"/>
      <c r="Q33" s="190"/>
    </row>
    <row r="34" spans="1:17">
      <c r="A34" s="190"/>
      <c r="C34" s="879" t="s">
        <v>989</v>
      </c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</row>
    <row r="35" spans="1:17">
      <c r="A35" s="1374"/>
      <c r="B35" s="190"/>
      <c r="C35" s="879" t="s">
        <v>990</v>
      </c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>
      <c r="A36" s="1374"/>
      <c r="B36" s="1374"/>
      <c r="C36" s="879" t="s">
        <v>991</v>
      </c>
      <c r="D36" s="1375"/>
      <c r="E36" s="1376"/>
      <c r="F36" s="1376"/>
      <c r="G36" s="1376"/>
      <c r="H36" s="1376"/>
      <c r="I36" s="1376"/>
      <c r="J36" s="190"/>
      <c r="K36" s="1376"/>
      <c r="L36" s="1376"/>
      <c r="M36" s="1376"/>
      <c r="N36" s="1376"/>
      <c r="O36" s="1376"/>
      <c r="P36" s="1376"/>
      <c r="Q36" s="1376"/>
    </row>
    <row r="37" spans="1:17">
      <c r="A37" s="1374"/>
      <c r="B37" s="1374"/>
      <c r="C37" s="1377"/>
      <c r="D37" s="1375"/>
      <c r="E37" s="1376"/>
      <c r="F37" s="1376"/>
      <c r="G37" s="1376"/>
      <c r="H37" s="1376"/>
      <c r="I37" s="1376"/>
      <c r="J37" s="1376"/>
      <c r="K37" s="1376"/>
      <c r="L37" s="1376"/>
      <c r="M37" s="1376"/>
      <c r="N37" s="1376"/>
      <c r="O37" s="1376"/>
      <c r="P37" s="1376"/>
      <c r="Q37" s="1376"/>
    </row>
    <row r="38" spans="1:17">
      <c r="A38" s="1374"/>
      <c r="B38" s="1374"/>
      <c r="C38" s="1377"/>
      <c r="D38" s="1375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376"/>
      <c r="P38" s="1376"/>
      <c r="Q38" s="1376"/>
    </row>
    <row r="39" spans="1:17">
      <c r="A39" s="1374"/>
      <c r="B39" s="1374"/>
      <c r="C39" s="1377"/>
      <c r="D39" s="1378"/>
      <c r="E39" s="1378"/>
      <c r="F39" s="1378"/>
      <c r="G39" s="1378"/>
      <c r="H39" s="1376"/>
      <c r="I39" s="1376"/>
      <c r="J39" s="1376"/>
      <c r="K39" s="1379"/>
      <c r="L39" s="1376"/>
      <c r="M39" s="1376"/>
      <c r="N39" s="1376"/>
      <c r="O39" s="1376"/>
      <c r="P39" s="1376"/>
      <c r="Q39" s="1376"/>
    </row>
    <row r="40" spans="1:17">
      <c r="A40" s="1380"/>
      <c r="B40" s="1380"/>
      <c r="C40" s="1381"/>
      <c r="D40" s="1382"/>
      <c r="E40" s="1383"/>
      <c r="F40" s="1383"/>
      <c r="G40" s="1383"/>
      <c r="H40" s="1383"/>
      <c r="I40" s="1383"/>
      <c r="J40" s="1383"/>
      <c r="K40" s="1383"/>
      <c r="L40" s="1383"/>
      <c r="M40" s="1383"/>
      <c r="N40" s="1383"/>
      <c r="O40" s="1383"/>
      <c r="P40" s="1383"/>
      <c r="Q40" s="1383"/>
    </row>
    <row r="41" spans="1:17">
      <c r="A41" s="1380"/>
      <c r="B41" s="1384"/>
      <c r="C41" s="1385"/>
      <c r="D41" s="1382"/>
      <c r="E41" s="1383"/>
      <c r="F41" s="1383"/>
      <c r="G41" s="1386"/>
      <c r="H41" s="1386"/>
      <c r="I41" s="1386"/>
      <c r="J41" s="1386"/>
      <c r="K41" s="1386"/>
      <c r="L41" s="1386"/>
      <c r="M41" s="1386"/>
      <c r="N41" s="1386"/>
      <c r="O41" s="1386"/>
      <c r="P41" s="1386"/>
      <c r="Q41" s="1386"/>
    </row>
    <row r="42" spans="1:17">
      <c r="A42" s="1380"/>
      <c r="B42" s="1380"/>
      <c r="C42" s="1385"/>
      <c r="D42" s="1382"/>
      <c r="E42" s="1383"/>
      <c r="F42" s="1383"/>
      <c r="G42" s="1383"/>
      <c r="H42" s="1383"/>
      <c r="I42" s="1383"/>
      <c r="J42" s="1383"/>
      <c r="K42" s="1383"/>
      <c r="L42" s="1383"/>
      <c r="M42" s="1383"/>
      <c r="N42" s="1383"/>
      <c r="O42" s="1383"/>
      <c r="P42" s="1383"/>
      <c r="Q42" s="1383"/>
    </row>
    <row r="43" spans="1:17">
      <c r="A43" s="1380"/>
      <c r="B43" s="1380"/>
      <c r="C43" s="1380"/>
      <c r="D43" s="1380"/>
      <c r="E43" s="1380"/>
      <c r="F43" s="1380"/>
      <c r="G43" s="1380"/>
      <c r="H43" s="1380"/>
      <c r="I43" s="1380"/>
      <c r="J43" s="1380"/>
      <c r="K43" s="1380"/>
      <c r="L43" s="1380"/>
      <c r="M43" s="1380"/>
      <c r="N43" s="1380"/>
      <c r="O43" s="1380"/>
      <c r="P43" s="1380"/>
      <c r="Q43" s="1380"/>
    </row>
    <row r="44" spans="1:17">
      <c r="A44" s="1380"/>
      <c r="B44" s="1380"/>
      <c r="C44" s="1380"/>
      <c r="D44" s="1380"/>
      <c r="E44" s="1380"/>
      <c r="F44" s="1380"/>
      <c r="G44" s="1380"/>
      <c r="H44" s="1380"/>
      <c r="I44" s="1380"/>
      <c r="J44" s="1380"/>
      <c r="K44" s="1380"/>
      <c r="L44" s="1380"/>
      <c r="M44" s="1380"/>
      <c r="N44" s="1380"/>
      <c r="O44" s="1380"/>
      <c r="P44" s="1380"/>
      <c r="Q44" s="1380"/>
    </row>
    <row r="45" spans="1:17">
      <c r="A45" s="1380"/>
      <c r="B45" s="1380"/>
      <c r="C45" s="1380"/>
      <c r="D45" s="1380"/>
      <c r="E45" s="1387"/>
      <c r="F45" s="1387"/>
      <c r="G45" s="1387"/>
      <c r="H45" s="1387"/>
      <c r="I45" s="1387"/>
      <c r="J45" s="1387"/>
      <c r="K45" s="1387"/>
      <c r="L45" s="1387"/>
      <c r="M45" s="1387"/>
      <c r="N45" s="1387"/>
      <c r="O45" s="1387"/>
      <c r="P45" s="1380"/>
      <c r="Q45" s="1380"/>
    </row>
    <row r="46" spans="1:17">
      <c r="A46" s="1388"/>
      <c r="B46" s="1380"/>
      <c r="C46" s="1380"/>
      <c r="D46" s="1380"/>
      <c r="E46" s="1380"/>
      <c r="F46" s="1380"/>
      <c r="G46" s="1380"/>
      <c r="H46" s="1380"/>
      <c r="I46" s="1380"/>
      <c r="J46" s="1380"/>
      <c r="K46" s="1380"/>
      <c r="L46" s="1380"/>
      <c r="M46" s="1380"/>
      <c r="N46" s="1380"/>
      <c r="O46" s="1380"/>
      <c r="P46" s="1380"/>
      <c r="Q46" s="1380"/>
    </row>
    <row r="47" spans="1:17">
      <c r="A47" s="1389"/>
      <c r="B47" s="1380"/>
      <c r="C47" s="1380"/>
      <c r="D47" s="1380"/>
      <c r="E47" s="1380"/>
      <c r="F47" s="1380"/>
      <c r="G47" s="1380"/>
      <c r="H47" s="1380"/>
      <c r="I47" s="1380"/>
      <c r="J47" s="1380"/>
      <c r="K47" s="1380"/>
      <c r="L47" s="1380"/>
      <c r="M47" s="1380"/>
      <c r="N47" s="1380"/>
      <c r="O47" s="1380"/>
      <c r="P47" s="1380"/>
      <c r="Q47" s="1380"/>
    </row>
    <row r="48" spans="1:17">
      <c r="A48" s="1389"/>
      <c r="B48" s="1380"/>
      <c r="C48" s="1380"/>
      <c r="D48" s="1380"/>
      <c r="E48" s="1380"/>
      <c r="F48" s="1380"/>
      <c r="G48" s="1380"/>
      <c r="H48" s="1380"/>
      <c r="I48" s="1380"/>
      <c r="J48" s="1380"/>
      <c r="K48" s="1380"/>
      <c r="L48" s="1380"/>
      <c r="M48" s="1380"/>
      <c r="N48" s="1380"/>
      <c r="O48" s="1380"/>
      <c r="P48" s="1380"/>
      <c r="Q48" s="1380"/>
    </row>
    <row r="49" spans="1:17">
      <c r="A49" s="1388"/>
      <c r="B49" s="1380"/>
      <c r="C49" s="1380"/>
      <c r="D49" s="1380"/>
      <c r="E49" s="1380"/>
      <c r="F49" s="1380"/>
      <c r="G49" s="1380"/>
      <c r="H49" s="1380"/>
      <c r="I49" s="1380"/>
      <c r="J49" s="1380"/>
      <c r="K49" s="1380"/>
      <c r="L49" s="1380"/>
      <c r="M49" s="1380"/>
      <c r="N49" s="1380"/>
      <c r="O49" s="1380"/>
      <c r="P49" s="1380"/>
      <c r="Q49" s="1380"/>
    </row>
    <row r="50" spans="1:17">
      <c r="A50" s="1374"/>
      <c r="B50" s="1374"/>
      <c r="C50" s="1380"/>
      <c r="D50" s="1380"/>
      <c r="E50" s="1380"/>
      <c r="F50" s="1380"/>
      <c r="G50" s="1380"/>
      <c r="H50" s="1380"/>
      <c r="I50" s="1380"/>
      <c r="J50" s="1380"/>
      <c r="K50" s="1380"/>
      <c r="L50" s="1380"/>
      <c r="M50" s="1380"/>
      <c r="N50" s="1380"/>
      <c r="O50" s="1380"/>
      <c r="P50" s="1380"/>
      <c r="Q50" s="1380"/>
    </row>
    <row r="51" spans="1:17">
      <c r="A51" s="45"/>
      <c r="B51" s="1374"/>
      <c r="C51" s="1380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</row>
    <row r="52" spans="1:17">
      <c r="A52" s="1390"/>
      <c r="B52" s="1374"/>
      <c r="C52" s="1390"/>
      <c r="D52" s="1391"/>
      <c r="E52" s="1390"/>
      <c r="F52" s="1391"/>
      <c r="G52" s="1391"/>
      <c r="H52" s="1391"/>
      <c r="I52" s="1391"/>
      <c r="J52" s="1391"/>
      <c r="K52" s="1391"/>
      <c r="L52" s="1391"/>
      <c r="M52" s="1391"/>
      <c r="N52" s="1391"/>
      <c r="O52" s="1391"/>
      <c r="P52" s="1391"/>
      <c r="Q52" s="1391"/>
    </row>
    <row r="53" spans="1:17">
      <c r="A53" s="45"/>
      <c r="B53" s="1374"/>
      <c r="C53" s="1392"/>
      <c r="D53" s="1392"/>
      <c r="E53" s="1392"/>
      <c r="F53" s="1392"/>
      <c r="G53" s="1392"/>
      <c r="H53" s="1392"/>
      <c r="I53" s="1392"/>
      <c r="J53" s="1392"/>
      <c r="K53" s="1392"/>
      <c r="L53" s="1392"/>
      <c r="M53" s="1392"/>
      <c r="N53" s="1392"/>
      <c r="O53" s="1392"/>
      <c r="P53" s="1392"/>
      <c r="Q53" s="1392"/>
    </row>
    <row r="54" spans="1:17">
      <c r="A54" s="1374"/>
      <c r="B54" s="1374"/>
      <c r="C54" s="385"/>
      <c r="D54" s="385"/>
      <c r="E54" s="385"/>
      <c r="F54" s="385"/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</row>
    <row r="55" spans="1:17">
      <c r="A55" s="1374"/>
      <c r="B55" s="1393"/>
      <c r="C55" s="385"/>
      <c r="D55" s="385"/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</row>
    <row r="56" spans="1:17">
      <c r="A56" s="1374"/>
      <c r="B56" s="1374"/>
      <c r="C56" s="1377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</row>
    <row r="57" spans="1:17">
      <c r="A57" s="1374"/>
      <c r="B57" s="1374"/>
      <c r="C57" s="385"/>
      <c r="D57" s="848"/>
      <c r="E57" s="848"/>
      <c r="F57" s="848"/>
      <c r="G57" s="848"/>
      <c r="H57" s="848"/>
      <c r="I57" s="848"/>
      <c r="J57" s="848"/>
      <c r="K57" s="848"/>
      <c r="L57" s="848"/>
      <c r="M57" s="848"/>
      <c r="N57" s="848"/>
      <c r="O57" s="848"/>
      <c r="P57" s="848"/>
      <c r="Q57" s="848"/>
    </row>
    <row r="58" spans="1:17">
      <c r="A58" s="1374"/>
      <c r="B58" s="1374"/>
      <c r="C58" s="385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  <c r="O58" s="848"/>
      <c r="P58" s="848"/>
      <c r="Q58" s="848"/>
    </row>
    <row r="59" spans="1:17">
      <c r="A59" s="1374"/>
      <c r="B59" s="1374"/>
      <c r="C59" s="385"/>
      <c r="D59" s="848"/>
      <c r="E59" s="848"/>
      <c r="F59" s="848"/>
      <c r="G59" s="848"/>
      <c r="H59" s="848"/>
      <c r="I59" s="848"/>
      <c r="J59" s="848"/>
      <c r="K59" s="848"/>
      <c r="L59" s="848"/>
      <c r="M59" s="848"/>
      <c r="N59" s="848"/>
      <c r="O59" s="848"/>
      <c r="P59" s="848"/>
      <c r="Q59" s="848"/>
    </row>
    <row r="60" spans="1:17">
      <c r="A60" s="1374"/>
      <c r="B60" s="1374"/>
      <c r="C60" s="385"/>
      <c r="D60" s="848"/>
      <c r="E60" s="848"/>
      <c r="F60" s="848"/>
      <c r="G60" s="848"/>
      <c r="H60" s="848"/>
      <c r="I60" s="848"/>
      <c r="J60" s="848"/>
      <c r="K60" s="848"/>
      <c r="L60" s="848"/>
      <c r="M60" s="848"/>
      <c r="N60" s="848"/>
      <c r="O60" s="848"/>
      <c r="P60" s="848"/>
      <c r="Q60" s="848"/>
    </row>
    <row r="61" spans="1:17">
      <c r="A61" s="1374"/>
      <c r="B61" s="1374"/>
      <c r="C61" s="385"/>
      <c r="D61" s="848"/>
      <c r="E61" s="848"/>
      <c r="F61" s="848"/>
      <c r="G61" s="848"/>
      <c r="H61" s="848"/>
      <c r="I61" s="848"/>
      <c r="J61" s="848"/>
      <c r="K61" s="848"/>
      <c r="L61" s="848"/>
      <c r="M61" s="848"/>
      <c r="N61" s="848"/>
      <c r="O61" s="848"/>
      <c r="P61" s="848"/>
      <c r="Q61" s="848"/>
    </row>
    <row r="62" spans="1:17">
      <c r="A62" s="1374"/>
      <c r="B62" s="1374"/>
      <c r="C62" s="385"/>
      <c r="D62" s="848"/>
      <c r="E62" s="848"/>
      <c r="F62" s="848"/>
      <c r="G62" s="848"/>
      <c r="H62" s="848"/>
      <c r="I62" s="848"/>
      <c r="J62" s="848"/>
      <c r="K62" s="848"/>
      <c r="L62" s="848"/>
      <c r="M62" s="848"/>
      <c r="N62" s="848"/>
      <c r="O62" s="848"/>
      <c r="P62" s="848"/>
      <c r="Q62" s="848"/>
    </row>
    <row r="63" spans="1:17">
      <c r="A63" s="1374"/>
      <c r="B63" s="1374"/>
      <c r="C63" s="1377"/>
      <c r="D63" s="848"/>
      <c r="E63" s="848"/>
      <c r="F63" s="848"/>
      <c r="G63" s="848"/>
      <c r="H63" s="848"/>
      <c r="I63" s="848"/>
      <c r="J63" s="848"/>
      <c r="K63" s="848"/>
      <c r="L63" s="848"/>
      <c r="M63" s="848"/>
      <c r="N63" s="848"/>
      <c r="O63" s="848"/>
      <c r="P63" s="848"/>
      <c r="Q63" s="848"/>
    </row>
    <row r="64" spans="1:17">
      <c r="A64" s="1374"/>
      <c r="B64" s="1374"/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</row>
    <row r="65" spans="1:17">
      <c r="A65" s="1374"/>
      <c r="B65" s="1374"/>
      <c r="C65" s="385"/>
      <c r="D65" s="1394"/>
      <c r="E65" s="1394"/>
      <c r="F65" s="1394"/>
      <c r="G65" s="1394"/>
      <c r="H65" s="1394"/>
      <c r="I65" s="1394"/>
      <c r="J65" s="1394"/>
      <c r="K65" s="1394"/>
      <c r="L65" s="1394"/>
      <c r="M65" s="1394"/>
      <c r="N65" s="1394"/>
      <c r="O65" s="1394"/>
      <c r="P65" s="1394"/>
      <c r="Q65" s="1394"/>
    </row>
    <row r="66" spans="1:17">
      <c r="A66" s="1374"/>
      <c r="B66" s="1374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</row>
    <row r="67" spans="1:17">
      <c r="A67" s="1374"/>
      <c r="B67" s="1374"/>
      <c r="C67" s="385"/>
      <c r="D67" s="1395"/>
      <c r="E67" s="1395"/>
      <c r="F67" s="1395"/>
      <c r="G67" s="1395"/>
      <c r="H67" s="1395"/>
      <c r="I67" s="1395"/>
      <c r="J67" s="1395"/>
      <c r="K67" s="1395"/>
      <c r="L67" s="1395"/>
      <c r="M67" s="1395"/>
      <c r="N67" s="1395"/>
      <c r="O67" s="1395"/>
      <c r="P67" s="1395"/>
      <c r="Q67" s="1395"/>
    </row>
    <row r="68" spans="1:17">
      <c r="A68" s="1374"/>
      <c r="B68" s="1374"/>
      <c r="C68" s="385"/>
      <c r="D68" s="385"/>
      <c r="E68" s="385"/>
      <c r="F68" s="385"/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</row>
    <row r="69" spans="1:17">
      <c r="A69" s="1374"/>
      <c r="B69" s="1393"/>
      <c r="C69" s="385"/>
      <c r="D69" s="385"/>
      <c r="E69" s="385"/>
      <c r="F69" s="385"/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</row>
    <row r="70" spans="1:17">
      <c r="A70" s="1374"/>
      <c r="B70" s="1374"/>
      <c r="C70" s="385"/>
      <c r="D70" s="848"/>
      <c r="E70" s="848"/>
      <c r="F70" s="848"/>
      <c r="G70" s="848"/>
      <c r="H70" s="848"/>
      <c r="I70" s="848"/>
      <c r="J70" s="848"/>
      <c r="K70" s="848"/>
      <c r="L70" s="848"/>
      <c r="M70" s="848"/>
      <c r="N70" s="848"/>
      <c r="O70" s="848"/>
      <c r="P70" s="848"/>
      <c r="Q70" s="848"/>
    </row>
    <row r="71" spans="1:17">
      <c r="A71" s="1374"/>
      <c r="B71" s="1374"/>
      <c r="C71" s="385"/>
      <c r="D71" s="848"/>
      <c r="E71" s="848"/>
      <c r="F71" s="848"/>
      <c r="G71" s="848"/>
      <c r="H71" s="848"/>
      <c r="I71" s="848"/>
      <c r="J71" s="848"/>
      <c r="K71" s="848"/>
      <c r="L71" s="848"/>
      <c r="M71" s="848"/>
      <c r="N71" s="848"/>
      <c r="O71" s="848"/>
      <c r="P71" s="848"/>
      <c r="Q71" s="848"/>
    </row>
    <row r="72" spans="1:17">
      <c r="A72" s="1374"/>
      <c r="B72" s="1374"/>
      <c r="C72" s="385"/>
      <c r="D72" s="848"/>
      <c r="E72" s="848"/>
      <c r="F72" s="848"/>
      <c r="G72" s="848"/>
      <c r="H72" s="848"/>
      <c r="I72" s="848"/>
      <c r="J72" s="848"/>
      <c r="K72" s="848"/>
      <c r="L72" s="848"/>
      <c r="M72" s="848"/>
      <c r="N72" s="848"/>
      <c r="O72" s="848"/>
      <c r="P72" s="848"/>
      <c r="Q72" s="848"/>
    </row>
    <row r="73" spans="1:17">
      <c r="A73" s="1374"/>
      <c r="B73" s="1374"/>
      <c r="C73" s="385"/>
      <c r="D73" s="848"/>
      <c r="E73" s="848"/>
      <c r="F73" s="848"/>
      <c r="G73" s="848"/>
      <c r="H73" s="848"/>
      <c r="I73" s="848"/>
      <c r="J73" s="848"/>
      <c r="K73" s="848"/>
      <c r="L73" s="848"/>
      <c r="M73" s="848"/>
      <c r="N73" s="848"/>
      <c r="O73" s="848"/>
      <c r="P73" s="848"/>
      <c r="Q73" s="848"/>
    </row>
    <row r="74" spans="1:17">
      <c r="A74" s="1374"/>
      <c r="B74" s="1374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</row>
    <row r="75" spans="1:17">
      <c r="A75" s="1374"/>
      <c r="B75" s="1393"/>
      <c r="C75" s="385"/>
      <c r="D75" s="1395"/>
      <c r="E75" s="1395"/>
      <c r="F75" s="1395"/>
      <c r="G75" s="1395"/>
      <c r="H75" s="1395"/>
      <c r="I75" s="1395"/>
      <c r="J75" s="1395"/>
      <c r="K75" s="1395"/>
      <c r="L75" s="1395"/>
      <c r="M75" s="1395"/>
      <c r="N75" s="1395"/>
      <c r="O75" s="1395"/>
      <c r="P75" s="1395"/>
      <c r="Q75" s="1395"/>
    </row>
    <row r="76" spans="1:17">
      <c r="A76" s="1374"/>
      <c r="B76" s="1374"/>
      <c r="C76" s="385"/>
      <c r="D76" s="385"/>
      <c r="E76" s="385"/>
      <c r="F76" s="385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</row>
    <row r="77" spans="1:17">
      <c r="A77" s="1374"/>
      <c r="B77" s="1393"/>
      <c r="C77" s="385"/>
      <c r="D77" s="1396"/>
      <c r="E77" s="1396"/>
      <c r="F77" s="1396"/>
      <c r="G77" s="1396"/>
      <c r="H77" s="1396"/>
      <c r="I77" s="1396"/>
      <c r="J77" s="1396"/>
      <c r="K77" s="1396"/>
      <c r="L77" s="1396"/>
      <c r="M77" s="1396"/>
      <c r="N77" s="1396"/>
      <c r="O77" s="1396"/>
      <c r="P77" s="1396"/>
      <c r="Q77" s="1396"/>
    </row>
    <row r="78" spans="1:17">
      <c r="A78" s="1374"/>
      <c r="B78" s="1393"/>
      <c r="C78" s="385"/>
      <c r="D78" s="1396"/>
      <c r="E78" s="1396"/>
      <c r="F78" s="1396"/>
      <c r="G78" s="1396"/>
      <c r="H78" s="1396"/>
      <c r="I78" s="1396"/>
      <c r="J78" s="1396"/>
      <c r="K78" s="1396"/>
      <c r="L78" s="1396"/>
      <c r="M78" s="1396"/>
      <c r="N78" s="1396"/>
      <c r="O78" s="1396"/>
      <c r="P78" s="1396"/>
      <c r="Q78" s="1396"/>
    </row>
    <row r="79" spans="1:17">
      <c r="A79" s="1374"/>
      <c r="B79" s="1374"/>
      <c r="C79" s="385"/>
      <c r="D79" s="385"/>
      <c r="E79" s="385"/>
      <c r="F79" s="385"/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</row>
    <row r="80" spans="1:17">
      <c r="A80" s="1374"/>
      <c r="B80" s="1397"/>
      <c r="C80" s="385"/>
      <c r="D80" s="385"/>
      <c r="E80" s="385"/>
      <c r="F80" s="385"/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</row>
    <row r="81" spans="1:17">
      <c r="A81" s="1374"/>
      <c r="B81" s="1374"/>
      <c r="C81" s="1377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</row>
    <row r="82" spans="1:17">
      <c r="A82" s="1374"/>
      <c r="B82" s="1374"/>
      <c r="C82" s="1377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</row>
    <row r="83" spans="1:17">
      <c r="A83" s="1374"/>
      <c r="B83" s="1374"/>
      <c r="C83" s="1377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</row>
    <row r="84" spans="1:17">
      <c r="A84" s="1374"/>
      <c r="B84" s="1374"/>
      <c r="C84" s="1377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</row>
    <row r="85" spans="1:17">
      <c r="A85" s="1374"/>
      <c r="B85" s="1374"/>
      <c r="C85" s="1398"/>
      <c r="D85" s="385"/>
      <c r="E85" s="385"/>
      <c r="F85" s="385"/>
      <c r="G85" s="385"/>
      <c r="H85" s="385"/>
      <c r="I85" s="385"/>
      <c r="J85" s="385"/>
      <c r="K85" s="385"/>
      <c r="L85" s="385"/>
      <c r="M85" s="385"/>
      <c r="N85" s="385"/>
      <c r="O85" s="385"/>
      <c r="P85" s="385"/>
      <c r="Q85" s="385"/>
    </row>
    <row r="86" spans="1:17">
      <c r="A86" s="1374"/>
      <c r="B86" s="1384"/>
      <c r="C86" s="1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5"/>
      <c r="P86" s="385"/>
      <c r="Q86" s="385"/>
    </row>
    <row r="87" spans="1:17">
      <c r="A87" s="1374"/>
      <c r="B87" s="1374"/>
      <c r="C87" s="1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</row>
    <row r="88" spans="1:17">
      <c r="A88" s="385"/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5"/>
      <c r="P88" s="385"/>
      <c r="Q88" s="385"/>
    </row>
    <row r="89" spans="1:17">
      <c r="A89" s="385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5"/>
      <c r="P89" s="385"/>
      <c r="Q89" s="385"/>
    </row>
    <row r="90" spans="1:17">
      <c r="A90" s="385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5"/>
      <c r="P90" s="385"/>
      <c r="Q90" s="385"/>
    </row>
    <row r="91" spans="1:17">
      <c r="A91" s="385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5"/>
      <c r="P91" s="385"/>
      <c r="Q91" s="385"/>
    </row>
    <row r="92" spans="1:17">
      <c r="A92" s="385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</row>
    <row r="93" spans="1:17">
      <c r="A93" s="385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5"/>
      <c r="P93" s="385"/>
      <c r="Q93" s="385"/>
    </row>
    <row r="94" spans="1:17">
      <c r="A94" s="385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5"/>
      <c r="P94" s="385"/>
      <c r="Q94" s="385"/>
    </row>
    <row r="95" spans="1:17">
      <c r="A95" s="385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5"/>
      <c r="P95" s="385"/>
      <c r="Q95" s="385"/>
    </row>
    <row r="96" spans="1:17">
      <c r="A96" s="385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5"/>
      <c r="P96" s="385"/>
      <c r="Q96" s="385"/>
    </row>
    <row r="97" spans="1:17">
      <c r="A97" s="385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</row>
    <row r="98" spans="1:17">
      <c r="A98" s="385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5"/>
      <c r="P98" s="385"/>
      <c r="Q98" s="385"/>
    </row>
    <row r="99" spans="1:17">
      <c r="A99" s="385"/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5"/>
      <c r="P99" s="385"/>
      <c r="Q99" s="385"/>
    </row>
    <row r="100" spans="1:17">
      <c r="A100" s="385"/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5"/>
      <c r="P100" s="385"/>
      <c r="Q100" s="385"/>
    </row>
    <row r="101" spans="1:17">
      <c r="A101" s="385"/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5"/>
      <c r="P101" s="385"/>
      <c r="Q101" s="385"/>
    </row>
    <row r="102" spans="1:17">
      <c r="A102" s="385"/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</row>
    <row r="103" spans="1:17">
      <c r="A103" s="385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</row>
    <row r="104" spans="1:17">
      <c r="A104" s="385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</row>
    <row r="105" spans="1:17">
      <c r="A105" s="385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</row>
    <row r="110" spans="1:17">
      <c r="A110" s="1399"/>
      <c r="B110" s="1399"/>
      <c r="C110" s="1400"/>
      <c r="D110" s="1400"/>
      <c r="E110" s="1401"/>
      <c r="F110" s="1401"/>
      <c r="G110" s="1401"/>
      <c r="H110" s="1401"/>
      <c r="I110" s="1401"/>
      <c r="J110" s="1401"/>
      <c r="K110" s="1401"/>
      <c r="L110" s="1401"/>
      <c r="M110" s="1401"/>
      <c r="N110" s="1401"/>
      <c r="O110" s="1402"/>
    </row>
    <row r="118" spans="14:17">
      <c r="N118" s="4"/>
      <c r="O118" s="4"/>
      <c r="P118" s="4"/>
      <c r="Q118" s="4"/>
    </row>
    <row r="119" spans="14:17">
      <c r="N119" s="4"/>
      <c r="O119" s="4"/>
      <c r="P119" s="4"/>
      <c r="Q119" s="4"/>
    </row>
    <row r="120" spans="14:17">
      <c r="N120" s="4"/>
      <c r="O120" s="4"/>
      <c r="P120" s="4"/>
      <c r="Q120" s="4"/>
    </row>
    <row r="121" spans="14:17">
      <c r="N121" s="4"/>
      <c r="O121" s="4"/>
      <c r="P121" s="4"/>
      <c r="Q121" s="4"/>
    </row>
    <row r="122" spans="14:17">
      <c r="N122" s="4"/>
      <c r="O122" s="4"/>
      <c r="P122" s="4"/>
      <c r="Q122" s="4"/>
    </row>
    <row r="123" spans="14:17">
      <c r="N123" s="4"/>
      <c r="O123" s="4"/>
      <c r="P123" s="4"/>
      <c r="Q123" s="4"/>
    </row>
    <row r="124" spans="14:17">
      <c r="N124" s="4"/>
      <c r="O124" s="4"/>
      <c r="P124" s="4"/>
      <c r="Q124" s="4"/>
    </row>
    <row r="125" spans="14:17">
      <c r="N125" s="4"/>
      <c r="O125" s="4"/>
      <c r="P125" s="4"/>
      <c r="Q125" s="4"/>
    </row>
    <row r="126" spans="14:17">
      <c r="N126" s="4"/>
      <c r="O126" s="4"/>
      <c r="P126" s="4"/>
      <c r="Q126" s="4"/>
    </row>
    <row r="127" spans="14:17">
      <c r="N127" s="4"/>
      <c r="O127" s="4"/>
      <c r="P127" s="4"/>
      <c r="Q127" s="4"/>
    </row>
    <row r="128" spans="14:17">
      <c r="N128" s="4"/>
      <c r="O128" s="4"/>
      <c r="P128" s="4"/>
      <c r="Q128" s="4"/>
    </row>
    <row r="129" spans="14:17">
      <c r="N129" s="4"/>
      <c r="O129" s="4"/>
      <c r="P129" s="4"/>
      <c r="Q129" s="4"/>
    </row>
    <row r="130" spans="14:17">
      <c r="N130" s="4"/>
      <c r="O130" s="4"/>
      <c r="P130" s="4"/>
      <c r="Q130" s="4"/>
    </row>
    <row r="131" spans="14:17">
      <c r="N131" s="4"/>
      <c r="O131" s="4"/>
      <c r="P131" s="4"/>
      <c r="Q131" s="4"/>
    </row>
    <row r="132" spans="14:17">
      <c r="N132" s="4"/>
      <c r="O132" s="4"/>
      <c r="P132" s="4"/>
      <c r="Q132" s="4"/>
    </row>
    <row r="133" spans="14:17">
      <c r="N133" s="4"/>
      <c r="O133" s="4"/>
      <c r="P133" s="4"/>
      <c r="Q133" s="4"/>
    </row>
  </sheetData>
  <pageMargins left="0.7" right="0.7" top="0.75" bottom="0.75" header="0.3" footer="0.3"/>
  <pageSetup scale="48" orientation="landscape" blackAndWhite="1" r:id="rId1"/>
  <headerFooter scaleWithDoc="0" alignWithMargins="0">
    <oddFooter>&amp;R&amp;"Times New Roman,Bold"Exhibit 4
Page 1 of 6</oddFooter>
  </headerFooter>
  <colBreaks count="1" manualBreakCount="1">
    <brk id="17" max="1048575" man="1"/>
  </col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'201905 Bk Depr'!R13</f>
        <v>7260917.7699999996</v>
      </c>
      <c r="H13" s="1">
        <f>1.62%/12</f>
        <v>1.3500000000000003E-3</v>
      </c>
      <c r="J13" s="278">
        <f>F13*H13</f>
        <v>9802.2389895000015</v>
      </c>
      <c r="L13" s="279">
        <f>'Cap&amp;OpEx 2019'!H10</f>
        <v>21271.05</v>
      </c>
      <c r="N13" s="278">
        <f>H13*L13*0.5</f>
        <v>14.357958750000003</v>
      </c>
      <c r="P13" s="278">
        <f>J13+N13</f>
        <v>9816.5969482500022</v>
      </c>
      <c r="R13" s="278">
        <f>L13+F13</f>
        <v>7282188.8199999994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'201905 Bk Depr'!R14</f>
        <v>6288631.3600000013</v>
      </c>
      <c r="H14" s="1">
        <f>3.24%/12</f>
        <v>2.7000000000000006E-3</v>
      </c>
      <c r="J14" s="278">
        <f>F14*H14</f>
        <v>16979.304672000006</v>
      </c>
      <c r="L14" s="279">
        <f>'Cap&amp;OpEx 2019'!H12</f>
        <v>303068.81</v>
      </c>
      <c r="N14" s="278">
        <f>H14*L14*0.5</f>
        <v>409.14289350000007</v>
      </c>
      <c r="P14" s="278">
        <f>J14+N14</f>
        <v>17388.447565500006</v>
      </c>
      <c r="R14" s="278">
        <f>L14+F14</f>
        <v>6591700.1700000009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'201905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2019'!H13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'201905 Bk Depr'!R16</f>
        <v>22941899.550000001</v>
      </c>
      <c r="H16" s="1">
        <f t="shared" si="1"/>
        <v>2.7000000000000006E-3</v>
      </c>
      <c r="J16" s="278">
        <f>F16*H16</f>
        <v>61943.128785000015</v>
      </c>
      <c r="L16" s="280">
        <f>'Cap&amp;OpEx 2019'!H14</f>
        <v>1493133.6</v>
      </c>
      <c r="N16" s="278">
        <f>H16*L16*0.5</f>
        <v>2015.7303600000005</v>
      </c>
      <c r="P16" s="278">
        <f>J16+N16</f>
        <v>63958.859145000017</v>
      </c>
      <c r="R16" s="278">
        <f>L16+F16</f>
        <v>24435033.150000002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43708828.920000002</v>
      </c>
      <c r="J17" s="276">
        <f>SUM(J13:J16)</f>
        <v>108211.59909450004</v>
      </c>
      <c r="L17" s="276">
        <f>SUM(L13:L16)</f>
        <v>1817473.46</v>
      </c>
      <c r="N17" s="276">
        <f>SUM(N13:N16)</f>
        <v>2439.2312122500007</v>
      </c>
      <c r="P17" s="276">
        <f>SUM(P13:P16)</f>
        <v>110650.83030675002</v>
      </c>
      <c r="R17" s="276">
        <f>SUM(R13:R16)</f>
        <v>45526302.380000003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'201905 Bk Depr'!R20</f>
        <v>0</v>
      </c>
      <c r="H20" s="1">
        <f>1.62%/12</f>
        <v>1.3500000000000003E-3</v>
      </c>
      <c r="J20" s="278">
        <f>F20*H20</f>
        <v>0</v>
      </c>
      <c r="L20" s="279">
        <f>'Cap&amp;OpEx 2019'!H17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'201905 Bk Depr'!R21</f>
        <v>0</v>
      </c>
      <c r="H21" s="1">
        <f>3.24%/12</f>
        <v>2.7000000000000006E-3</v>
      </c>
      <c r="J21" s="278">
        <f>F21*H21</f>
        <v>0</v>
      </c>
      <c r="L21" s="279">
        <f>'Cap&amp;OpEx 2019'!H19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'201905 Bk Depr'!R22</f>
        <v>0</v>
      </c>
      <c r="H22" s="1">
        <f>3.24%/12</f>
        <v>2.7000000000000006E-3</v>
      </c>
      <c r="J22" s="278">
        <f>F22*H22</f>
        <v>0</v>
      </c>
      <c r="L22" s="280">
        <f>'Cap&amp;OpEx 2019'!H20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43708828.920000002</v>
      </c>
      <c r="J25" s="277">
        <f>J17+J23</f>
        <v>108211.59909450004</v>
      </c>
      <c r="L25" s="277">
        <f>L17+L23</f>
        <v>1817473.46</v>
      </c>
      <c r="N25" s="277">
        <f>N17+N23</f>
        <v>2439.2312122500007</v>
      </c>
      <c r="P25" s="277">
        <f>P17+P23</f>
        <v>110650.83030675002</v>
      </c>
      <c r="R25" s="277">
        <f>R17+R23</f>
        <v>45526302.380000003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'201905 Bk Depr'!R28</f>
        <v>1927915.84</v>
      </c>
      <c r="J28" s="278"/>
      <c r="L28" s="279">
        <f>'Cap&amp;OpEx 2019'!H25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'201905 Bk Depr'!R29</f>
        <v>2804221.1599999997</v>
      </c>
      <c r="J29" s="278"/>
      <c r="L29" s="279">
        <f>'Cap&amp;OpEx 2019'!H27</f>
        <v>450871.25</v>
      </c>
      <c r="N29" s="278"/>
      <c r="P29" s="278"/>
      <c r="R29" s="278">
        <f>L29+F29</f>
        <v>3255092.4099999997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'201905 Bk Depr'!R30</f>
        <v>160988.60999999999</v>
      </c>
      <c r="J30" s="278"/>
      <c r="L30" s="280">
        <f>'Cap&amp;OpEx 2019'!H28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4893125.6100000003</v>
      </c>
      <c r="J31" s="276">
        <f>SUM(J28:J30)</f>
        <v>0</v>
      </c>
      <c r="L31" s="276">
        <f>SUM(L28:L30)</f>
        <v>450871.25</v>
      </c>
      <c r="N31" s="276">
        <f>SUM(N28:N30)</f>
        <v>0</v>
      </c>
      <c r="P31" s="276">
        <f>SUM(P28:P30)</f>
        <v>0</v>
      </c>
      <c r="R31" s="276">
        <f>SUM(R28:R30)</f>
        <v>5343996.8600000003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10 of 17&amp;L&amp;1#&amp;"Calibri"&amp;14&amp;K000000Business Use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'201906 Bk Depr'!R13</f>
        <v>7282188.8199999994</v>
      </c>
      <c r="H13" s="1">
        <f>1.62%/12</f>
        <v>1.3500000000000003E-3</v>
      </c>
      <c r="J13" s="278">
        <f>F13*H13</f>
        <v>9830.9549070000012</v>
      </c>
      <c r="L13" s="279">
        <f>'Cap&amp;OpEx 2019'!I10</f>
        <v>23381.06</v>
      </c>
      <c r="N13" s="278">
        <f>H13*L13*0.5</f>
        <v>15.782215500000005</v>
      </c>
      <c r="P13" s="278">
        <f>J13+N13</f>
        <v>9846.7371225000006</v>
      </c>
      <c r="R13" s="278">
        <f>L13+F13</f>
        <v>7305569.879999999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'201906 Bk Depr'!R14</f>
        <v>6591700.1700000009</v>
      </c>
      <c r="H14" s="1">
        <f>3.24%/12</f>
        <v>2.7000000000000006E-3</v>
      </c>
      <c r="J14" s="278">
        <f>F14*H14</f>
        <v>17797.590459000006</v>
      </c>
      <c r="L14" s="279">
        <f>'Cap&amp;OpEx 2019'!I12</f>
        <v>284864.46000000002</v>
      </c>
      <c r="N14" s="278">
        <f>H14*L14*0.5</f>
        <v>384.56702100000012</v>
      </c>
      <c r="P14" s="278">
        <f>J14+N14</f>
        <v>18182.157480000005</v>
      </c>
      <c r="R14" s="278">
        <f>L14+F14</f>
        <v>6876564.6300000008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'201906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2019'!I13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'201906 Bk Depr'!R16</f>
        <v>24435033.150000002</v>
      </c>
      <c r="H16" s="1">
        <f t="shared" si="1"/>
        <v>2.7000000000000006E-3</v>
      </c>
      <c r="J16" s="278">
        <f>F16*H16</f>
        <v>65974.589505000025</v>
      </c>
      <c r="L16" s="280">
        <f>'Cap&amp;OpEx 2019'!I14</f>
        <v>1323256.3699999999</v>
      </c>
      <c r="N16" s="278">
        <f>H16*L16*0.5</f>
        <v>1786.3960995000002</v>
      </c>
      <c r="P16" s="278">
        <f>J16+N16</f>
        <v>67760.98560450002</v>
      </c>
      <c r="R16" s="278">
        <f>L16+F16</f>
        <v>25758289.520000003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45526302.380000003</v>
      </c>
      <c r="J17" s="276">
        <f>SUM(J13:J16)</f>
        <v>113090.06151900004</v>
      </c>
      <c r="L17" s="276">
        <f>SUM(L13:L16)</f>
        <v>1631501.89</v>
      </c>
      <c r="N17" s="276">
        <f>SUM(N13:N16)</f>
        <v>2186.7453360000004</v>
      </c>
      <c r="P17" s="276">
        <f>SUM(P13:P16)</f>
        <v>115276.80685500003</v>
      </c>
      <c r="R17" s="276">
        <f>SUM(R13:R16)</f>
        <v>47157804.270000003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'201906 Bk Depr'!R20</f>
        <v>0</v>
      </c>
      <c r="H20" s="1">
        <f>1.62%/12</f>
        <v>1.3500000000000003E-3</v>
      </c>
      <c r="J20" s="278">
        <f>F20*H20</f>
        <v>0</v>
      </c>
      <c r="L20" s="279">
        <f>'Cap&amp;OpEx 2019'!I17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'201906 Bk Depr'!R21</f>
        <v>0</v>
      </c>
      <c r="H21" s="1">
        <f>3.24%/12</f>
        <v>2.7000000000000006E-3</v>
      </c>
      <c r="J21" s="278">
        <f>F21*H21</f>
        <v>0</v>
      </c>
      <c r="L21" s="279">
        <f>'Cap&amp;OpEx 2019'!I19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'201906 Bk Depr'!R22</f>
        <v>0</v>
      </c>
      <c r="H22" s="1">
        <f>3.24%/12</f>
        <v>2.7000000000000006E-3</v>
      </c>
      <c r="J22" s="278">
        <f>F22*H22</f>
        <v>0</v>
      </c>
      <c r="L22" s="280">
        <f>'Cap&amp;OpEx 2019'!I20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45526302.380000003</v>
      </c>
      <c r="J25" s="277">
        <f>J17+J23</f>
        <v>113090.06151900004</v>
      </c>
      <c r="L25" s="277">
        <f>L17+L23</f>
        <v>1631501.89</v>
      </c>
      <c r="N25" s="277">
        <f>N17+N23</f>
        <v>2186.7453360000004</v>
      </c>
      <c r="P25" s="277">
        <f>P17+P23</f>
        <v>115276.80685500003</v>
      </c>
      <c r="R25" s="277">
        <f>R17+R23</f>
        <v>47157804.270000003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'201906 Bk Depr'!R28</f>
        <v>1927915.84</v>
      </c>
      <c r="J28" s="278"/>
      <c r="L28" s="279">
        <f>'Cap&amp;OpEx 2019'!I25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'201906 Bk Depr'!R29</f>
        <v>3255092.4099999997</v>
      </c>
      <c r="J29" s="278"/>
      <c r="L29" s="279">
        <f>'Cap&amp;OpEx 2019'!I27</f>
        <v>384718.32</v>
      </c>
      <c r="N29" s="278"/>
      <c r="P29" s="278"/>
      <c r="R29" s="278">
        <f>L29+F29</f>
        <v>3639810.7299999995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'201906 Bk Depr'!R30</f>
        <v>160988.60999999999</v>
      </c>
      <c r="J30" s="278"/>
      <c r="L30" s="280">
        <f>'Cap&amp;OpEx 2019'!I28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5343996.8600000003</v>
      </c>
      <c r="J31" s="276">
        <f>SUM(J28:J30)</f>
        <v>0</v>
      </c>
      <c r="L31" s="276">
        <f>SUM(L28:L30)</f>
        <v>384718.32</v>
      </c>
      <c r="N31" s="276">
        <f>SUM(N28:N30)</f>
        <v>0</v>
      </c>
      <c r="P31" s="276">
        <f>SUM(P28:P30)</f>
        <v>0</v>
      </c>
      <c r="R31" s="276">
        <f>SUM(R28:R30)</f>
        <v>5728715.1799999997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11 of 17&amp;L&amp;1#&amp;"Calibri"&amp;14&amp;K000000Business Use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'201907 Bk Depr'!R13</f>
        <v>7305569.879999999</v>
      </c>
      <c r="H13" s="1">
        <f>1.62%/12</f>
        <v>1.3500000000000003E-3</v>
      </c>
      <c r="J13" s="278">
        <f>F13*H13</f>
        <v>9862.5193380000001</v>
      </c>
      <c r="L13" s="279">
        <f>'Cap&amp;OpEx 2019'!J10</f>
        <v>22010.240000000002</v>
      </c>
      <c r="N13" s="278">
        <f>H13*L13*0.5</f>
        <v>14.856912000000005</v>
      </c>
      <c r="P13" s="278">
        <f>J13+N13</f>
        <v>9877.3762499999993</v>
      </c>
      <c r="R13" s="278">
        <f>L13+F13</f>
        <v>7327580.1199999992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'201907 Bk Depr'!R14</f>
        <v>6876564.6300000008</v>
      </c>
      <c r="H14" s="1">
        <f>3.24%/12</f>
        <v>2.7000000000000006E-3</v>
      </c>
      <c r="J14" s="278">
        <f>F14*H14</f>
        <v>18566.724501000008</v>
      </c>
      <c r="L14" s="279">
        <f>'Cap&amp;OpEx 2019'!J12</f>
        <v>232409.20999999996</v>
      </c>
      <c r="N14" s="278">
        <f>H14*L14*0.5</f>
        <v>313.7524335</v>
      </c>
      <c r="P14" s="278">
        <f>J14+N14</f>
        <v>18880.47693450001</v>
      </c>
      <c r="R14" s="278">
        <f>L14+F14</f>
        <v>7108973.8400000008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'201907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2019'!J13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'201907 Bk Depr'!R16</f>
        <v>25758289.520000003</v>
      </c>
      <c r="H16" s="1">
        <f t="shared" si="1"/>
        <v>2.7000000000000006E-3</v>
      </c>
      <c r="J16" s="278">
        <f>F16*H16</f>
        <v>69547.381704000029</v>
      </c>
      <c r="L16" s="280">
        <f>'Cap&amp;OpEx 2019'!J14</f>
        <v>1383259.4399999995</v>
      </c>
      <c r="N16" s="278">
        <f>H16*L16*0.5</f>
        <v>1867.4002439999997</v>
      </c>
      <c r="P16" s="278">
        <f>J16+N16</f>
        <v>71414.781948000033</v>
      </c>
      <c r="R16" s="278">
        <f>L16+F16</f>
        <v>27141548.960000001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47157804.270000003</v>
      </c>
      <c r="J17" s="276">
        <f>SUM(J13:J16)</f>
        <v>117463.55219100005</v>
      </c>
      <c r="L17" s="276">
        <f>SUM(L13:L16)</f>
        <v>1637678.8899999994</v>
      </c>
      <c r="N17" s="276">
        <f>SUM(N13:N16)</f>
        <v>2196.0095894999995</v>
      </c>
      <c r="P17" s="276">
        <f>SUM(P13:P16)</f>
        <v>119659.56178050005</v>
      </c>
      <c r="R17" s="276">
        <f>SUM(R13:R16)</f>
        <v>48795483.160000004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'201907 Bk Depr'!R20</f>
        <v>0</v>
      </c>
      <c r="H20" s="1">
        <f>1.62%/12</f>
        <v>1.3500000000000003E-3</v>
      </c>
      <c r="J20" s="278">
        <f>F20*H20</f>
        <v>0</v>
      </c>
      <c r="L20" s="279">
        <f>'Cap&amp;OpEx 2019'!J17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'201907 Bk Depr'!R21</f>
        <v>0</v>
      </c>
      <c r="H21" s="1">
        <f>3.24%/12</f>
        <v>2.7000000000000006E-3</v>
      </c>
      <c r="J21" s="278">
        <f>F21*H21</f>
        <v>0</v>
      </c>
      <c r="L21" s="279">
        <f>'Cap&amp;OpEx 2019'!J19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'201907 Bk Depr'!R22</f>
        <v>0</v>
      </c>
      <c r="H22" s="1">
        <f>3.24%/12</f>
        <v>2.7000000000000006E-3</v>
      </c>
      <c r="J22" s="278">
        <f>F22*H22</f>
        <v>0</v>
      </c>
      <c r="L22" s="280">
        <f>'Cap&amp;OpEx 2019'!J20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47157804.270000003</v>
      </c>
      <c r="J25" s="277">
        <f>J17+J23</f>
        <v>117463.55219100005</v>
      </c>
      <c r="L25" s="277">
        <f>L17+L23</f>
        <v>1637678.8899999994</v>
      </c>
      <c r="N25" s="277">
        <f>N17+N23</f>
        <v>2196.0095894999995</v>
      </c>
      <c r="P25" s="277">
        <f>P17+P23</f>
        <v>119659.56178050005</v>
      </c>
      <c r="R25" s="277">
        <f>R17+R23</f>
        <v>48795483.160000004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'201907 Bk Depr'!R28</f>
        <v>1927915.84</v>
      </c>
      <c r="J28" s="278"/>
      <c r="L28" s="279">
        <f>'Cap&amp;OpEx 2019'!J25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'201907 Bk Depr'!R29</f>
        <v>3639810.7299999995</v>
      </c>
      <c r="J29" s="278"/>
      <c r="L29" s="279">
        <f>'Cap&amp;OpEx 2019'!J27</f>
        <v>374205.67</v>
      </c>
      <c r="N29" s="278"/>
      <c r="P29" s="278"/>
      <c r="R29" s="278">
        <f>L29+F29</f>
        <v>4014016.3999999994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'201907 Bk Depr'!R30</f>
        <v>160988.60999999999</v>
      </c>
      <c r="J30" s="278"/>
      <c r="L30" s="280">
        <f>'Cap&amp;OpEx 2019'!J28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5728715.1799999997</v>
      </c>
      <c r="J31" s="276">
        <f>SUM(J28:J30)</f>
        <v>0</v>
      </c>
      <c r="L31" s="276">
        <f>SUM(L28:L30)</f>
        <v>374205.67</v>
      </c>
      <c r="N31" s="276">
        <f>SUM(N28:N30)</f>
        <v>0</v>
      </c>
      <c r="P31" s="276">
        <f>SUM(P28:P30)</f>
        <v>0</v>
      </c>
      <c r="R31" s="276">
        <f>SUM(R28:R30)</f>
        <v>6102920.8499999996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12 of 17&amp;L&amp;1#&amp;"Calibri"&amp;14&amp;K000000Business Use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'201908 Bk Depr'!R13</f>
        <v>7327580.1199999992</v>
      </c>
      <c r="H13" s="1">
        <f>1.62%/12</f>
        <v>1.3500000000000003E-3</v>
      </c>
      <c r="J13" s="278">
        <f>F13*H13</f>
        <v>9892.2331620000004</v>
      </c>
      <c r="L13" s="279">
        <f>'Cap&amp;OpEx 2019'!K10</f>
        <v>18961.490000000002</v>
      </c>
      <c r="N13" s="278">
        <f>H13*L13*0.5</f>
        <v>12.799005750000005</v>
      </c>
      <c r="P13" s="278">
        <f>J13+N13</f>
        <v>9905.0321677499996</v>
      </c>
      <c r="R13" s="278">
        <f>L13+F13</f>
        <v>7346541.6099999994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'201908 Bk Depr'!R14</f>
        <v>7108973.8400000008</v>
      </c>
      <c r="H14" s="1">
        <f>3.24%/12</f>
        <v>2.7000000000000006E-3</v>
      </c>
      <c r="J14" s="278">
        <f>F14*H14</f>
        <v>19194.229368000008</v>
      </c>
      <c r="L14" s="279">
        <f>'Cap&amp;OpEx 2019'!K12</f>
        <v>308155.68</v>
      </c>
      <c r="N14" s="278">
        <f>H14*L14*0.5</f>
        <v>416.01016800000008</v>
      </c>
      <c r="P14" s="278">
        <f>J14+N14</f>
        <v>19610.239536000008</v>
      </c>
      <c r="R14" s="278">
        <f>L14+F14</f>
        <v>7417129.5200000005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'201908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2019'!K13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'201908 Bk Depr'!R16</f>
        <v>27141548.960000001</v>
      </c>
      <c r="H16" s="1">
        <f t="shared" si="1"/>
        <v>2.7000000000000006E-3</v>
      </c>
      <c r="J16" s="278">
        <f>F16*H16</f>
        <v>73282.182192000022</v>
      </c>
      <c r="L16" s="280">
        <f>'Cap&amp;OpEx 2019'!K14</f>
        <v>1429155.59</v>
      </c>
      <c r="N16" s="278">
        <f>H16*L16*0.5</f>
        <v>1929.3600465000006</v>
      </c>
      <c r="P16" s="278">
        <f>J16+N16</f>
        <v>75211.542238500027</v>
      </c>
      <c r="R16" s="278">
        <f>L16+F16</f>
        <v>28570704.550000001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48795483.160000004</v>
      </c>
      <c r="J17" s="276">
        <f>SUM(J13:J16)</f>
        <v>121855.57137000003</v>
      </c>
      <c r="L17" s="276">
        <f>SUM(L13:L16)</f>
        <v>1756272.76</v>
      </c>
      <c r="N17" s="276">
        <f>SUM(N13:N16)</f>
        <v>2358.1692202500008</v>
      </c>
      <c r="P17" s="276">
        <f>SUM(P13:P16)</f>
        <v>124213.74059025005</v>
      </c>
      <c r="R17" s="276">
        <f>SUM(R13:R16)</f>
        <v>50551755.920000002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'201908 Bk Depr'!R20</f>
        <v>0</v>
      </c>
      <c r="H20" s="1">
        <f>1.62%/12</f>
        <v>1.3500000000000003E-3</v>
      </c>
      <c r="J20" s="278">
        <f>F20*H20</f>
        <v>0</v>
      </c>
      <c r="L20" s="279">
        <f>'Cap&amp;OpEx 2019'!K17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'201908 Bk Depr'!R21</f>
        <v>0</v>
      </c>
      <c r="H21" s="1">
        <f>3.24%/12</f>
        <v>2.7000000000000006E-3</v>
      </c>
      <c r="J21" s="278">
        <f>F21*H21</f>
        <v>0</v>
      </c>
      <c r="L21" s="279">
        <f>'Cap&amp;OpEx 2019'!K19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'201908 Bk Depr'!R22</f>
        <v>0</v>
      </c>
      <c r="H22" s="1">
        <f>3.24%/12</f>
        <v>2.7000000000000006E-3</v>
      </c>
      <c r="J22" s="278">
        <f>F22*H22</f>
        <v>0</v>
      </c>
      <c r="L22" s="280">
        <f>'Cap&amp;OpEx 2019'!K20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48795483.160000004</v>
      </c>
      <c r="J25" s="277">
        <f>J17+J23</f>
        <v>121855.57137000003</v>
      </c>
      <c r="L25" s="277">
        <f>L17+L23</f>
        <v>1756272.76</v>
      </c>
      <c r="N25" s="277">
        <f>N17+N23</f>
        <v>2358.1692202500008</v>
      </c>
      <c r="P25" s="277">
        <f>P17+P23</f>
        <v>124213.74059025005</v>
      </c>
      <c r="R25" s="277">
        <f>R17+R23</f>
        <v>50551755.920000002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'201908 Bk Depr'!R28</f>
        <v>1927915.84</v>
      </c>
      <c r="J28" s="278"/>
      <c r="L28" s="279">
        <f>'Cap&amp;OpEx 2019'!K25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'201908 Bk Depr'!R29</f>
        <v>4014016.3999999994</v>
      </c>
      <c r="J29" s="278"/>
      <c r="L29" s="279">
        <f>'Cap&amp;OpEx 2019'!K27</f>
        <v>468218.97</v>
      </c>
      <c r="N29" s="278"/>
      <c r="P29" s="278"/>
      <c r="R29" s="278">
        <f>L29+F29</f>
        <v>4482235.3699999992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'201908 Bk Depr'!R30</f>
        <v>160988.60999999999</v>
      </c>
      <c r="J30" s="278"/>
      <c r="L30" s="280">
        <f>'Cap&amp;OpEx 2019'!K28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6102920.8499999996</v>
      </c>
      <c r="J31" s="276">
        <f>SUM(J28:J30)</f>
        <v>0</v>
      </c>
      <c r="L31" s="276">
        <f>SUM(L28:L30)</f>
        <v>468218.97</v>
      </c>
      <c r="N31" s="276">
        <f>SUM(N28:N30)</f>
        <v>0</v>
      </c>
      <c r="P31" s="276">
        <f>SUM(P28:P30)</f>
        <v>0</v>
      </c>
      <c r="R31" s="276">
        <f>SUM(R28:R30)</f>
        <v>6571139.8199999994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13 of 17&amp;L&amp;1#&amp;"Calibri"&amp;14&amp;K000000Business Use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'201909 Bk Depr'!R13</f>
        <v>7346541.6099999994</v>
      </c>
      <c r="H13" s="1">
        <f>1.62%/12</f>
        <v>1.3500000000000003E-3</v>
      </c>
      <c r="J13" s="278">
        <f>F13*H13</f>
        <v>9917.8311735000007</v>
      </c>
      <c r="L13" s="279">
        <f>'Cap&amp;OpEx 2019'!L10</f>
        <v>20082.560000000001</v>
      </c>
      <c r="N13" s="278">
        <f>H13*L13*0.5</f>
        <v>13.555728000000004</v>
      </c>
      <c r="P13" s="278">
        <f>J13+N13</f>
        <v>9931.3869015</v>
      </c>
      <c r="R13" s="278">
        <f>L13+F13</f>
        <v>7366624.169999999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'201909 Bk Depr'!R14</f>
        <v>7417129.5200000005</v>
      </c>
      <c r="H14" s="1">
        <f>3.24%/12</f>
        <v>2.7000000000000006E-3</v>
      </c>
      <c r="J14" s="278">
        <f>F14*H14</f>
        <v>20026.249704000005</v>
      </c>
      <c r="L14" s="279">
        <f>'Cap&amp;OpEx 2019'!L12</f>
        <v>200869.63</v>
      </c>
      <c r="N14" s="278">
        <f>H14*L14*0.5</f>
        <v>271.17400050000009</v>
      </c>
      <c r="P14" s="278">
        <f>J14+N14</f>
        <v>20297.423704500005</v>
      </c>
      <c r="R14" s="278">
        <f>L14+F14</f>
        <v>7617999.1500000004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'201909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2019'!L13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'201909 Bk Depr'!R16</f>
        <v>28570704.550000001</v>
      </c>
      <c r="H16" s="1">
        <f t="shared" si="1"/>
        <v>2.7000000000000006E-3</v>
      </c>
      <c r="J16" s="278">
        <f>F16*H16</f>
        <v>77140.902285000018</v>
      </c>
      <c r="L16" s="280">
        <f>'Cap&amp;OpEx 2019'!L14</f>
        <v>1431321.14</v>
      </c>
      <c r="N16" s="278">
        <f>H16*L16*0.5</f>
        <v>1932.2835390000002</v>
      </c>
      <c r="P16" s="278">
        <f>J16+N16</f>
        <v>79073.185824000015</v>
      </c>
      <c r="R16" s="278">
        <f>L16+F16</f>
        <v>30002025.690000001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50551755.920000002</v>
      </c>
      <c r="J17" s="276">
        <f>SUM(J13:J16)</f>
        <v>126571.90981050003</v>
      </c>
      <c r="L17" s="276">
        <f>SUM(L13:L16)</f>
        <v>1652273.3299999998</v>
      </c>
      <c r="N17" s="276">
        <f>SUM(N13:N16)</f>
        <v>2217.0132675000004</v>
      </c>
      <c r="P17" s="276">
        <f>SUM(P13:P16)</f>
        <v>128788.92307800002</v>
      </c>
      <c r="R17" s="276">
        <f>SUM(R13:R16)</f>
        <v>52204029.25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'201909 Bk Depr'!R20</f>
        <v>0</v>
      </c>
      <c r="H20" s="1">
        <f>1.62%/12</f>
        <v>1.3500000000000003E-3</v>
      </c>
      <c r="J20" s="278">
        <f>F20*H20</f>
        <v>0</v>
      </c>
      <c r="L20" s="279">
        <f>'Cap&amp;OpEx 2019'!L17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'201909 Bk Depr'!R21</f>
        <v>0</v>
      </c>
      <c r="H21" s="1">
        <f>3.24%/12</f>
        <v>2.7000000000000006E-3</v>
      </c>
      <c r="J21" s="278">
        <f>F21*H21</f>
        <v>0</v>
      </c>
      <c r="L21" s="279">
        <f>'Cap&amp;OpEx 2019'!L19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'201909 Bk Depr'!R22</f>
        <v>0</v>
      </c>
      <c r="H22" s="1">
        <f>3.24%/12</f>
        <v>2.7000000000000006E-3</v>
      </c>
      <c r="J22" s="278">
        <f>F22*H22</f>
        <v>0</v>
      </c>
      <c r="L22" s="280">
        <f>'Cap&amp;OpEx 2019'!L20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50551755.920000002</v>
      </c>
      <c r="J25" s="277">
        <f>J17+J23</f>
        <v>126571.90981050003</v>
      </c>
      <c r="L25" s="277">
        <f>L17+L23</f>
        <v>1652273.3299999998</v>
      </c>
      <c r="N25" s="277">
        <f>N17+N23</f>
        <v>2217.0132675000004</v>
      </c>
      <c r="P25" s="277">
        <f>P17+P23</f>
        <v>128788.92307800002</v>
      </c>
      <c r="R25" s="277">
        <f>R17+R23</f>
        <v>52204029.25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'201909 Bk Depr'!R28</f>
        <v>1927915.84</v>
      </c>
      <c r="J28" s="278"/>
      <c r="L28" s="279">
        <f>'Cap&amp;OpEx 2019'!L25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'201909 Bk Depr'!R29</f>
        <v>4482235.3699999992</v>
      </c>
      <c r="J29" s="278"/>
      <c r="L29" s="279">
        <f>'Cap&amp;OpEx 2019'!L27</f>
        <v>413464.76</v>
      </c>
      <c r="N29" s="278"/>
      <c r="P29" s="278"/>
      <c r="R29" s="278">
        <f>L29+F29</f>
        <v>4895700.129999999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'201909 Bk Depr'!R30</f>
        <v>160988.60999999999</v>
      </c>
      <c r="J30" s="278"/>
      <c r="L30" s="280">
        <f>'Cap&amp;OpEx 2019'!L28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6571139.8199999994</v>
      </c>
      <c r="J31" s="276">
        <f>SUM(J28:J30)</f>
        <v>0</v>
      </c>
      <c r="L31" s="276">
        <f>SUM(L28:L30)</f>
        <v>413464.76</v>
      </c>
      <c r="N31" s="276">
        <f>SUM(N28:N30)</f>
        <v>0</v>
      </c>
      <c r="P31" s="276">
        <f>SUM(P28:P30)</f>
        <v>0</v>
      </c>
      <c r="R31" s="276">
        <f>SUM(R28:R30)</f>
        <v>6984604.5799999991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14 of 17&amp;L&amp;1#&amp;"Calibri"&amp;14&amp;K000000Business Use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437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'201910 Bk Depr'!R13</f>
        <v>7366624.169999999</v>
      </c>
      <c r="H13" s="1">
        <f>1.62%/12</f>
        <v>1.3500000000000003E-3</v>
      </c>
      <c r="J13" s="278">
        <f>F13*H13</f>
        <v>9944.9426295000012</v>
      </c>
      <c r="L13" s="279">
        <f>'Cap&amp;OpEx 2019'!M10</f>
        <v>79871.010000000009</v>
      </c>
      <c r="N13" s="278">
        <f>H13*L13*0.5</f>
        <v>53.91293175000002</v>
      </c>
      <c r="P13" s="278">
        <f>J13+N13</f>
        <v>9998.8555612500004</v>
      </c>
      <c r="R13" s="278">
        <f>L13+F13</f>
        <v>7446495.1799999988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'201910 Bk Depr'!R14</f>
        <v>7617999.1500000004</v>
      </c>
      <c r="H14" s="1">
        <f>3.24%/12</f>
        <v>2.7000000000000006E-3</v>
      </c>
      <c r="J14" s="278">
        <f>F14*H14</f>
        <v>20568.597705000004</v>
      </c>
      <c r="L14" s="279">
        <f>'Cap&amp;OpEx 2019'!M12</f>
        <v>170062.19</v>
      </c>
      <c r="N14" s="278">
        <f>H14*L14*0.5</f>
        <v>229.58395650000006</v>
      </c>
      <c r="P14" s="278">
        <f>J14+N14</f>
        <v>20798.181661500003</v>
      </c>
      <c r="R14" s="278">
        <f>L14+F14</f>
        <v>7788061.3400000008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'201910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2019'!M13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'201910 Bk Depr'!R16</f>
        <v>30002025.690000001</v>
      </c>
      <c r="H16" s="1">
        <f t="shared" si="1"/>
        <v>2.7000000000000006E-3</v>
      </c>
      <c r="J16" s="278">
        <f>F16*H16</f>
        <v>81005.469363000026</v>
      </c>
      <c r="L16" s="280">
        <f>'Cap&amp;OpEx 2019'!M14</f>
        <v>1684824.3699999999</v>
      </c>
      <c r="N16" s="278">
        <f>H16*L16*0.5</f>
        <v>2274.5128995000005</v>
      </c>
      <c r="P16" s="278">
        <f>J16+N16</f>
        <v>83279.982262500023</v>
      </c>
      <c r="R16" s="278">
        <f>L16+F16</f>
        <v>31686850.060000002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52204029.25</v>
      </c>
      <c r="J17" s="276">
        <f>SUM(J13:J16)</f>
        <v>131005.93634550004</v>
      </c>
      <c r="L17" s="276">
        <f>SUM(L13:L16)</f>
        <v>1934757.5699999998</v>
      </c>
      <c r="N17" s="276">
        <f>SUM(N13:N16)</f>
        <v>2558.0097877500007</v>
      </c>
      <c r="P17" s="276">
        <f>SUM(P13:P16)</f>
        <v>133563.94613325002</v>
      </c>
      <c r="R17" s="276">
        <f>SUM(R13:R16)</f>
        <v>54138786.820000008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'201910 Bk Depr'!R20</f>
        <v>0</v>
      </c>
      <c r="H20" s="1">
        <f>1.62%/12</f>
        <v>1.3500000000000003E-3</v>
      </c>
      <c r="J20" s="278">
        <f>F20*H20</f>
        <v>0</v>
      </c>
      <c r="L20" s="279">
        <f>'Cap&amp;OpEx 2019'!M17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'201910 Bk Depr'!R21</f>
        <v>0</v>
      </c>
      <c r="H21" s="1">
        <f>3.24%/12</f>
        <v>2.7000000000000006E-3</v>
      </c>
      <c r="J21" s="278">
        <f>F21*H21</f>
        <v>0</v>
      </c>
      <c r="L21" s="279">
        <f>'Cap&amp;OpEx 2019'!M19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'201910 Bk Depr'!R22</f>
        <v>0</v>
      </c>
      <c r="H22" s="1">
        <f>3.24%/12</f>
        <v>2.7000000000000006E-3</v>
      </c>
      <c r="J22" s="278">
        <f>F22*H22</f>
        <v>0</v>
      </c>
      <c r="L22" s="280">
        <f>'Cap&amp;OpEx 2019'!M20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52204029.25</v>
      </c>
      <c r="J25" s="277">
        <f>J17+J23</f>
        <v>131005.93634550004</v>
      </c>
      <c r="L25" s="277">
        <f>L17+L23</f>
        <v>1934757.5699999998</v>
      </c>
      <c r="N25" s="277">
        <f>N17+N23</f>
        <v>2558.0097877500007</v>
      </c>
      <c r="P25" s="277">
        <f>P17+P23</f>
        <v>133563.94613325002</v>
      </c>
      <c r="R25" s="277">
        <f>R17+R23</f>
        <v>54138786.820000008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'201910 Bk Depr'!R28</f>
        <v>1927915.84</v>
      </c>
      <c r="J28" s="278"/>
      <c r="L28" s="279">
        <f>'Cap&amp;OpEx 2019'!M25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'201910 Bk Depr'!R29</f>
        <v>4895700.129999999</v>
      </c>
      <c r="J29" s="278"/>
      <c r="L29" s="279">
        <f>'Cap&amp;OpEx 2019'!M27</f>
        <v>503043.61</v>
      </c>
      <c r="N29" s="278"/>
      <c r="P29" s="278"/>
      <c r="R29" s="278">
        <f>L29+F29</f>
        <v>5398743.7399999993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'201910 Bk Depr'!R30</f>
        <v>160988.60999999999</v>
      </c>
      <c r="J30" s="278"/>
      <c r="L30" s="280">
        <f>'Cap&amp;OpEx 2019'!M28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6984604.5799999991</v>
      </c>
      <c r="J31" s="276">
        <f>SUM(J28:J30)</f>
        <v>0</v>
      </c>
      <c r="L31" s="276">
        <f>SUM(L28:L30)</f>
        <v>503043.61</v>
      </c>
      <c r="N31" s="276">
        <f>SUM(N28:N30)</f>
        <v>0</v>
      </c>
      <c r="P31" s="276">
        <f>SUM(P28:P30)</f>
        <v>0</v>
      </c>
      <c r="R31" s="276">
        <f>SUM(R28:R30)</f>
        <v>7487648.1899999995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15 of 17&amp;L&amp;1#&amp;"Calibri"&amp;14&amp;K000000Business Use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  <pageSetUpPr fitToPage="1"/>
  </sheetPr>
  <dimension ref="A1:U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13.5703125" style="4" bestFit="1" customWidth="1"/>
    <col min="22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438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'201911 Bk Depr'!R13</f>
        <v>7446495.1799999988</v>
      </c>
      <c r="H13" s="1">
        <f>1.62%/12</f>
        <v>1.3500000000000003E-3</v>
      </c>
      <c r="J13" s="278">
        <f>F13*H13</f>
        <v>10052.768493</v>
      </c>
      <c r="L13" s="279">
        <f>'Cap&amp;OpEx 2019'!N10</f>
        <v>14014.550000000001</v>
      </c>
      <c r="N13" s="278">
        <f>H13*L13*0.5</f>
        <v>9.4598212500000027</v>
      </c>
      <c r="P13" s="278">
        <f>J13+N13</f>
        <v>10062.22831425</v>
      </c>
      <c r="R13" s="278">
        <f>L13+F13</f>
        <v>7460509.7299999986</v>
      </c>
      <c r="U13" s="367"/>
    </row>
    <row r="14" spans="1:21">
      <c r="A14" s="6">
        <f>A13+1</f>
        <v>2</v>
      </c>
      <c r="B14" s="4"/>
      <c r="C14" s="9" t="s">
        <v>62</v>
      </c>
      <c r="D14" s="6">
        <v>380</v>
      </c>
      <c r="F14" s="274">
        <f>'201911 Bk Depr'!R14</f>
        <v>7788061.3400000008</v>
      </c>
      <c r="H14" s="1">
        <f>3.24%/12</f>
        <v>2.7000000000000006E-3</v>
      </c>
      <c r="J14" s="278">
        <f>F14*H14</f>
        <v>21027.765618000005</v>
      </c>
      <c r="L14" s="279">
        <f>'Cap&amp;OpEx 2019'!N12</f>
        <v>239382.03</v>
      </c>
      <c r="N14" s="278">
        <f>H14*L14*0.5</f>
        <v>323.16574050000008</v>
      </c>
      <c r="P14" s="278">
        <f>J14+N14</f>
        <v>21350.931358500005</v>
      </c>
      <c r="R14" s="278">
        <f>L14+F14</f>
        <v>8027443.370000001</v>
      </c>
      <c r="U14" s="367"/>
    </row>
    <row r="15" spans="1:21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'201911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2019'!N13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  <c r="U15" s="367"/>
    </row>
    <row r="16" spans="1:21">
      <c r="A16" s="6">
        <f t="shared" si="0"/>
        <v>4</v>
      </c>
      <c r="B16" s="4"/>
      <c r="C16" s="4" t="s">
        <v>160</v>
      </c>
      <c r="D16" s="6">
        <v>380</v>
      </c>
      <c r="F16" s="275">
        <f>'201911 Bk Depr'!R16</f>
        <v>31686850.060000002</v>
      </c>
      <c r="H16" s="1">
        <f t="shared" si="1"/>
        <v>2.7000000000000006E-3</v>
      </c>
      <c r="J16" s="278">
        <f>F16*H16</f>
        <v>85554.495162000021</v>
      </c>
      <c r="L16" s="280">
        <f>'Cap&amp;OpEx 2019'!N14</f>
        <v>1410324.96</v>
      </c>
      <c r="N16" s="278">
        <f>H16*L16*0.5</f>
        <v>1903.9386960000004</v>
      </c>
      <c r="P16" s="278">
        <f>J16+N16</f>
        <v>87458.433858000019</v>
      </c>
      <c r="R16" s="278">
        <f>L16+F16</f>
        <v>33097175.020000003</v>
      </c>
      <c r="U16" s="367"/>
    </row>
    <row r="17" spans="1:18">
      <c r="A17" s="6">
        <f t="shared" si="0"/>
        <v>5</v>
      </c>
      <c r="B17" s="4"/>
      <c r="C17" s="4" t="s">
        <v>21</v>
      </c>
      <c r="F17" s="276">
        <f>SUM(F13:F16)</f>
        <v>54138786.820000008</v>
      </c>
      <c r="J17" s="276">
        <f>SUM(J13:J16)</f>
        <v>136121.95592100004</v>
      </c>
      <c r="L17" s="276">
        <f>SUM(L13:L16)</f>
        <v>1663721.54</v>
      </c>
      <c r="N17" s="276">
        <f>SUM(N13:N16)</f>
        <v>2236.5642577500003</v>
      </c>
      <c r="P17" s="276">
        <f>SUM(P13:P16)</f>
        <v>138358.52017875004</v>
      </c>
      <c r="R17" s="276">
        <f>SUM(R13:R16)</f>
        <v>55802508.359999999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'201911 Bk Depr'!R20</f>
        <v>0</v>
      </c>
      <c r="H20" s="1">
        <f>1.62%/12</f>
        <v>1.3500000000000003E-3</v>
      </c>
      <c r="J20" s="278">
        <f>F20*H20</f>
        <v>0</v>
      </c>
      <c r="L20" s="279">
        <f>'Cap&amp;OpEx 2019'!N17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'201911 Bk Depr'!R21</f>
        <v>0</v>
      </c>
      <c r="H21" s="1">
        <f>3.24%/12</f>
        <v>2.7000000000000006E-3</v>
      </c>
      <c r="J21" s="278">
        <f>F21*H21</f>
        <v>0</v>
      </c>
      <c r="L21" s="279">
        <f>'Cap&amp;OpEx 2019'!N19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'201911 Bk Depr'!R22</f>
        <v>0</v>
      </c>
      <c r="H22" s="1">
        <f>3.24%/12</f>
        <v>2.7000000000000006E-3</v>
      </c>
      <c r="J22" s="278">
        <f>F22*H22</f>
        <v>0</v>
      </c>
      <c r="L22" s="280">
        <f>'Cap&amp;OpEx 2019'!N20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54138786.820000008</v>
      </c>
      <c r="J25" s="277">
        <f>J17+J23</f>
        <v>136121.95592100004</v>
      </c>
      <c r="L25" s="277">
        <f>L17+L23</f>
        <v>1663721.54</v>
      </c>
      <c r="N25" s="277">
        <f>N17+N23</f>
        <v>2236.5642577500003</v>
      </c>
      <c r="P25" s="277">
        <f>P17+P23</f>
        <v>138358.52017875004</v>
      </c>
      <c r="R25" s="277">
        <f>R17+R23</f>
        <v>55802508.359999999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'201911 Bk Depr'!R28</f>
        <v>1927915.84</v>
      </c>
      <c r="J28" s="278"/>
      <c r="L28" s="279">
        <f>'Cap&amp;OpEx 2019'!N25</f>
        <v>0</v>
      </c>
      <c r="N28" s="278"/>
      <c r="P28" s="278"/>
      <c r="R28" s="27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'201911 Bk Depr'!R29</f>
        <v>5398743.7399999993</v>
      </c>
      <c r="J29" s="278"/>
      <c r="L29" s="279">
        <f>'Cap&amp;OpEx 2019'!N27</f>
        <v>602073.87</v>
      </c>
      <c r="N29" s="278"/>
      <c r="P29" s="278"/>
      <c r="R29" s="278">
        <f>L29+F29</f>
        <v>6000817.6099999994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'201911 Bk Depr'!R30</f>
        <v>160988.60999999999</v>
      </c>
      <c r="J30" s="278"/>
      <c r="L30" s="280">
        <f>'Cap&amp;OpEx 2019'!N28</f>
        <v>0</v>
      </c>
      <c r="N30" s="278"/>
      <c r="P30" s="278"/>
      <c r="R30" s="27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7487648.1899999995</v>
      </c>
      <c r="J31" s="276">
        <f>SUM(J28:J30)</f>
        <v>0</v>
      </c>
      <c r="L31" s="276">
        <f>SUM(L28:L30)</f>
        <v>602073.87</v>
      </c>
      <c r="N31" s="276">
        <f>SUM(N28:N30)</f>
        <v>0</v>
      </c>
      <c r="P31" s="276">
        <f>SUM(P28:P30)</f>
        <v>0</v>
      </c>
      <c r="R31" s="276">
        <f>SUM(R28:R30)</f>
        <v>8089722.0599999996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16 of 17&amp;L&amp;1#&amp;"Calibri"&amp;14&amp;K000000Business Use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39997558519241921"/>
    <pageSetUpPr fitToPage="1"/>
  </sheetPr>
  <dimension ref="A1:Z93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7" width="14.140625" style="52" bestFit="1" customWidth="1"/>
    <col min="8" max="9" width="14.140625" style="52" customWidth="1"/>
    <col min="10" max="10" width="15" style="52" bestFit="1" customWidth="1"/>
    <col min="11" max="11" width="13.85546875" style="52" bestFit="1" customWidth="1"/>
    <col min="12" max="12" width="14.42578125" style="52" bestFit="1" customWidth="1"/>
    <col min="13" max="13" width="13.85546875" style="52" bestFit="1" customWidth="1"/>
    <col min="14" max="14" width="11.5703125" style="52" bestFit="1" customWidth="1"/>
    <col min="15" max="15" width="10.85546875" style="52" customWidth="1"/>
    <col min="16" max="16" width="11.42578125" style="52" customWidth="1"/>
    <col min="17" max="17" width="11.140625" style="52" customWidth="1"/>
    <col min="18" max="18" width="14.85546875" style="52" customWidth="1"/>
    <col min="19" max="19" width="12" style="52" customWidth="1"/>
    <col min="20" max="20" width="9.140625" style="52"/>
    <col min="21" max="21" width="13.85546875" style="52" customWidth="1"/>
    <col min="22" max="24" width="9.140625" style="52"/>
    <col min="25" max="25" width="11.85546875" style="52" customWidth="1"/>
    <col min="26" max="16384" width="9.140625" style="52"/>
  </cols>
  <sheetData>
    <row r="1" spans="1:26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6" ht="18.75">
      <c r="A3" s="191" t="s">
        <v>73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1:26">
      <c r="A4" s="53"/>
    </row>
    <row r="6" spans="1:26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155"/>
      <c r="K6" s="54"/>
      <c r="L6" s="54"/>
      <c r="M6" s="54"/>
      <c r="N6" s="54"/>
      <c r="O6" s="54"/>
      <c r="P6" s="54"/>
      <c r="Q6" s="54"/>
      <c r="R6" s="54"/>
    </row>
    <row r="7" spans="1:26" ht="25.5">
      <c r="A7" s="54"/>
      <c r="B7" s="54"/>
      <c r="C7" s="55" t="s">
        <v>188</v>
      </c>
      <c r="D7" s="54" t="s">
        <v>25</v>
      </c>
      <c r="E7" s="54"/>
      <c r="F7" s="54"/>
      <c r="G7" s="54">
        <v>2017</v>
      </c>
      <c r="H7" s="54">
        <v>2018</v>
      </c>
      <c r="I7" s="54">
        <v>2019</v>
      </c>
      <c r="J7" s="54"/>
      <c r="K7" s="54" t="s">
        <v>35</v>
      </c>
      <c r="L7" s="54"/>
      <c r="M7" s="54"/>
      <c r="N7" s="55" t="s">
        <v>178</v>
      </c>
      <c r="O7" s="55" t="s">
        <v>179</v>
      </c>
      <c r="P7" s="55" t="s">
        <v>184</v>
      </c>
      <c r="Q7" s="55" t="s">
        <v>186</v>
      </c>
      <c r="R7" s="54" t="s">
        <v>41</v>
      </c>
      <c r="S7" s="55" t="s">
        <v>161</v>
      </c>
      <c r="T7" s="55"/>
      <c r="U7" s="55" t="s">
        <v>233</v>
      </c>
    </row>
    <row r="8" spans="1:26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30</v>
      </c>
      <c r="J8" s="54" t="s">
        <v>34</v>
      </c>
      <c r="K8" s="54" t="s">
        <v>36</v>
      </c>
      <c r="L8" s="54" t="s">
        <v>38</v>
      </c>
      <c r="M8" s="54"/>
      <c r="N8" s="54" t="s">
        <v>34</v>
      </c>
      <c r="O8" s="54" t="s">
        <v>34</v>
      </c>
      <c r="P8" s="54" t="s">
        <v>185</v>
      </c>
      <c r="Q8" s="54" t="s">
        <v>187</v>
      </c>
      <c r="R8" s="54" t="s">
        <v>40</v>
      </c>
      <c r="S8" s="54" t="s">
        <v>234</v>
      </c>
      <c r="T8" s="54" t="s">
        <v>161</v>
      </c>
      <c r="U8" s="54" t="s">
        <v>40</v>
      </c>
    </row>
    <row r="9" spans="1:26">
      <c r="A9" s="328" t="s">
        <v>5</v>
      </c>
      <c r="B9" s="328"/>
      <c r="C9" s="328" t="s">
        <v>2</v>
      </c>
      <c r="D9" s="328" t="s">
        <v>2</v>
      </c>
      <c r="E9" s="328"/>
      <c r="F9" s="328" t="s">
        <v>105</v>
      </c>
      <c r="G9" s="328" t="s">
        <v>20</v>
      </c>
      <c r="H9" s="329" t="s">
        <v>20</v>
      </c>
      <c r="I9" s="328" t="s">
        <v>20</v>
      </c>
      <c r="J9" s="328" t="s">
        <v>0</v>
      </c>
      <c r="K9" s="328" t="s">
        <v>37</v>
      </c>
      <c r="L9" s="328" t="s">
        <v>0</v>
      </c>
      <c r="M9" s="328" t="s">
        <v>39</v>
      </c>
      <c r="N9" s="56" t="s">
        <v>340</v>
      </c>
      <c r="O9" s="56" t="s">
        <v>183</v>
      </c>
      <c r="P9" s="56" t="s">
        <v>340</v>
      </c>
      <c r="Q9" s="56" t="s">
        <v>12</v>
      </c>
      <c r="R9" s="328" t="s">
        <v>42</v>
      </c>
      <c r="S9" s="56" t="s">
        <v>235</v>
      </c>
      <c r="T9" s="56" t="s">
        <v>236</v>
      </c>
      <c r="U9" s="328" t="s">
        <v>42</v>
      </c>
    </row>
    <row r="10" spans="1:26">
      <c r="C10" s="57"/>
      <c r="D10" s="57" t="s">
        <v>69</v>
      </c>
      <c r="E10" s="58"/>
      <c r="F10" s="58"/>
      <c r="G10" s="58"/>
      <c r="H10" s="58"/>
      <c r="I10" s="58"/>
    </row>
    <row r="11" spans="1:26">
      <c r="A11" s="52">
        <v>1</v>
      </c>
      <c r="C11" s="57" t="s">
        <v>68</v>
      </c>
      <c r="D11" s="59"/>
      <c r="G11" s="231">
        <f>'Tax Depr 2017'!L11</f>
        <v>8664070.7300000023</v>
      </c>
      <c r="H11" s="231">
        <f>'Tax Depr 2018'!H11</f>
        <v>12433934.719999999</v>
      </c>
      <c r="I11" s="27">
        <f>'2019 Capital Budget'!R27-I12</f>
        <v>14207969.879999999</v>
      </c>
    </row>
    <row r="12" spans="1:26">
      <c r="A12" s="52">
        <v>2</v>
      </c>
      <c r="C12" s="57" t="s">
        <v>72</v>
      </c>
      <c r="D12" s="59"/>
      <c r="G12" s="231">
        <f>'Tax Depr 2017'!L12</f>
        <v>4210527.95</v>
      </c>
      <c r="H12" s="231">
        <f>'Tax Depr 2018'!H12</f>
        <v>5000082.9600000009</v>
      </c>
      <c r="I12" s="231">
        <f>SUM('2019 Capital Budget'!R9:R11,'2019 Capital Budget'!R17,'2019 Capital Budget'!R19:R21)</f>
        <v>6478540.9299999997</v>
      </c>
    </row>
    <row r="13" spans="1:26">
      <c r="A13" s="52">
        <v>3</v>
      </c>
      <c r="C13" s="57" t="s">
        <v>182</v>
      </c>
      <c r="D13" s="59"/>
      <c r="G13" s="231">
        <f>'Tax Depr 2017'!L13</f>
        <v>4807381.1899999995</v>
      </c>
      <c r="H13" s="231">
        <f>'Tax Depr 2018'!H13</f>
        <v>0</v>
      </c>
      <c r="I13" s="231">
        <v>0</v>
      </c>
    </row>
    <row r="14" spans="1:26">
      <c r="C14" s="59"/>
      <c r="W14" s="50"/>
      <c r="X14" s="50"/>
      <c r="Y14" s="50"/>
      <c r="Z14" s="50"/>
    </row>
    <row r="15" spans="1:26">
      <c r="G15" s="195"/>
      <c r="H15" s="195"/>
      <c r="I15" s="195"/>
      <c r="J15" s="195"/>
      <c r="K15" s="195"/>
      <c r="L15" s="244"/>
      <c r="W15" s="50"/>
      <c r="X15" s="50"/>
      <c r="Y15" s="50"/>
      <c r="Z15" s="50"/>
    </row>
    <row r="16" spans="1:26">
      <c r="Q16" s="27">
        <v>0</v>
      </c>
      <c r="R16" s="27">
        <f>Q16+'Tax Depr 2018'!Q28</f>
        <v>5841052.2488318319</v>
      </c>
      <c r="U16" s="231">
        <f>R16</f>
        <v>5841052.2488318319</v>
      </c>
      <c r="W16" s="50"/>
      <c r="X16" s="50"/>
      <c r="Y16" s="50"/>
      <c r="Z16" s="50"/>
    </row>
    <row r="17" spans="1:26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31">
        <f>$G$11*$C$19/12</f>
        <v>48208.333553508339</v>
      </c>
      <c r="H17" s="231">
        <f>$H$11*$C$18/12</f>
        <v>74800.47895306666</v>
      </c>
      <c r="I17" s="27">
        <f>(('201901 Bk Depr'!$L$17-SUM('2019 Capital Budget'!$F$9:$F$11,'2019 Capital Budget'!$F$19:$F$21,'2019 Capital Budget'!$F$17))*$C$17)+SUM('2019 Capital Budget'!$F$9:$F$11,'2019 Capital Budget'!$F$19:$F$21,'2019 Capital Budget'!$F$17)</f>
        <v>521971.02475000004</v>
      </c>
      <c r="J17" s="231">
        <f>SUM(G17:I17)</f>
        <v>644979.837256575</v>
      </c>
      <c r="K17" s="231">
        <f>'201901 Bk Depr'!$L$31+'Cap&amp;OpEx 2019'!C26</f>
        <v>305257.36</v>
      </c>
      <c r="L17" s="231">
        <f>'201901 Bk Depr'!$P$17</f>
        <v>86145.682781250041</v>
      </c>
      <c r="M17" s="231">
        <f t="shared" ref="M17:M28" si="0">J17+K17-L17</f>
        <v>864091.51447532489</v>
      </c>
      <c r="N17" s="231">
        <f t="shared" ref="N17:N22" si="1">M17*0.21</f>
        <v>181459.21803981822</v>
      </c>
      <c r="O17" s="231">
        <f t="shared" ref="O17:O28" si="2">N61</f>
        <v>44542.029232334164</v>
      </c>
      <c r="P17" s="231">
        <f t="shared" ref="P17:P22" si="3">-O17*0.21</f>
        <v>-9353.8261387901748</v>
      </c>
      <c r="Q17" s="27"/>
      <c r="R17" s="231">
        <f t="shared" ref="R17:R28" si="4">R16+N17+O17+P17+Q17</f>
        <v>6057699.6699651945</v>
      </c>
      <c r="S17" s="231">
        <f>R17-R16</f>
        <v>216647.42113336269</v>
      </c>
      <c r="T17" s="247" t="s">
        <v>357</v>
      </c>
      <c r="U17" s="231">
        <f>U16+S17*335/365</f>
        <v>6039893.0326117678</v>
      </c>
      <c r="X17" s="50"/>
      <c r="Y17" s="51"/>
      <c r="Z17" s="50"/>
    </row>
    <row r="18" spans="1:26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31">
        <f t="shared" ref="G18:G28" si="5">$G$11*$C$19/12</f>
        <v>48208.333553508339</v>
      </c>
      <c r="H18" s="231">
        <f t="shared" ref="H18:H28" si="6">$H$11*$C$18/12</f>
        <v>74800.47895306666</v>
      </c>
      <c r="I18" s="27">
        <f>(('201902 Bk Depr'!$L$17-SUM('2019 Capital Budget'!$G$9:$G$11,'2019 Capital Budget'!$G$19:$G$21,'2019 Capital Budget'!$G$17))*$C$17)+SUM('2019 Capital Budget'!$G$9:$G$11,'2019 Capital Budget'!$G$19:$G$21,'2019 Capital Budget'!$G$17)</f>
        <v>235582.35475</v>
      </c>
      <c r="J18" s="231">
        <f t="shared" ref="J18:J28" si="7">SUM(G18:I18)</f>
        <v>358591.16725657496</v>
      </c>
      <c r="K18" s="231">
        <f>'201902 Bk Depr'!$L$31+'Cap&amp;OpEx 2019'!D26</f>
        <v>171177.68</v>
      </c>
      <c r="L18" s="231">
        <f>'201902 Bk Depr'!$P$17</f>
        <v>87996.225919500022</v>
      </c>
      <c r="M18" s="231">
        <f t="shared" si="0"/>
        <v>441772.62133707502</v>
      </c>
      <c r="N18" s="231">
        <f t="shared" si="1"/>
        <v>92772.250480785748</v>
      </c>
      <c r="O18" s="231">
        <f t="shared" si="2"/>
        <v>23426.084575421668</v>
      </c>
      <c r="P18" s="231">
        <f t="shared" si="3"/>
        <v>-4919.4777608385502</v>
      </c>
      <c r="Q18" s="27"/>
      <c r="R18" s="231">
        <f t="shared" si="4"/>
        <v>6168978.5272605643</v>
      </c>
      <c r="S18" s="231">
        <f t="shared" ref="S18:S28" si="8">R18-R17</f>
        <v>111278.85729536973</v>
      </c>
      <c r="T18" s="247" t="s">
        <v>358</v>
      </c>
      <c r="U18" s="231">
        <f>U17+S18*307/365</f>
        <v>6133489.2221725304</v>
      </c>
      <c r="X18" s="50"/>
      <c r="Y18" s="51"/>
      <c r="Z18" s="50"/>
    </row>
    <row r="19" spans="1:26">
      <c r="A19" s="52">
        <f t="shared" ref="A19:A44" si="9">A18+1</f>
        <v>6</v>
      </c>
      <c r="C19" s="61">
        <v>6.6769999999999996E-2</v>
      </c>
      <c r="D19" s="61">
        <v>8.5500000000000007E-2</v>
      </c>
      <c r="F19" s="52">
        <v>3</v>
      </c>
      <c r="G19" s="231">
        <f t="shared" si="5"/>
        <v>48208.333553508339</v>
      </c>
      <c r="H19" s="231">
        <f t="shared" si="6"/>
        <v>74800.47895306666</v>
      </c>
      <c r="I19" s="27">
        <f>(('201903 Bk Depr'!$L$17-SUM('2019 Capital Budget'!$H$9:$H$11,'2019 Capital Budget'!$H$19:$H$21,'2019 Capital Budget'!$H$17))*$C$17)+SUM('2019 Capital Budget'!$H$9:$H$11,'2019 Capital Budget'!$H$19:$H$21,'2019 Capital Budget'!$H$17)</f>
        <v>1073806.71175</v>
      </c>
      <c r="J19" s="231">
        <f t="shared" si="7"/>
        <v>1196815.5242565749</v>
      </c>
      <c r="K19" s="231">
        <f>'201903 Bk Depr'!$L$31+'Cap&amp;OpEx 2019'!E26</f>
        <v>185187.46</v>
      </c>
      <c r="L19" s="231">
        <f>'201903 Bk Depr'!$P$17</f>
        <v>90819.467662500028</v>
      </c>
      <c r="M19" s="231">
        <f t="shared" si="0"/>
        <v>1291183.5165940749</v>
      </c>
      <c r="N19" s="231">
        <f t="shared" si="1"/>
        <v>271148.53848475573</v>
      </c>
      <c r="O19" s="231">
        <f t="shared" si="2"/>
        <v>65896.629338271669</v>
      </c>
      <c r="P19" s="231">
        <f t="shared" si="3"/>
        <v>-13838.29216103705</v>
      </c>
      <c r="Q19" s="27"/>
      <c r="R19" s="231">
        <f t="shared" si="4"/>
        <v>6492185.4029225549</v>
      </c>
      <c r="S19" s="231">
        <f t="shared" si="8"/>
        <v>323206.87566199061</v>
      </c>
      <c r="T19" s="247" t="s">
        <v>359</v>
      </c>
      <c r="U19" s="231">
        <f>U18+S19*276/365</f>
        <v>6377886.7500703642</v>
      </c>
      <c r="X19" s="50"/>
      <c r="Y19" s="51"/>
      <c r="Z19" s="50"/>
    </row>
    <row r="20" spans="1:26">
      <c r="A20" s="52">
        <f t="shared" si="9"/>
        <v>7</v>
      </c>
      <c r="C20" s="61">
        <v>6.1769999999999999E-2</v>
      </c>
      <c r="D20" s="61">
        <v>7.6999999999999999E-2</v>
      </c>
      <c r="F20" s="52">
        <v>4</v>
      </c>
      <c r="G20" s="231">
        <f t="shared" si="5"/>
        <v>48208.333553508339</v>
      </c>
      <c r="H20" s="231">
        <f t="shared" si="6"/>
        <v>74800.47895306666</v>
      </c>
      <c r="I20" s="27">
        <f>(('201904 Bk Depr'!$L$17-SUM('2019 Capital Budget'!$I$9:$I$11,'2019 Capital Budget'!$I$19:$I$21,'2019 Capital Budget'!$I$17))*$C$17)+SUM('2019 Capital Budget'!$I$9:$I$11,'2019 Capital Budget'!$I$19:$I$21,'2019 Capital Budget'!$I$17)</f>
        <v>923472.7543749999</v>
      </c>
      <c r="J20" s="231">
        <f t="shared" si="7"/>
        <v>1046481.5668815749</v>
      </c>
      <c r="K20" s="231">
        <f>'201904 Bk Depr'!$L$31+'Cap&amp;OpEx 2019'!F26</f>
        <v>373015.76</v>
      </c>
      <c r="L20" s="231">
        <f>'201904 Bk Depr'!$P$17</f>
        <v>98168.669084250025</v>
      </c>
      <c r="M20" s="231">
        <f t="shared" si="0"/>
        <v>1321328.6577973249</v>
      </c>
      <c r="N20" s="231">
        <f t="shared" si="1"/>
        <v>277479.01813743822</v>
      </c>
      <c r="O20" s="231">
        <f t="shared" si="2"/>
        <v>67403.886398434159</v>
      </c>
      <c r="P20" s="231">
        <f t="shared" si="3"/>
        <v>-14154.816143671173</v>
      </c>
      <c r="Q20" s="27"/>
      <c r="R20" s="231">
        <f t="shared" si="4"/>
        <v>6822913.4913147558</v>
      </c>
      <c r="S20" s="231">
        <f t="shared" si="8"/>
        <v>330728.08839220088</v>
      </c>
      <c r="T20" s="247" t="s">
        <v>360</v>
      </c>
      <c r="U20" s="231">
        <f>U19+S20*246/365</f>
        <v>6600788.4206031896</v>
      </c>
      <c r="X20" s="153"/>
      <c r="Y20" s="51"/>
      <c r="Z20" s="50"/>
    </row>
    <row r="21" spans="1:26">
      <c r="A21" s="52">
        <f t="shared" si="9"/>
        <v>8</v>
      </c>
      <c r="C21" s="61">
        <v>5.713E-2</v>
      </c>
      <c r="D21" s="61">
        <v>6.93E-2</v>
      </c>
      <c r="F21" s="52">
        <v>5</v>
      </c>
      <c r="G21" s="231">
        <f t="shared" si="5"/>
        <v>48208.333553508339</v>
      </c>
      <c r="H21" s="231">
        <f t="shared" si="6"/>
        <v>74800.47895306666</v>
      </c>
      <c r="I21" s="27">
        <f>(('201905 Bk Depr'!$L$17-SUM('2019 Capital Budget'!$J$9:$J$11,'2019 Capital Budget'!$J$19:$J$21,'2019 Capital Budget'!$J$17))*$C$17)+SUM('2019 Capital Budget'!$J$9:$J$11,'2019 Capital Budget'!$J$19:$J$21,'2019 Capital Budget'!$J$17)</f>
        <v>701703.30262500001</v>
      </c>
      <c r="J21" s="231">
        <f t="shared" si="7"/>
        <v>824712.11513157503</v>
      </c>
      <c r="K21" s="231">
        <f>'201905 Bk Depr'!$L$31+'Cap&amp;OpEx 2019'!G26</f>
        <v>392332.57</v>
      </c>
      <c r="L21" s="231">
        <f>'201905 Bk Depr'!$P$17</f>
        <v>105859.49833350003</v>
      </c>
      <c r="M21" s="231">
        <f t="shared" si="0"/>
        <v>1111185.186798075</v>
      </c>
      <c r="N21" s="231">
        <f t="shared" si="1"/>
        <v>233348.88922759573</v>
      </c>
      <c r="O21" s="231">
        <f t="shared" si="2"/>
        <v>56896.712848471667</v>
      </c>
      <c r="P21" s="231">
        <f t="shared" si="3"/>
        <v>-11948.30969817905</v>
      </c>
      <c r="Q21" s="27"/>
      <c r="R21" s="231">
        <f t="shared" si="4"/>
        <v>7101210.783692644</v>
      </c>
      <c r="S21" s="231">
        <f t="shared" si="8"/>
        <v>278297.29237788823</v>
      </c>
      <c r="T21" s="247" t="s">
        <v>361</v>
      </c>
      <c r="U21" s="231">
        <f>U20+S21*215/365</f>
        <v>6764716.9626887953</v>
      </c>
      <c r="X21" s="50"/>
      <c r="Y21" s="51"/>
      <c r="Z21" s="50"/>
    </row>
    <row r="22" spans="1:26">
      <c r="A22" s="52">
        <f t="shared" si="9"/>
        <v>9</v>
      </c>
      <c r="C22" s="61">
        <v>5.2850000000000001E-2</v>
      </c>
      <c r="D22" s="61">
        <v>6.2300000000000001E-2</v>
      </c>
      <c r="F22" s="52">
        <v>6</v>
      </c>
      <c r="G22" s="231">
        <f t="shared" si="5"/>
        <v>48208.333553508339</v>
      </c>
      <c r="H22" s="231">
        <f t="shared" si="6"/>
        <v>74800.47895306666</v>
      </c>
      <c r="I22" s="27">
        <f>(('201906 Bk Depr'!$L$17-SUM('2019 Capital Budget'!$K$9:$K$11,'2019 Capital Budget'!$K$19:$K$21,'2019 Capital Budget'!$K$17))*$C$17)+SUM('2019 Capital Budget'!$K$9:$K$11,'2019 Capital Budget'!$K$19:$K$21,'2019 Capital Budget'!$K$17)</f>
        <v>551821.01425000001</v>
      </c>
      <c r="J22" s="231">
        <f t="shared" si="7"/>
        <v>674829.82675657503</v>
      </c>
      <c r="K22" s="231">
        <f>'201906 Bk Depr'!$L$31+'Cap&amp;OpEx 2019'!H26</f>
        <v>450871.25</v>
      </c>
      <c r="L22" s="231">
        <f>'201906 Bk Depr'!$P$17</f>
        <v>110650.83030675002</v>
      </c>
      <c r="M22" s="231">
        <f t="shared" si="0"/>
        <v>1015050.2464498251</v>
      </c>
      <c r="N22" s="231">
        <f t="shared" si="1"/>
        <v>213160.55175446326</v>
      </c>
      <c r="O22" s="231">
        <f t="shared" si="2"/>
        <v>52089.965831059162</v>
      </c>
      <c r="P22" s="231">
        <f t="shared" si="3"/>
        <v>-10938.892824522423</v>
      </c>
      <c r="Q22" s="27"/>
      <c r="R22" s="231">
        <f t="shared" si="4"/>
        <v>7355522.4084536443</v>
      </c>
      <c r="S22" s="231">
        <f t="shared" si="8"/>
        <v>254311.62476100028</v>
      </c>
      <c r="T22" s="247" t="s">
        <v>356</v>
      </c>
      <c r="U22" s="231">
        <f>U21+S22*185/365</f>
        <v>6893614.6355128642</v>
      </c>
      <c r="X22" s="50"/>
      <c r="Y22" s="50"/>
      <c r="Z22" s="50"/>
    </row>
    <row r="23" spans="1:26">
      <c r="A23" s="52">
        <f t="shared" si="9"/>
        <v>10</v>
      </c>
      <c r="C23" s="61">
        <v>4.888E-2</v>
      </c>
      <c r="D23" s="61">
        <v>5.8999999999999997E-2</v>
      </c>
      <c r="F23" s="52">
        <v>7</v>
      </c>
      <c r="G23" s="231">
        <f t="shared" si="5"/>
        <v>48208.333553508339</v>
      </c>
      <c r="H23" s="231">
        <f t="shared" si="6"/>
        <v>74800.47895306666</v>
      </c>
      <c r="I23" s="27">
        <f>(('201907 Bk Depr'!$L$17-SUM('2019 Capital Budget'!$L$9:$L$11,'2019 Capital Budget'!$L$19:$L$21,'2019 Capital Budget'!$L$17))*$C$17)+SUM('2019 Capital Budget'!$L$9:$L$11,'2019 Capital Budget'!$L$19:$L$21,'2019 Capital Budget'!$L$17)</f>
        <v>552649.28824999998</v>
      </c>
      <c r="J23" s="231">
        <f t="shared" si="7"/>
        <v>675658.100756575</v>
      </c>
      <c r="K23" s="231">
        <f>'201907 Bk Depr'!$L$31+'Cap&amp;OpEx 2019'!I26</f>
        <v>384718.32</v>
      </c>
      <c r="L23" s="231">
        <f>'201907 Bk Depr'!$P$17</f>
        <v>115276.80685500003</v>
      </c>
      <c r="M23" s="231">
        <f t="shared" si="0"/>
        <v>945099.61390157486</v>
      </c>
      <c r="N23" s="231">
        <f>M23*0.21</f>
        <v>198470.91891933072</v>
      </c>
      <c r="O23" s="231">
        <f t="shared" si="2"/>
        <v>48592.434203646662</v>
      </c>
      <c r="P23" s="231">
        <f>-O23*0.21</f>
        <v>-10204.411182765798</v>
      </c>
      <c r="Q23" s="27"/>
      <c r="R23" s="231">
        <f t="shared" si="4"/>
        <v>7592381.3503938559</v>
      </c>
      <c r="S23" s="231">
        <f t="shared" si="8"/>
        <v>236858.94194021169</v>
      </c>
      <c r="T23" s="247" t="s">
        <v>352</v>
      </c>
      <c r="U23" s="231">
        <f>U22+S23*154/365</f>
        <v>6993549.6411533915</v>
      </c>
      <c r="X23" s="50"/>
      <c r="Y23" s="50"/>
      <c r="Z23" s="50"/>
    </row>
    <row r="24" spans="1:26">
      <c r="A24" s="52">
        <f t="shared" si="9"/>
        <v>11</v>
      </c>
      <c r="C24" s="61">
        <v>4.5220000000000003E-2</v>
      </c>
      <c r="D24" s="61">
        <v>5.8999999999999997E-2</v>
      </c>
      <c r="F24" s="52">
        <v>8</v>
      </c>
      <c r="G24" s="231">
        <f t="shared" si="5"/>
        <v>48208.333553508339</v>
      </c>
      <c r="H24" s="231">
        <f t="shared" si="6"/>
        <v>74800.47895306666</v>
      </c>
      <c r="I24" s="27">
        <f>(('201908 Bk Depr'!$L$17-SUM('2019 Capital Budget'!$M$9:$M$11,'2019 Capital Budget'!$M$19:$M$21,'2019 Capital Budget'!$M$17))*$C$17)+SUM('2019 Capital Budget'!$M$9:$M$11,'2019 Capital Budget'!$M$19:$M$21,'2019 Capital Budget'!$M$17)</f>
        <v>486239.98599999968</v>
      </c>
      <c r="J24" s="231">
        <f t="shared" si="7"/>
        <v>609248.79850657471</v>
      </c>
      <c r="K24" s="231">
        <f>'201908 Bk Depr'!$L$31+'Cap&amp;OpEx 2019'!J26</f>
        <v>374205.67</v>
      </c>
      <c r="L24" s="231">
        <f>'201908 Bk Depr'!$P$17</f>
        <v>119659.56178050005</v>
      </c>
      <c r="M24" s="231">
        <f t="shared" si="0"/>
        <v>863794.90672607464</v>
      </c>
      <c r="N24" s="231">
        <f t="shared" ref="N24:N28" si="10">M24*0.21</f>
        <v>181396.93041247566</v>
      </c>
      <c r="O24" s="231">
        <f t="shared" si="2"/>
        <v>44527.198844871651</v>
      </c>
      <c r="P24" s="231">
        <f t="shared" ref="P24:P28" si="11">-O24*0.21</f>
        <v>-9350.7117574230469</v>
      </c>
      <c r="Q24" s="27"/>
      <c r="R24" s="231">
        <f t="shared" si="4"/>
        <v>7808954.76789378</v>
      </c>
      <c r="S24" s="231">
        <f t="shared" si="8"/>
        <v>216573.41749992408</v>
      </c>
      <c r="T24" s="247" t="s">
        <v>353</v>
      </c>
      <c r="U24" s="231">
        <f>U23+S24*123/365</f>
        <v>7066531.9160917224</v>
      </c>
      <c r="X24" s="50"/>
      <c r="Y24" s="50"/>
      <c r="Z24" s="50"/>
    </row>
    <row r="25" spans="1:26">
      <c r="A25" s="52">
        <f t="shared" si="9"/>
        <v>12</v>
      </c>
      <c r="C25" s="61">
        <v>4.462E-2</v>
      </c>
      <c r="D25" s="61">
        <v>5.91E-2</v>
      </c>
      <c r="F25" s="52">
        <v>9</v>
      </c>
      <c r="G25" s="231">
        <f t="shared" si="5"/>
        <v>48208.333553508339</v>
      </c>
      <c r="H25" s="231">
        <f t="shared" si="6"/>
        <v>74800.47895306666</v>
      </c>
      <c r="I25" s="27">
        <f>(('201909 Bk Depr'!$L$17-SUM('2019 Capital Budget'!$N$9:$N$11,'2019 Capital Budget'!$N$19:$N$21,'2019 Capital Budget'!$N$17))*$C$17)+SUM('2019 Capital Budget'!$N$9:$N$11,'2019 Capital Budget'!$N$19:$N$21,'2019 Capital Budget'!$N$17)</f>
        <v>567157.49612500006</v>
      </c>
      <c r="J25" s="231">
        <f t="shared" si="7"/>
        <v>690166.30863157508</v>
      </c>
      <c r="K25" s="231">
        <f>'201909 Bk Depr'!$L$31+'Cap&amp;OpEx 2019'!K26</f>
        <v>468218.97</v>
      </c>
      <c r="L25" s="231">
        <f>'201909 Bk Depr'!$P$17</f>
        <v>124213.74059025005</v>
      </c>
      <c r="M25" s="231">
        <f t="shared" si="0"/>
        <v>1034171.5380413249</v>
      </c>
      <c r="N25" s="231">
        <f t="shared" si="10"/>
        <v>217176.02298867822</v>
      </c>
      <c r="O25" s="231">
        <f t="shared" si="2"/>
        <v>53046.030410634172</v>
      </c>
      <c r="P25" s="231">
        <f t="shared" si="11"/>
        <v>-11139.666386233175</v>
      </c>
      <c r="Q25" s="27"/>
      <c r="R25" s="231">
        <f t="shared" si="4"/>
        <v>8068037.1549068596</v>
      </c>
      <c r="S25" s="231">
        <f t="shared" si="8"/>
        <v>259082.3870130796</v>
      </c>
      <c r="T25" s="247" t="s">
        <v>354</v>
      </c>
      <c r="U25" s="231">
        <f>U24+S25*93/365</f>
        <v>7132544.6886731377</v>
      </c>
    </row>
    <row r="26" spans="1:26">
      <c r="A26" s="52">
        <f t="shared" si="9"/>
        <v>13</v>
      </c>
      <c r="C26" s="61">
        <v>4.4609999999999997E-2</v>
      </c>
      <c r="D26" s="61">
        <v>5.8999999999999997E-2</v>
      </c>
      <c r="F26" s="52">
        <v>10</v>
      </c>
      <c r="G26" s="231">
        <f t="shared" si="5"/>
        <v>48208.333553508339</v>
      </c>
      <c r="H26" s="231">
        <f t="shared" si="6"/>
        <v>74800.47895306666</v>
      </c>
      <c r="I26" s="27">
        <f>(('201910 Bk Depr'!$L$17-SUM('2019 Capital Budget'!$O$9:$O$11,'2019 Capital Budget'!$O$19:$O$21,'2019 Capital Budget'!$O$17))*$C$17)+SUM('2019 Capital Budget'!$O$9:$O$11,'2019 Capital Budget'!$O$19:$O$21,'2019 Capital Budget'!$O$17)</f>
        <v>513504.55462499999</v>
      </c>
      <c r="J26" s="231">
        <f t="shared" si="7"/>
        <v>636513.36713157501</v>
      </c>
      <c r="K26" s="231">
        <f>'201910 Bk Depr'!$L$31+'Cap&amp;OpEx 2019'!L26</f>
        <v>413464.76</v>
      </c>
      <c r="L26" s="231">
        <f>'201910 Bk Depr'!$P$17</f>
        <v>128788.92307800002</v>
      </c>
      <c r="M26" s="231">
        <f t="shared" si="0"/>
        <v>921189.20405357494</v>
      </c>
      <c r="N26" s="231">
        <f t="shared" si="10"/>
        <v>193449.73285125074</v>
      </c>
      <c r="O26" s="231">
        <f t="shared" si="2"/>
        <v>47396.913711246663</v>
      </c>
      <c r="P26" s="231">
        <f t="shared" si="11"/>
        <v>-9953.3518793617986</v>
      </c>
      <c r="Q26" s="27"/>
      <c r="R26" s="231">
        <f t="shared" si="4"/>
        <v>8298930.4495899957</v>
      </c>
      <c r="S26" s="231">
        <f t="shared" si="8"/>
        <v>230893.29468313605</v>
      </c>
      <c r="T26" s="247" t="s">
        <v>355</v>
      </c>
      <c r="U26" s="231">
        <f>U25+S26*62/365</f>
        <v>7171764.9195508212</v>
      </c>
    </row>
    <row r="27" spans="1:26">
      <c r="A27" s="52">
        <f t="shared" si="9"/>
        <v>14</v>
      </c>
      <c r="C27" s="61">
        <v>4.462E-2</v>
      </c>
      <c r="D27" s="61">
        <v>5.91E-2</v>
      </c>
      <c r="F27" s="52">
        <v>11</v>
      </c>
      <c r="G27" s="231">
        <f t="shared" si="5"/>
        <v>48208.333553508339</v>
      </c>
      <c r="H27" s="231">
        <f t="shared" si="6"/>
        <v>74800.47895306666</v>
      </c>
      <c r="I27" s="27">
        <f>(('201911 Bk Depr'!$L$17-SUM('2019 Capital Budget'!$P$9:$P$11,'2019 Capital Budget'!$P$19:$P$21,'2019 Capital Budget'!$P$17))*$C$17)+SUM('2019 Capital Budget'!$P$9:$P$11,'2019 Capital Budget'!$P$19:$P$21,'2019 Capital Budget'!$P$17)</f>
        <v>393673.29449999996</v>
      </c>
      <c r="J27" s="231">
        <f t="shared" si="7"/>
        <v>516682.10700657498</v>
      </c>
      <c r="K27" s="231">
        <f>'201911 Bk Depr'!$L$31+'Cap&amp;OpEx 2019'!M26</f>
        <v>503043.61</v>
      </c>
      <c r="L27" s="231">
        <f>'201911 Bk Depr'!$P$17</f>
        <v>133563.94613325002</v>
      </c>
      <c r="M27" s="231">
        <f t="shared" si="0"/>
        <v>886161.77087332495</v>
      </c>
      <c r="N27" s="231">
        <f t="shared" si="10"/>
        <v>186093.97188339822</v>
      </c>
      <c r="O27" s="231">
        <f t="shared" si="2"/>
        <v>45645.542052234166</v>
      </c>
      <c r="P27" s="231">
        <f t="shared" si="11"/>
        <v>-9585.5638309691749</v>
      </c>
      <c r="Q27" s="27"/>
      <c r="R27" s="231">
        <f t="shared" si="4"/>
        <v>8521084.399694657</v>
      </c>
      <c r="S27" s="231">
        <f t="shared" si="8"/>
        <v>222153.95010466129</v>
      </c>
      <c r="T27" s="247" t="s">
        <v>351</v>
      </c>
      <c r="U27" s="231">
        <f>U26+S27*32/365</f>
        <v>7191241.4302449282</v>
      </c>
    </row>
    <row r="28" spans="1:26">
      <c r="A28" s="52">
        <f t="shared" si="9"/>
        <v>15</v>
      </c>
      <c r="C28" s="61">
        <v>4.4609999999999997E-2</v>
      </c>
      <c r="D28" s="61">
        <v>5.8999999999999997E-2</v>
      </c>
      <c r="F28" s="52">
        <v>12</v>
      </c>
      <c r="G28" s="231">
        <f t="shared" si="5"/>
        <v>48208.333553508339</v>
      </c>
      <c r="H28" s="231">
        <f t="shared" si="6"/>
        <v>74800.47895306666</v>
      </c>
      <c r="I28" s="27">
        <f>(('201912 Bk Depr'!$L$17-SUM('2019 Capital Budget'!$Q$9:$Q$11,'2019 Capital Budget'!$Q$19:$Q$21,'2019 Capital Budget'!$Q$17))*$C$17)+SUM('2019 Capital Budget'!$Q$9:$Q$11,'2019 Capital Budget'!$Q$19:$Q$21,'2019 Capital Budget'!$Q$17)</f>
        <v>489758.01850000006</v>
      </c>
      <c r="J28" s="231">
        <f t="shared" si="7"/>
        <v>612766.83100657503</v>
      </c>
      <c r="K28" s="231">
        <f>'201912 Bk Depr'!$L$31+'Cap&amp;OpEx 2019'!N26</f>
        <v>602073.87</v>
      </c>
      <c r="L28" s="231">
        <f>'201912 Bk Depr'!$P$17</f>
        <v>138358.52017875004</v>
      </c>
      <c r="M28" s="231">
        <f t="shared" si="0"/>
        <v>1076482.1808278249</v>
      </c>
      <c r="N28" s="231">
        <f t="shared" si="10"/>
        <v>226061.25797384323</v>
      </c>
      <c r="O28" s="231">
        <f t="shared" si="2"/>
        <v>55161.56254995917</v>
      </c>
      <c r="P28" s="231">
        <f t="shared" si="11"/>
        <v>-11583.928135491426</v>
      </c>
      <c r="Q28" s="27"/>
      <c r="R28" s="231">
        <f t="shared" si="4"/>
        <v>8790723.2920829672</v>
      </c>
      <c r="S28" s="231">
        <f t="shared" si="8"/>
        <v>269638.89238831028</v>
      </c>
      <c r="T28" s="247" t="s">
        <v>350</v>
      </c>
      <c r="U28" s="231">
        <f>U27+S28*1/365</f>
        <v>7191980.1669364031</v>
      </c>
    </row>
    <row r="29" spans="1:26">
      <c r="A29" s="52">
        <f t="shared" si="9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 t="str">
        <f t="shared" ref="Q29:Q43" si="12">IF(P29="","",P29*0.389)</f>
        <v/>
      </c>
      <c r="R29" s="62"/>
      <c r="U29" s="27"/>
    </row>
    <row r="30" spans="1:26">
      <c r="A30" s="52">
        <f t="shared" si="9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 t="str">
        <f t="shared" si="12"/>
        <v/>
      </c>
      <c r="R30" s="27" t="str">
        <f t="shared" ref="R30:R43" si="13">IF(N30="","",R29+N30)</f>
        <v/>
      </c>
    </row>
    <row r="31" spans="1:26">
      <c r="A31" s="52">
        <f t="shared" si="9"/>
        <v>18</v>
      </c>
      <c r="C31" s="61">
        <v>4.462E-2</v>
      </c>
      <c r="D31" s="61">
        <v>5.91E-2</v>
      </c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 t="str">
        <f t="shared" si="12"/>
        <v/>
      </c>
      <c r="R31" s="27" t="str">
        <f t="shared" si="13"/>
        <v/>
      </c>
    </row>
    <row r="32" spans="1:26">
      <c r="A32" s="52">
        <f t="shared" si="9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 t="str">
        <f t="shared" si="12"/>
        <v/>
      </c>
      <c r="R32" s="27" t="str">
        <f t="shared" si="13"/>
        <v/>
      </c>
    </row>
    <row r="33" spans="1:18">
      <c r="A33" s="52">
        <f t="shared" si="9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 t="str">
        <f t="shared" si="12"/>
        <v/>
      </c>
      <c r="R33" s="27" t="str">
        <f t="shared" si="13"/>
        <v/>
      </c>
    </row>
    <row r="34" spans="1:18">
      <c r="A34" s="52">
        <f t="shared" si="9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 t="str">
        <f t="shared" si="12"/>
        <v/>
      </c>
      <c r="R34" s="27" t="str">
        <f t="shared" si="13"/>
        <v/>
      </c>
    </row>
    <row r="35" spans="1:18">
      <c r="A35" s="52">
        <f t="shared" si="9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 t="str">
        <f t="shared" si="12"/>
        <v/>
      </c>
      <c r="R35" s="27" t="str">
        <f t="shared" si="13"/>
        <v/>
      </c>
    </row>
    <row r="36" spans="1:18">
      <c r="A36" s="52">
        <f t="shared" si="9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 t="str">
        <f t="shared" si="12"/>
        <v/>
      </c>
      <c r="R36" s="27" t="str">
        <f t="shared" si="13"/>
        <v/>
      </c>
    </row>
    <row r="37" spans="1:18">
      <c r="A37" s="52">
        <f t="shared" si="9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 t="str">
        <f t="shared" si="12"/>
        <v/>
      </c>
      <c r="R37" s="27" t="str">
        <f t="shared" si="13"/>
        <v/>
      </c>
    </row>
    <row r="38" spans="1:18">
      <c r="A38" s="52">
        <f t="shared" si="9"/>
        <v>25</v>
      </c>
      <c r="C38" s="61">
        <v>0</v>
      </c>
      <c r="D38" s="61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 t="str">
        <f t="shared" si="12"/>
        <v/>
      </c>
      <c r="R38" s="27" t="str">
        <f t="shared" si="13"/>
        <v/>
      </c>
    </row>
    <row r="39" spans="1:18">
      <c r="A39" s="52">
        <f t="shared" si="9"/>
        <v>26</v>
      </c>
      <c r="C39" s="61">
        <v>0</v>
      </c>
      <c r="G39" s="27"/>
      <c r="H39" s="27"/>
      <c r="I39" s="27"/>
      <c r="J39" s="27"/>
      <c r="M39" s="27"/>
      <c r="N39" s="27"/>
      <c r="O39" s="27"/>
      <c r="P39" s="27"/>
      <c r="Q39" s="27" t="str">
        <f t="shared" si="12"/>
        <v/>
      </c>
      <c r="R39" s="27" t="str">
        <f t="shared" si="13"/>
        <v/>
      </c>
    </row>
    <row r="40" spans="1:18">
      <c r="A40" s="52">
        <f t="shared" si="9"/>
        <v>27</v>
      </c>
      <c r="C40" s="61">
        <v>0</v>
      </c>
      <c r="G40" s="27"/>
      <c r="H40" s="27"/>
      <c r="I40" s="27"/>
      <c r="J40" s="27"/>
      <c r="M40" s="27"/>
      <c r="N40" s="27"/>
      <c r="O40" s="27"/>
      <c r="P40" s="27"/>
      <c r="Q40" s="27" t="str">
        <f t="shared" si="12"/>
        <v/>
      </c>
      <c r="R40" s="27" t="str">
        <f t="shared" si="13"/>
        <v/>
      </c>
    </row>
    <row r="41" spans="1:18">
      <c r="A41" s="52">
        <f t="shared" si="9"/>
        <v>28</v>
      </c>
      <c r="C41" s="61">
        <v>0</v>
      </c>
      <c r="G41" s="27"/>
      <c r="H41" s="27"/>
      <c r="I41" s="27"/>
      <c r="J41" s="27"/>
      <c r="M41" s="27"/>
      <c r="N41" s="27"/>
      <c r="O41" s="27"/>
      <c r="P41" s="27"/>
      <c r="Q41" s="27" t="str">
        <f t="shared" si="12"/>
        <v/>
      </c>
      <c r="R41" s="27" t="str">
        <f t="shared" si="13"/>
        <v/>
      </c>
    </row>
    <row r="42" spans="1:18">
      <c r="A42" s="52">
        <f t="shared" si="9"/>
        <v>29</v>
      </c>
      <c r="C42" s="61">
        <v>0</v>
      </c>
      <c r="G42" s="27"/>
      <c r="H42" s="27"/>
      <c r="I42" s="27"/>
      <c r="J42" s="27"/>
      <c r="M42" s="27"/>
      <c r="N42" s="27"/>
      <c r="O42" s="27"/>
      <c r="P42" s="27"/>
      <c r="Q42" s="27" t="str">
        <f t="shared" si="12"/>
        <v/>
      </c>
      <c r="R42" s="27" t="str">
        <f t="shared" si="13"/>
        <v/>
      </c>
    </row>
    <row r="43" spans="1:18">
      <c r="A43" s="52">
        <f t="shared" si="9"/>
        <v>30</v>
      </c>
      <c r="C43" s="61">
        <v>0</v>
      </c>
      <c r="J43" s="27"/>
      <c r="M43" s="27"/>
      <c r="N43" s="27"/>
      <c r="O43" s="27"/>
      <c r="P43" s="27"/>
      <c r="Q43" s="27" t="str">
        <f t="shared" si="12"/>
        <v/>
      </c>
      <c r="R43" s="27" t="str">
        <f t="shared" si="13"/>
        <v/>
      </c>
    </row>
    <row r="44" spans="1:18">
      <c r="A44" s="52">
        <f t="shared" si="9"/>
        <v>31</v>
      </c>
      <c r="G44" s="27">
        <f>SUM(G17:G43)</f>
        <v>578500.00264210009</v>
      </c>
      <c r="H44" s="27">
        <f>SUM(H17:H43)</f>
        <v>897605.74743679969</v>
      </c>
      <c r="I44" s="27">
        <f t="shared" ref="I44:Q44" si="14">SUM(I17:I43)</f>
        <v>7011339.8004999999</v>
      </c>
      <c r="J44" s="27">
        <f t="shared" si="14"/>
        <v>8487445.5505788997</v>
      </c>
      <c r="K44" s="27">
        <f t="shared" si="14"/>
        <v>4623567.2799999993</v>
      </c>
      <c r="L44" s="27">
        <f t="shared" si="14"/>
        <v>1339501.8727035001</v>
      </c>
      <c r="M44" s="27">
        <f t="shared" si="14"/>
        <v>11771510.957875399</v>
      </c>
      <c r="N44" s="27">
        <f t="shared" si="14"/>
        <v>2472017.3011538335</v>
      </c>
      <c r="O44" s="27">
        <f t="shared" si="14"/>
        <v>604624.98999658495</v>
      </c>
      <c r="P44" s="27">
        <f t="shared" si="14"/>
        <v>-126971.24789928284</v>
      </c>
      <c r="Q44" s="27">
        <f t="shared" si="14"/>
        <v>0</v>
      </c>
      <c r="R44" s="27">
        <f>AVERAGE(R16:R28)</f>
        <v>7301513.380538715</v>
      </c>
    </row>
    <row r="45" spans="1:18">
      <c r="G45" s="27"/>
      <c r="H45" s="27"/>
      <c r="I45" s="27"/>
      <c r="J45" s="27"/>
      <c r="K45" s="27"/>
      <c r="L45" s="27"/>
      <c r="R45" s="27"/>
    </row>
    <row r="46" spans="1:18">
      <c r="O46" s="27"/>
      <c r="P46" s="27"/>
      <c r="Q46" s="27"/>
    </row>
    <row r="47" spans="1:18">
      <c r="B47" s="60" t="s">
        <v>163</v>
      </c>
      <c r="C47" s="52" t="s">
        <v>447</v>
      </c>
      <c r="O47" s="54"/>
      <c r="P47" s="54"/>
      <c r="Q47" s="54"/>
    </row>
    <row r="48" spans="1:18">
      <c r="B48" s="60" t="s">
        <v>164</v>
      </c>
      <c r="C48" s="52" t="s">
        <v>446</v>
      </c>
      <c r="D48" s="245"/>
      <c r="O48" s="48"/>
      <c r="P48" s="48"/>
      <c r="Q48" s="48"/>
    </row>
    <row r="49" spans="1:18">
      <c r="B49" s="60" t="s">
        <v>165</v>
      </c>
      <c r="C49" s="52" t="s">
        <v>445</v>
      </c>
      <c r="D49" s="245"/>
      <c r="O49" s="48"/>
      <c r="P49" s="48"/>
      <c r="Q49" s="48"/>
    </row>
    <row r="50" spans="1:18">
      <c r="A50" s="54"/>
      <c r="B50" s="54"/>
      <c r="C50" s="54"/>
      <c r="D50" s="54" t="s">
        <v>24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49"/>
      <c r="P50" s="49"/>
      <c r="Q50" s="49"/>
      <c r="R50" s="54"/>
    </row>
    <row r="51" spans="1:18" ht="25.5">
      <c r="A51" s="54"/>
      <c r="B51" s="54"/>
      <c r="C51" s="55" t="s">
        <v>188</v>
      </c>
      <c r="D51" s="54" t="s">
        <v>25</v>
      </c>
      <c r="E51" s="54"/>
      <c r="F51" s="54"/>
      <c r="G51" s="54">
        <v>2017</v>
      </c>
      <c r="H51" s="54">
        <v>2018</v>
      </c>
      <c r="I51" s="54">
        <v>2019</v>
      </c>
      <c r="J51" s="54"/>
      <c r="K51" s="54" t="s">
        <v>35</v>
      </c>
      <c r="L51" s="54"/>
      <c r="M51" s="54"/>
      <c r="N51" s="55" t="s">
        <v>179</v>
      </c>
      <c r="R51" s="49"/>
    </row>
    <row r="52" spans="1:18">
      <c r="A52" s="54" t="s">
        <v>4</v>
      </c>
      <c r="B52" s="54"/>
      <c r="C52" s="54" t="s">
        <v>26</v>
      </c>
      <c r="D52" s="54" t="s">
        <v>26</v>
      </c>
      <c r="E52" s="54"/>
      <c r="F52" s="54"/>
      <c r="G52" s="54" t="s">
        <v>28</v>
      </c>
      <c r="H52" s="54" t="s">
        <v>29</v>
      </c>
      <c r="I52" s="54" t="s">
        <v>30</v>
      </c>
      <c r="J52" s="54" t="s">
        <v>34</v>
      </c>
      <c r="K52" s="54" t="s">
        <v>36</v>
      </c>
      <c r="L52" s="54" t="s">
        <v>38</v>
      </c>
      <c r="M52" s="54"/>
      <c r="N52" s="54" t="s">
        <v>34</v>
      </c>
      <c r="R52" s="49"/>
    </row>
    <row r="53" spans="1:18">
      <c r="A53" s="328" t="s">
        <v>5</v>
      </c>
      <c r="B53" s="328"/>
      <c r="C53" s="328" t="s">
        <v>2</v>
      </c>
      <c r="D53" s="328" t="s">
        <v>2</v>
      </c>
      <c r="E53" s="328"/>
      <c r="F53" s="328" t="s">
        <v>105</v>
      </c>
      <c r="G53" s="328" t="s">
        <v>20</v>
      </c>
      <c r="H53" s="329" t="s">
        <v>20</v>
      </c>
      <c r="I53" s="329" t="s">
        <v>20</v>
      </c>
      <c r="J53" s="328" t="s">
        <v>0</v>
      </c>
      <c r="K53" s="328" t="s">
        <v>37</v>
      </c>
      <c r="L53" s="328" t="s">
        <v>0</v>
      </c>
      <c r="M53" s="328" t="s">
        <v>39</v>
      </c>
      <c r="N53" s="56" t="s">
        <v>453</v>
      </c>
      <c r="R53" s="49"/>
    </row>
    <row r="54" spans="1:18">
      <c r="C54" s="57"/>
      <c r="D54" s="57" t="s">
        <v>69</v>
      </c>
      <c r="E54" s="58"/>
      <c r="F54" s="58"/>
      <c r="G54" s="58"/>
      <c r="H54" s="58"/>
      <c r="I54" s="58"/>
      <c r="R54" s="50"/>
    </row>
    <row r="55" spans="1:18">
      <c r="A55" s="52">
        <v>1</v>
      </c>
      <c r="C55" s="57" t="s">
        <v>68</v>
      </c>
      <c r="D55" s="59"/>
      <c r="G55" s="27">
        <f>G11+G13</f>
        <v>13471451.920000002</v>
      </c>
      <c r="H55" s="27">
        <f>H11+H13</f>
        <v>12433934.719999999</v>
      </c>
      <c r="I55" s="27">
        <f>I11</f>
        <v>14207969.879999999</v>
      </c>
      <c r="J55" s="62"/>
      <c r="R55" s="50"/>
    </row>
    <row r="56" spans="1:18">
      <c r="A56" s="52">
        <v>2</v>
      </c>
      <c r="C56" s="57" t="s">
        <v>72</v>
      </c>
      <c r="D56" s="59"/>
      <c r="G56" s="27"/>
      <c r="H56" s="27"/>
      <c r="I56" s="27">
        <f>I12</f>
        <v>6478540.9299999997</v>
      </c>
      <c r="R56" s="50"/>
    </row>
    <row r="57" spans="1:18">
      <c r="A57" s="52">
        <v>3</v>
      </c>
      <c r="C57" s="57" t="s">
        <v>182</v>
      </c>
      <c r="D57" s="59"/>
      <c r="G57" s="27"/>
      <c r="H57" s="27"/>
      <c r="I57" s="27"/>
      <c r="R57" s="50"/>
    </row>
    <row r="58" spans="1:18">
      <c r="C58" s="59"/>
      <c r="R58" s="50"/>
    </row>
    <row r="59" spans="1:18">
      <c r="G59" s="195"/>
      <c r="H59" s="195"/>
      <c r="I59" s="195"/>
      <c r="J59" s="195"/>
      <c r="K59" s="195"/>
      <c r="L59" s="244"/>
      <c r="R59" s="50"/>
    </row>
    <row r="60" spans="1:18">
      <c r="R60" s="51"/>
    </row>
    <row r="61" spans="1:18">
      <c r="A61" s="52">
        <f>A57+1</f>
        <v>4</v>
      </c>
      <c r="C61" s="61">
        <v>3.7499999999999999E-2</v>
      </c>
      <c r="D61" s="61">
        <v>0.05</v>
      </c>
      <c r="F61" s="52">
        <v>1</v>
      </c>
      <c r="G61" s="27">
        <f>$G$55*$C$63/12</f>
        <v>74957.403724866672</v>
      </c>
      <c r="H61" s="27">
        <f>$H$55*$C$62/12</f>
        <v>74800.47895306666</v>
      </c>
      <c r="I61" s="27">
        <f t="shared" ref="I61:I72" si="15">I17</f>
        <v>521971.02475000004</v>
      </c>
      <c r="J61" s="27">
        <f>SUM(G61:I61)</f>
        <v>671728.9074279333</v>
      </c>
      <c r="K61" s="231">
        <f>K17</f>
        <v>305257.36</v>
      </c>
      <c r="L61" s="231">
        <f>'201901 Bk Depr'!$P$17</f>
        <v>86145.682781250041</v>
      </c>
      <c r="M61" s="27">
        <f t="shared" ref="M61:M72" si="16">J61+K61-L61</f>
        <v>890840.58464668319</v>
      </c>
      <c r="N61" s="27">
        <f>M61*0.05</f>
        <v>44542.029232334164</v>
      </c>
      <c r="R61" s="51"/>
    </row>
    <row r="62" spans="1:18">
      <c r="A62" s="52">
        <f>A61+1</f>
        <v>5</v>
      </c>
      <c r="C62" s="61">
        <v>7.2190000000000004E-2</v>
      </c>
      <c r="D62" s="61">
        <v>9.5000000000000001E-2</v>
      </c>
      <c r="F62" s="52">
        <v>2</v>
      </c>
      <c r="G62" s="27">
        <f t="shared" ref="G62:G72" si="17">$G$55*$C$63/12</f>
        <v>74957.403724866672</v>
      </c>
      <c r="H62" s="27">
        <f t="shared" ref="H62:H72" si="18">$H$55*$C$62/12</f>
        <v>74800.47895306666</v>
      </c>
      <c r="I62" s="27">
        <f t="shared" si="15"/>
        <v>235582.35475</v>
      </c>
      <c r="J62" s="27">
        <f t="shared" ref="J62:J72" si="19">SUM(G62:I62)</f>
        <v>385340.23742793332</v>
      </c>
      <c r="K62" s="231">
        <f t="shared" ref="K62:K71" si="20">K18</f>
        <v>171177.68</v>
      </c>
      <c r="L62" s="231">
        <f>'201902 Bk Depr'!$P$17</f>
        <v>87996.225919500022</v>
      </c>
      <c r="M62" s="27">
        <f t="shared" si="16"/>
        <v>468521.69150843332</v>
      </c>
      <c r="N62" s="27">
        <f t="shared" ref="N62:N72" si="21">M62*0.05</f>
        <v>23426.084575421668</v>
      </c>
      <c r="R62" s="51"/>
    </row>
    <row r="63" spans="1:18">
      <c r="A63" s="52">
        <f t="shared" ref="A63:A88" si="22">A62+1</f>
        <v>6</v>
      </c>
      <c r="C63" s="61">
        <v>6.6769999999999996E-2</v>
      </c>
      <c r="D63" s="61">
        <v>8.5500000000000007E-2</v>
      </c>
      <c r="F63" s="52">
        <v>3</v>
      </c>
      <c r="G63" s="27">
        <f t="shared" si="17"/>
        <v>74957.403724866672</v>
      </c>
      <c r="H63" s="27">
        <f t="shared" si="18"/>
        <v>74800.47895306666</v>
      </c>
      <c r="I63" s="27">
        <f t="shared" si="15"/>
        <v>1073806.71175</v>
      </c>
      <c r="J63" s="27">
        <f t="shared" si="19"/>
        <v>1223564.5944279335</v>
      </c>
      <c r="K63" s="231">
        <f t="shared" si="20"/>
        <v>185187.46</v>
      </c>
      <c r="L63" s="231">
        <f>'201903 Bk Depr'!$P$17</f>
        <v>90819.467662500028</v>
      </c>
      <c r="M63" s="27">
        <f t="shared" si="16"/>
        <v>1317932.5867654334</v>
      </c>
      <c r="N63" s="27">
        <f t="shared" si="21"/>
        <v>65896.629338271669</v>
      </c>
      <c r="R63" s="51"/>
    </row>
    <row r="64" spans="1:18">
      <c r="A64" s="52">
        <f t="shared" si="22"/>
        <v>7</v>
      </c>
      <c r="C64" s="61">
        <v>6.1769999999999999E-2</v>
      </c>
      <c r="D64" s="61">
        <v>7.6999999999999999E-2</v>
      </c>
      <c r="F64" s="52">
        <v>4</v>
      </c>
      <c r="G64" s="27">
        <f t="shared" si="17"/>
        <v>74957.403724866672</v>
      </c>
      <c r="H64" s="27">
        <f t="shared" si="18"/>
        <v>74800.47895306666</v>
      </c>
      <c r="I64" s="27">
        <f t="shared" si="15"/>
        <v>923472.7543749999</v>
      </c>
      <c r="J64" s="27">
        <f t="shared" si="19"/>
        <v>1073230.6370529332</v>
      </c>
      <c r="K64" s="231">
        <f t="shared" si="20"/>
        <v>373015.76</v>
      </c>
      <c r="L64" s="231">
        <f>'201904 Bk Depr'!$P$17</f>
        <v>98168.669084250025</v>
      </c>
      <c r="M64" s="27">
        <f t="shared" si="16"/>
        <v>1348077.7279686832</v>
      </c>
      <c r="N64" s="27">
        <f t="shared" si="21"/>
        <v>67403.886398434159</v>
      </c>
      <c r="R64" s="51"/>
    </row>
    <row r="65" spans="1:18">
      <c r="A65" s="52">
        <f t="shared" si="22"/>
        <v>8</v>
      </c>
      <c r="C65" s="61">
        <v>5.713E-2</v>
      </c>
      <c r="D65" s="61">
        <v>6.93E-2</v>
      </c>
      <c r="F65" s="52">
        <v>5</v>
      </c>
      <c r="G65" s="27">
        <f t="shared" si="17"/>
        <v>74957.403724866672</v>
      </c>
      <c r="H65" s="27">
        <f t="shared" si="18"/>
        <v>74800.47895306666</v>
      </c>
      <c r="I65" s="27">
        <f t="shared" si="15"/>
        <v>701703.30262500001</v>
      </c>
      <c r="J65" s="27">
        <f t="shared" si="19"/>
        <v>851461.18530293333</v>
      </c>
      <c r="K65" s="231">
        <f t="shared" si="20"/>
        <v>392332.57</v>
      </c>
      <c r="L65" s="231">
        <f>'201905 Bk Depr'!$P$17</f>
        <v>105859.49833350003</v>
      </c>
      <c r="M65" s="27">
        <f t="shared" si="16"/>
        <v>1137934.2569694333</v>
      </c>
      <c r="N65" s="27">
        <f t="shared" si="21"/>
        <v>56896.712848471667</v>
      </c>
      <c r="R65" s="51"/>
    </row>
    <row r="66" spans="1:18">
      <c r="A66" s="52">
        <f t="shared" si="22"/>
        <v>9</v>
      </c>
      <c r="C66" s="61">
        <v>5.2850000000000001E-2</v>
      </c>
      <c r="D66" s="61">
        <v>6.2300000000000001E-2</v>
      </c>
      <c r="F66" s="52">
        <v>6</v>
      </c>
      <c r="G66" s="27">
        <f t="shared" si="17"/>
        <v>74957.403724866672</v>
      </c>
      <c r="H66" s="27">
        <f t="shared" si="18"/>
        <v>74800.47895306666</v>
      </c>
      <c r="I66" s="27">
        <f t="shared" si="15"/>
        <v>551821.01425000001</v>
      </c>
      <c r="J66" s="27">
        <f t="shared" si="19"/>
        <v>701578.89692793333</v>
      </c>
      <c r="K66" s="231">
        <f t="shared" si="20"/>
        <v>450871.25</v>
      </c>
      <c r="L66" s="231">
        <f>'201906 Bk Depr'!$P$17</f>
        <v>110650.83030675002</v>
      </c>
      <c r="M66" s="27">
        <f t="shared" si="16"/>
        <v>1041799.3166211832</v>
      </c>
      <c r="N66" s="27">
        <f t="shared" si="21"/>
        <v>52089.965831059162</v>
      </c>
      <c r="R66" s="51"/>
    </row>
    <row r="67" spans="1:18">
      <c r="A67" s="52">
        <f t="shared" si="22"/>
        <v>10</v>
      </c>
      <c r="C67" s="61">
        <v>4.888E-2</v>
      </c>
      <c r="D67" s="61">
        <v>5.8999999999999997E-2</v>
      </c>
      <c r="F67" s="52">
        <v>7</v>
      </c>
      <c r="G67" s="27">
        <f t="shared" si="17"/>
        <v>74957.403724866672</v>
      </c>
      <c r="H67" s="27">
        <f t="shared" si="18"/>
        <v>74800.47895306666</v>
      </c>
      <c r="I67" s="27">
        <f t="shared" si="15"/>
        <v>552649.28824999998</v>
      </c>
      <c r="J67" s="27">
        <f t="shared" si="19"/>
        <v>702407.1709279333</v>
      </c>
      <c r="K67" s="231">
        <f t="shared" si="20"/>
        <v>384718.32</v>
      </c>
      <c r="L67" s="231">
        <f>'201907 Bk Depr'!$P$17</f>
        <v>115276.80685500003</v>
      </c>
      <c r="M67" s="27">
        <f t="shared" si="16"/>
        <v>971848.68407293316</v>
      </c>
      <c r="N67" s="27">
        <f t="shared" si="21"/>
        <v>48592.434203646662</v>
      </c>
      <c r="R67" s="51"/>
    </row>
    <row r="68" spans="1:18">
      <c r="A68" s="52">
        <f t="shared" si="22"/>
        <v>11</v>
      </c>
      <c r="C68" s="61">
        <v>4.5220000000000003E-2</v>
      </c>
      <c r="D68" s="61">
        <v>5.8999999999999997E-2</v>
      </c>
      <c r="F68" s="52">
        <v>8</v>
      </c>
      <c r="G68" s="27">
        <f t="shared" si="17"/>
        <v>74957.403724866672</v>
      </c>
      <c r="H68" s="27">
        <f t="shared" si="18"/>
        <v>74800.47895306666</v>
      </c>
      <c r="I68" s="27">
        <f t="shared" si="15"/>
        <v>486239.98599999968</v>
      </c>
      <c r="J68" s="27">
        <f t="shared" si="19"/>
        <v>635997.868677933</v>
      </c>
      <c r="K68" s="231">
        <f t="shared" si="20"/>
        <v>374205.67</v>
      </c>
      <c r="L68" s="231">
        <f>'201908 Bk Depr'!$P$17</f>
        <v>119659.56178050005</v>
      </c>
      <c r="M68" s="27">
        <f t="shared" si="16"/>
        <v>890543.97689743293</v>
      </c>
      <c r="N68" s="27">
        <f t="shared" si="21"/>
        <v>44527.198844871651</v>
      </c>
      <c r="R68" s="51"/>
    </row>
    <row r="69" spans="1:18">
      <c r="A69" s="52">
        <f t="shared" si="22"/>
        <v>12</v>
      </c>
      <c r="C69" s="61">
        <v>4.462E-2</v>
      </c>
      <c r="D69" s="61">
        <v>5.91E-2</v>
      </c>
      <c r="F69" s="52">
        <v>9</v>
      </c>
      <c r="G69" s="27">
        <f t="shared" si="17"/>
        <v>74957.403724866672</v>
      </c>
      <c r="H69" s="27">
        <f t="shared" si="18"/>
        <v>74800.47895306666</v>
      </c>
      <c r="I69" s="27">
        <f t="shared" si="15"/>
        <v>567157.49612500006</v>
      </c>
      <c r="J69" s="27">
        <f t="shared" si="19"/>
        <v>716915.37880293338</v>
      </c>
      <c r="K69" s="231">
        <f t="shared" si="20"/>
        <v>468218.97</v>
      </c>
      <c r="L69" s="231">
        <f>'201909 Bk Depr'!$P$17</f>
        <v>124213.74059025005</v>
      </c>
      <c r="M69" s="27">
        <f t="shared" si="16"/>
        <v>1060920.6082126833</v>
      </c>
      <c r="N69" s="27">
        <f t="shared" si="21"/>
        <v>53046.030410634172</v>
      </c>
      <c r="R69" s="51"/>
    </row>
    <row r="70" spans="1:18">
      <c r="A70" s="52">
        <f t="shared" si="22"/>
        <v>13</v>
      </c>
      <c r="C70" s="61">
        <v>4.4609999999999997E-2</v>
      </c>
      <c r="D70" s="61">
        <v>5.8999999999999997E-2</v>
      </c>
      <c r="F70" s="52">
        <v>10</v>
      </c>
      <c r="G70" s="27">
        <f t="shared" si="17"/>
        <v>74957.403724866672</v>
      </c>
      <c r="H70" s="27">
        <f t="shared" si="18"/>
        <v>74800.47895306666</v>
      </c>
      <c r="I70" s="27">
        <f t="shared" si="15"/>
        <v>513504.55462499999</v>
      </c>
      <c r="J70" s="27">
        <f t="shared" si="19"/>
        <v>663262.43730293331</v>
      </c>
      <c r="K70" s="231">
        <f t="shared" si="20"/>
        <v>413464.76</v>
      </c>
      <c r="L70" s="231">
        <f>'201910 Bk Depr'!$P$17</f>
        <v>128788.92307800002</v>
      </c>
      <c r="M70" s="27">
        <f t="shared" si="16"/>
        <v>947938.27422493324</v>
      </c>
      <c r="N70" s="27">
        <f t="shared" si="21"/>
        <v>47396.913711246663</v>
      </c>
      <c r="R70" s="51"/>
    </row>
    <row r="71" spans="1:18">
      <c r="A71" s="52">
        <f t="shared" si="22"/>
        <v>14</v>
      </c>
      <c r="C71" s="61">
        <v>4.462E-2</v>
      </c>
      <c r="D71" s="61">
        <v>5.91E-2</v>
      </c>
      <c r="F71" s="52">
        <v>11</v>
      </c>
      <c r="G71" s="27">
        <f t="shared" si="17"/>
        <v>74957.403724866672</v>
      </c>
      <c r="H71" s="27">
        <f t="shared" si="18"/>
        <v>74800.47895306666</v>
      </c>
      <c r="I71" s="27">
        <f t="shared" si="15"/>
        <v>393673.29449999996</v>
      </c>
      <c r="J71" s="27">
        <f t="shared" si="19"/>
        <v>543431.17717793328</v>
      </c>
      <c r="K71" s="231">
        <f t="shared" si="20"/>
        <v>503043.61</v>
      </c>
      <c r="L71" s="231">
        <f>'201911 Bk Depr'!$P$17</f>
        <v>133563.94613325002</v>
      </c>
      <c r="M71" s="27">
        <f t="shared" si="16"/>
        <v>912910.84104468324</v>
      </c>
      <c r="N71" s="27">
        <f t="shared" si="21"/>
        <v>45645.542052234166</v>
      </c>
      <c r="R71" s="51"/>
    </row>
    <row r="72" spans="1:18">
      <c r="A72" s="52">
        <f t="shared" si="22"/>
        <v>15</v>
      </c>
      <c r="C72" s="61">
        <v>4.4609999999999997E-2</v>
      </c>
      <c r="D72" s="61">
        <v>5.8999999999999997E-2</v>
      </c>
      <c r="F72" s="52">
        <v>12</v>
      </c>
      <c r="G72" s="27">
        <f t="shared" si="17"/>
        <v>74957.403724866672</v>
      </c>
      <c r="H72" s="27">
        <f t="shared" si="18"/>
        <v>74800.47895306666</v>
      </c>
      <c r="I72" s="27">
        <f t="shared" si="15"/>
        <v>489758.01850000006</v>
      </c>
      <c r="J72" s="27">
        <f t="shared" si="19"/>
        <v>639515.90117793344</v>
      </c>
      <c r="K72" s="231">
        <f>K28</f>
        <v>602073.87</v>
      </c>
      <c r="L72" s="231">
        <f>'201912 Bk Depr'!$P$17</f>
        <v>138358.52017875004</v>
      </c>
      <c r="M72" s="27">
        <f t="shared" si="16"/>
        <v>1103231.2509991834</v>
      </c>
      <c r="N72" s="27">
        <f t="shared" si="21"/>
        <v>55161.56254995917</v>
      </c>
      <c r="R72" s="51"/>
    </row>
    <row r="73" spans="1:18">
      <c r="A73" s="52">
        <f t="shared" si="22"/>
        <v>16</v>
      </c>
      <c r="C73" s="61">
        <v>4.462E-2</v>
      </c>
      <c r="D73" s="61">
        <v>5.91E-2</v>
      </c>
      <c r="G73" s="27"/>
      <c r="H73" s="27"/>
      <c r="I73" s="27"/>
      <c r="J73" s="27"/>
      <c r="K73" s="27"/>
      <c r="L73" s="27"/>
      <c r="M73" s="27" t="str">
        <f t="shared" ref="M73:M87" si="23">IF(L73=0,"",J73+K73-L73)</f>
        <v/>
      </c>
      <c r="N73" s="27" t="str">
        <f t="shared" ref="N73:N87" si="24">IF(M73="","",M73*0.389)</f>
        <v/>
      </c>
      <c r="O73" s="51"/>
      <c r="P73" s="51"/>
      <c r="Q73" s="51"/>
      <c r="R73" s="27" t="str">
        <f t="shared" ref="R73:R87" si="25">IF(N73="","",R72+N73)</f>
        <v/>
      </c>
    </row>
    <row r="74" spans="1:18">
      <c r="A74" s="52">
        <f t="shared" si="22"/>
        <v>17</v>
      </c>
      <c r="C74" s="61">
        <v>4.4609999999999997E-2</v>
      </c>
      <c r="D74" s="61">
        <v>5.8999999999999997E-2</v>
      </c>
      <c r="G74" s="27"/>
      <c r="H74" s="27"/>
      <c r="I74" s="27"/>
      <c r="J74" s="27"/>
      <c r="K74" s="27"/>
      <c r="L74" s="27"/>
      <c r="M74" s="27" t="str">
        <f t="shared" si="23"/>
        <v/>
      </c>
      <c r="N74" s="27" t="str">
        <f t="shared" si="24"/>
        <v/>
      </c>
      <c r="O74" s="51"/>
      <c r="P74" s="51"/>
      <c r="Q74" s="51"/>
      <c r="R74" s="27" t="str">
        <f t="shared" si="25"/>
        <v/>
      </c>
    </row>
    <row r="75" spans="1:18">
      <c r="A75" s="52">
        <f t="shared" si="22"/>
        <v>18</v>
      </c>
      <c r="C75" s="61">
        <v>4.462E-2</v>
      </c>
      <c r="D75" s="61">
        <v>5.91E-2</v>
      </c>
      <c r="G75" s="27"/>
      <c r="H75" s="27"/>
      <c r="I75" s="27"/>
      <c r="J75" s="27"/>
      <c r="K75" s="27"/>
      <c r="L75" s="27"/>
      <c r="M75" s="27" t="str">
        <f t="shared" si="23"/>
        <v/>
      </c>
      <c r="N75" s="27" t="str">
        <f t="shared" si="24"/>
        <v/>
      </c>
      <c r="O75" s="51"/>
      <c r="P75" s="51"/>
      <c r="Q75" s="51"/>
      <c r="R75" s="27" t="str">
        <f t="shared" si="25"/>
        <v/>
      </c>
    </row>
    <row r="76" spans="1:18">
      <c r="A76" s="52">
        <f t="shared" si="22"/>
        <v>19</v>
      </c>
      <c r="C76" s="61">
        <v>4.4609999999999997E-2</v>
      </c>
      <c r="D76" s="61">
        <v>2.9499999999999998E-2</v>
      </c>
      <c r="G76" s="27"/>
      <c r="H76" s="27"/>
      <c r="I76" s="27"/>
      <c r="J76" s="27"/>
      <c r="K76" s="27"/>
      <c r="L76" s="27"/>
      <c r="M76" s="27" t="str">
        <f t="shared" si="23"/>
        <v/>
      </c>
      <c r="N76" s="27" t="str">
        <f t="shared" si="24"/>
        <v/>
      </c>
      <c r="O76" s="51"/>
      <c r="P76" s="51"/>
      <c r="Q76" s="51"/>
      <c r="R76" s="27" t="str">
        <f t="shared" si="25"/>
        <v/>
      </c>
    </row>
    <row r="77" spans="1:18">
      <c r="A77" s="52">
        <f t="shared" si="22"/>
        <v>20</v>
      </c>
      <c r="C77" s="61">
        <v>4.462E-2</v>
      </c>
      <c r="D77" s="61">
        <v>0</v>
      </c>
      <c r="G77" s="27"/>
      <c r="H77" s="27"/>
      <c r="I77" s="27"/>
      <c r="J77" s="27"/>
      <c r="K77" s="27"/>
      <c r="L77" s="27"/>
      <c r="M77" s="27" t="str">
        <f t="shared" si="23"/>
        <v/>
      </c>
      <c r="N77" s="27" t="str">
        <f t="shared" si="24"/>
        <v/>
      </c>
      <c r="O77" s="51"/>
      <c r="P77" s="51"/>
      <c r="Q77" s="51"/>
      <c r="R77" s="27" t="str">
        <f t="shared" si="25"/>
        <v/>
      </c>
    </row>
    <row r="78" spans="1:18">
      <c r="A78" s="52">
        <f t="shared" si="22"/>
        <v>21</v>
      </c>
      <c r="C78" s="61">
        <v>4.4609999999999997E-2</v>
      </c>
      <c r="D78" s="61">
        <v>0</v>
      </c>
      <c r="G78" s="27"/>
      <c r="H78" s="27"/>
      <c r="I78" s="27"/>
      <c r="J78" s="27"/>
      <c r="K78" s="27"/>
      <c r="L78" s="27"/>
      <c r="M78" s="27" t="str">
        <f t="shared" si="23"/>
        <v/>
      </c>
      <c r="N78" s="27" t="str">
        <f t="shared" si="24"/>
        <v/>
      </c>
      <c r="O78" s="51"/>
      <c r="P78" s="51"/>
      <c r="Q78" s="51"/>
      <c r="R78" s="27" t="str">
        <f t="shared" si="25"/>
        <v/>
      </c>
    </row>
    <row r="79" spans="1:18">
      <c r="A79" s="52">
        <f t="shared" si="22"/>
        <v>22</v>
      </c>
      <c r="C79" s="61">
        <v>4.462E-2</v>
      </c>
      <c r="D79" s="61">
        <v>0</v>
      </c>
      <c r="G79" s="27"/>
      <c r="H79" s="27"/>
      <c r="I79" s="27"/>
      <c r="J79" s="27"/>
      <c r="K79" s="27"/>
      <c r="L79" s="27"/>
      <c r="M79" s="27" t="str">
        <f t="shared" si="23"/>
        <v/>
      </c>
      <c r="N79" s="27" t="str">
        <f t="shared" si="24"/>
        <v/>
      </c>
      <c r="O79" s="51"/>
      <c r="P79" s="51"/>
      <c r="Q79" s="51"/>
      <c r="R79" s="27" t="str">
        <f t="shared" si="25"/>
        <v/>
      </c>
    </row>
    <row r="80" spans="1:18">
      <c r="A80" s="52">
        <f t="shared" si="22"/>
        <v>23</v>
      </c>
      <c r="C80" s="61">
        <v>4.4609999999999997E-2</v>
      </c>
      <c r="D80" s="61">
        <v>0</v>
      </c>
      <c r="G80" s="27"/>
      <c r="H80" s="27"/>
      <c r="I80" s="27"/>
      <c r="J80" s="27"/>
      <c r="K80" s="27"/>
      <c r="L80" s="27"/>
      <c r="M80" s="27" t="str">
        <f t="shared" si="23"/>
        <v/>
      </c>
      <c r="N80" s="27" t="str">
        <f t="shared" si="24"/>
        <v/>
      </c>
      <c r="O80" s="51"/>
      <c r="P80" s="51"/>
      <c r="Q80" s="51"/>
      <c r="R80" s="27" t="str">
        <f t="shared" si="25"/>
        <v/>
      </c>
    </row>
    <row r="81" spans="1:18">
      <c r="A81" s="52">
        <f t="shared" si="22"/>
        <v>24</v>
      </c>
      <c r="C81" s="61">
        <v>2.231E-2</v>
      </c>
      <c r="D81" s="61">
        <v>0</v>
      </c>
      <c r="G81" s="27"/>
      <c r="H81" s="27"/>
      <c r="I81" s="27"/>
      <c r="J81" s="27"/>
      <c r="K81" s="27"/>
      <c r="L81" s="27"/>
      <c r="M81" s="27" t="str">
        <f t="shared" si="23"/>
        <v/>
      </c>
      <c r="N81" s="27" t="str">
        <f t="shared" si="24"/>
        <v/>
      </c>
      <c r="O81" s="51"/>
      <c r="P81" s="51"/>
      <c r="Q81" s="51"/>
      <c r="R81" s="27" t="str">
        <f t="shared" si="25"/>
        <v/>
      </c>
    </row>
    <row r="82" spans="1:18">
      <c r="A82" s="52">
        <f t="shared" si="22"/>
        <v>25</v>
      </c>
      <c r="C82" s="61">
        <v>0</v>
      </c>
      <c r="D82" s="61">
        <v>0</v>
      </c>
      <c r="G82" s="27"/>
      <c r="H82" s="27"/>
      <c r="I82" s="27"/>
      <c r="J82" s="27"/>
      <c r="K82" s="27"/>
      <c r="L82" s="27"/>
      <c r="M82" s="27" t="str">
        <f t="shared" si="23"/>
        <v/>
      </c>
      <c r="N82" s="27" t="str">
        <f t="shared" si="24"/>
        <v/>
      </c>
      <c r="O82" s="51"/>
      <c r="P82" s="51"/>
      <c r="Q82" s="51"/>
      <c r="R82" s="27" t="str">
        <f t="shared" si="25"/>
        <v/>
      </c>
    </row>
    <row r="83" spans="1:18">
      <c r="A83" s="52">
        <f t="shared" si="22"/>
        <v>26</v>
      </c>
      <c r="C83" s="61">
        <v>0</v>
      </c>
      <c r="G83" s="27"/>
      <c r="H83" s="27"/>
      <c r="I83" s="27"/>
      <c r="J83" s="27"/>
      <c r="M83" s="27" t="str">
        <f t="shared" si="23"/>
        <v/>
      </c>
      <c r="N83" s="27" t="str">
        <f t="shared" si="24"/>
        <v/>
      </c>
      <c r="O83" s="51"/>
      <c r="P83" s="51"/>
      <c r="Q83" s="51"/>
      <c r="R83" s="27" t="str">
        <f t="shared" si="25"/>
        <v/>
      </c>
    </row>
    <row r="84" spans="1:18">
      <c r="A84" s="52">
        <f t="shared" si="22"/>
        <v>27</v>
      </c>
      <c r="C84" s="61">
        <v>0</v>
      </c>
      <c r="G84" s="27"/>
      <c r="H84" s="27"/>
      <c r="I84" s="27"/>
      <c r="J84" s="27"/>
      <c r="M84" s="27" t="str">
        <f t="shared" si="23"/>
        <v/>
      </c>
      <c r="N84" s="27" t="str">
        <f t="shared" si="24"/>
        <v/>
      </c>
      <c r="O84" s="51"/>
      <c r="P84" s="51"/>
      <c r="Q84" s="51"/>
      <c r="R84" s="27" t="str">
        <f t="shared" si="25"/>
        <v/>
      </c>
    </row>
    <row r="85" spans="1:18">
      <c r="A85" s="52">
        <f t="shared" si="22"/>
        <v>28</v>
      </c>
      <c r="C85" s="61">
        <v>0</v>
      </c>
      <c r="G85" s="27"/>
      <c r="H85" s="27"/>
      <c r="I85" s="27"/>
      <c r="J85" s="27"/>
      <c r="M85" s="27" t="str">
        <f t="shared" si="23"/>
        <v/>
      </c>
      <c r="N85" s="27" t="str">
        <f t="shared" si="24"/>
        <v/>
      </c>
      <c r="O85" s="51"/>
      <c r="P85" s="51"/>
      <c r="Q85" s="51"/>
      <c r="R85" s="27" t="str">
        <f t="shared" si="25"/>
        <v/>
      </c>
    </row>
    <row r="86" spans="1:18">
      <c r="A86" s="52">
        <f t="shared" si="22"/>
        <v>29</v>
      </c>
      <c r="C86" s="61">
        <v>0</v>
      </c>
      <c r="G86" s="27"/>
      <c r="H86" s="27"/>
      <c r="I86" s="27"/>
      <c r="J86" s="27"/>
      <c r="M86" s="27" t="str">
        <f t="shared" si="23"/>
        <v/>
      </c>
      <c r="N86" s="27" t="str">
        <f t="shared" si="24"/>
        <v/>
      </c>
      <c r="O86" s="51"/>
      <c r="P86" s="51"/>
      <c r="Q86" s="51"/>
      <c r="R86" s="27" t="str">
        <f t="shared" si="25"/>
        <v/>
      </c>
    </row>
    <row r="87" spans="1:18">
      <c r="A87" s="52">
        <f t="shared" si="22"/>
        <v>30</v>
      </c>
      <c r="C87" s="61">
        <v>0</v>
      </c>
      <c r="J87" s="27"/>
      <c r="M87" s="27" t="str">
        <f t="shared" si="23"/>
        <v/>
      </c>
      <c r="N87" s="27" t="str">
        <f t="shared" si="24"/>
        <v/>
      </c>
      <c r="R87" s="27" t="str">
        <f t="shared" si="25"/>
        <v/>
      </c>
    </row>
    <row r="88" spans="1:18">
      <c r="A88" s="52">
        <f t="shared" si="22"/>
        <v>31</v>
      </c>
      <c r="G88" s="27">
        <f t="shared" ref="G88:N88" si="26">SUM(G61:G87)</f>
        <v>899488.84469840012</v>
      </c>
      <c r="H88" s="27">
        <f t="shared" si="26"/>
        <v>897605.74743679969</v>
      </c>
      <c r="I88" s="27">
        <f t="shared" si="26"/>
        <v>7011339.8004999999</v>
      </c>
      <c r="J88" s="27">
        <f t="shared" si="26"/>
        <v>8808434.3926352002</v>
      </c>
      <c r="K88" s="27">
        <f t="shared" si="26"/>
        <v>4623567.2799999993</v>
      </c>
      <c r="L88" s="27">
        <f t="shared" si="26"/>
        <v>1339501.8727035001</v>
      </c>
      <c r="M88" s="27">
        <f t="shared" si="26"/>
        <v>12092499.799931698</v>
      </c>
      <c r="N88" s="27">
        <f t="shared" si="26"/>
        <v>604624.98999658495</v>
      </c>
      <c r="O88" s="27"/>
      <c r="P88" s="27"/>
      <c r="Q88" s="27"/>
      <c r="R88" s="27"/>
    </row>
    <row r="89" spans="1:18">
      <c r="G89" s="27"/>
      <c r="H89" s="27"/>
      <c r="I89" s="27"/>
      <c r="J89" s="27"/>
      <c r="K89" s="27"/>
      <c r="L89" s="27"/>
      <c r="R89" s="27"/>
    </row>
    <row r="91" spans="1:18">
      <c r="B91" s="60" t="s">
        <v>163</v>
      </c>
      <c r="C91" s="52" t="s">
        <v>447</v>
      </c>
    </row>
    <row r="92" spans="1:18">
      <c r="B92" s="60" t="s">
        <v>164</v>
      </c>
      <c r="C92" s="52" t="s">
        <v>446</v>
      </c>
      <c r="D92" s="245"/>
    </row>
    <row r="93" spans="1:18">
      <c r="B93" s="60" t="s">
        <v>165</v>
      </c>
      <c r="C93" s="52" t="s">
        <v>445</v>
      </c>
    </row>
  </sheetData>
  <pageMargins left="0.7" right="0.7" top="0.75" bottom="0.75" header="0.3" footer="0.3"/>
  <pageSetup scale="56" orientation="landscape" r:id="rId1"/>
  <headerFooter>
    <oddFooter>&amp;R&amp;"Times New Roman,Bold"&amp;17Exhibit 4
Page 17 of 17&amp;L&amp;1#&amp;"Calibri"&amp;14&amp;K000000Business Use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A1:U339"/>
  <sheetViews>
    <sheetView workbookViewId="0"/>
  </sheetViews>
  <sheetFormatPr defaultRowHeight="12.75"/>
  <cols>
    <col min="3" max="3" width="12.5703125" bestFit="1" customWidth="1"/>
    <col min="4" max="4" width="32.85546875" bestFit="1" customWidth="1"/>
    <col min="5" max="5" width="5.140625" customWidth="1"/>
    <col min="6" max="18" width="10.85546875" customWidth="1"/>
    <col min="20" max="20" width="10.85546875" bestFit="1" customWidth="1"/>
  </cols>
  <sheetData>
    <row r="1" spans="1:20">
      <c r="A1" s="2" t="s">
        <v>267</v>
      </c>
    </row>
    <row r="2" spans="1:20">
      <c r="A2" s="2" t="s">
        <v>268</v>
      </c>
    </row>
    <row r="3" spans="1:20">
      <c r="A3" s="2" t="s">
        <v>455</v>
      </c>
    </row>
    <row r="4" spans="1:20">
      <c r="A4" s="2"/>
      <c r="I4" s="513" t="s">
        <v>688</v>
      </c>
    </row>
    <row r="5" spans="1:20">
      <c r="A5" t="s">
        <v>439</v>
      </c>
      <c r="B5" t="s">
        <v>456</v>
      </c>
    </row>
    <row r="7" spans="1:20">
      <c r="A7" t="s">
        <v>270</v>
      </c>
      <c r="B7" t="s">
        <v>136</v>
      </c>
      <c r="C7" t="s">
        <v>138</v>
      </c>
      <c r="D7" t="s">
        <v>271</v>
      </c>
      <c r="E7" t="s">
        <v>140</v>
      </c>
      <c r="F7" t="s">
        <v>272</v>
      </c>
      <c r="G7" t="s">
        <v>273</v>
      </c>
      <c r="H7" t="s">
        <v>274</v>
      </c>
      <c r="I7" t="s">
        <v>275</v>
      </c>
      <c r="J7" t="s">
        <v>276</v>
      </c>
      <c r="K7" t="s">
        <v>277</v>
      </c>
      <c r="L7" t="s">
        <v>278</v>
      </c>
      <c r="M7" t="s">
        <v>279</v>
      </c>
      <c r="N7" t="s">
        <v>280</v>
      </c>
      <c r="O7" t="s">
        <v>281</v>
      </c>
      <c r="P7" t="s">
        <v>282</v>
      </c>
      <c r="Q7" t="s">
        <v>283</v>
      </c>
      <c r="R7" s="346" t="s">
        <v>284</v>
      </c>
    </row>
    <row r="8" spans="1:20">
      <c r="A8" t="s">
        <v>285</v>
      </c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47"/>
    </row>
    <row r="9" spans="1:20">
      <c r="A9">
        <v>380</v>
      </c>
      <c r="B9" t="s">
        <v>110</v>
      </c>
      <c r="C9" s="331" t="s">
        <v>111</v>
      </c>
      <c r="D9" s="331" t="s">
        <v>112</v>
      </c>
      <c r="E9">
        <v>2019</v>
      </c>
      <c r="F9" s="335">
        <f t="shared" ref="F9:Q14" si="0">SUMIFS($O$55:$O$339,$A$55:$A$339,F$7,$B$55:$B$339,$A9,$C$55:$C$339,$C9)</f>
        <v>0</v>
      </c>
      <c r="G9" s="330">
        <f t="shared" si="0"/>
        <v>0</v>
      </c>
      <c r="H9" s="330">
        <f t="shared" si="0"/>
        <v>1054768.6599999999</v>
      </c>
      <c r="I9" s="330">
        <f t="shared" si="0"/>
        <v>269152.17</v>
      </c>
      <c r="J9" s="330">
        <f t="shared" si="0"/>
        <v>314241.31</v>
      </c>
      <c r="K9" s="330">
        <f t="shared" si="0"/>
        <v>180309.94</v>
      </c>
      <c r="L9" s="330">
        <f t="shared" si="0"/>
        <v>216193.19</v>
      </c>
      <c r="M9" s="330">
        <f t="shared" si="0"/>
        <v>203113.62999999974</v>
      </c>
      <c r="N9" s="330">
        <f t="shared" si="0"/>
        <v>209453.17</v>
      </c>
      <c r="O9" s="330">
        <f t="shared" si="0"/>
        <v>248626.05</v>
      </c>
      <c r="P9" s="330">
        <f t="shared" si="0"/>
        <v>152162.60999999999</v>
      </c>
      <c r="Q9" s="330">
        <f t="shared" si="0"/>
        <v>132148.76</v>
      </c>
      <c r="R9" s="347">
        <f>SUM(F9:Q9)</f>
        <v>2980169.4899999993</v>
      </c>
    </row>
    <row r="10" spans="1:20">
      <c r="A10">
        <v>380</v>
      </c>
      <c r="C10" s="331" t="s">
        <v>113</v>
      </c>
      <c r="D10" s="331" t="s">
        <v>114</v>
      </c>
      <c r="E10">
        <v>2019</v>
      </c>
      <c r="F10" s="335">
        <f t="shared" si="0"/>
        <v>8345.9699999999993</v>
      </c>
      <c r="G10" s="330">
        <f t="shared" si="0"/>
        <v>5312.59</v>
      </c>
      <c r="H10" s="330">
        <f t="shared" si="0"/>
        <v>0</v>
      </c>
      <c r="I10" s="330">
        <f t="shared" si="0"/>
        <v>6316.84</v>
      </c>
      <c r="J10" s="330">
        <f t="shared" si="0"/>
        <v>8709.7900000000009</v>
      </c>
      <c r="K10" s="330">
        <f t="shared" si="0"/>
        <v>19087.150000000001</v>
      </c>
      <c r="L10" s="330">
        <f t="shared" si="0"/>
        <v>9034.86</v>
      </c>
      <c r="M10" s="330">
        <f t="shared" si="0"/>
        <v>5648.369999999999</v>
      </c>
      <c r="N10" s="330">
        <f t="shared" si="0"/>
        <v>2027.89</v>
      </c>
      <c r="O10" s="330">
        <f t="shared" si="0"/>
        <v>2163.19</v>
      </c>
      <c r="P10" s="330">
        <f t="shared" si="0"/>
        <v>4403.7299999999996</v>
      </c>
      <c r="Q10" s="330">
        <f t="shared" si="0"/>
        <v>11487.86</v>
      </c>
      <c r="R10" s="347">
        <f t="shared" ref="R10:R26" si="1">SUM(F10:Q10)</f>
        <v>82538.240000000005</v>
      </c>
    </row>
    <row r="11" spans="1:20">
      <c r="A11">
        <v>380</v>
      </c>
      <c r="C11" s="331" t="s">
        <v>115</v>
      </c>
      <c r="D11" s="331" t="s">
        <v>116</v>
      </c>
      <c r="E11">
        <v>2019</v>
      </c>
      <c r="F11" s="335">
        <f t="shared" si="0"/>
        <v>-13621.14</v>
      </c>
      <c r="G11" s="330">
        <f t="shared" si="0"/>
        <v>15790.08</v>
      </c>
      <c r="H11" s="330">
        <f t="shared" si="0"/>
        <v>2852.37</v>
      </c>
      <c r="I11" s="330">
        <f t="shared" si="0"/>
        <v>1018.98</v>
      </c>
      <c r="J11" s="330">
        <f t="shared" si="0"/>
        <v>3696.93</v>
      </c>
      <c r="K11" s="330">
        <f t="shared" si="0"/>
        <v>0</v>
      </c>
      <c r="L11" s="330">
        <f t="shared" si="0"/>
        <v>523.55999999999995</v>
      </c>
      <c r="M11" s="330">
        <f t="shared" si="0"/>
        <v>0</v>
      </c>
      <c r="N11" s="330">
        <f t="shared" si="0"/>
        <v>845.01</v>
      </c>
      <c r="O11" s="330">
        <f t="shared" si="0"/>
        <v>17011.22</v>
      </c>
      <c r="P11" s="330">
        <f t="shared" si="0"/>
        <v>6171.64</v>
      </c>
      <c r="Q11" s="330">
        <f t="shared" si="0"/>
        <v>60339</v>
      </c>
      <c r="R11" s="347">
        <f t="shared" si="1"/>
        <v>94627.65</v>
      </c>
    </row>
    <row r="12" spans="1:20">
      <c r="A12">
        <v>380</v>
      </c>
      <c r="C12" s="331" t="s">
        <v>117</v>
      </c>
      <c r="D12" s="331" t="s">
        <v>118</v>
      </c>
      <c r="E12">
        <v>2019</v>
      </c>
      <c r="F12" s="336">
        <f t="shared" si="0"/>
        <v>457313.39</v>
      </c>
      <c r="G12" s="330">
        <f t="shared" si="0"/>
        <v>278665.15000000002</v>
      </c>
      <c r="H12" s="330">
        <f t="shared" si="0"/>
        <v>428131.92</v>
      </c>
      <c r="I12" s="330">
        <f t="shared" si="0"/>
        <v>286209.09999999998</v>
      </c>
      <c r="J12" s="330">
        <f t="shared" si="0"/>
        <v>314530.95</v>
      </c>
      <c r="K12" s="330">
        <f t="shared" si="0"/>
        <v>377695.32</v>
      </c>
      <c r="L12" s="330">
        <f t="shared" si="0"/>
        <v>384921.36</v>
      </c>
      <c r="M12" s="330">
        <f t="shared" si="0"/>
        <v>372946.73999999976</v>
      </c>
      <c r="N12" s="330">
        <f t="shared" si="0"/>
        <v>422411.35</v>
      </c>
      <c r="O12" s="330">
        <f t="shared" si="0"/>
        <v>471489.46</v>
      </c>
      <c r="P12" s="330">
        <f t="shared" si="0"/>
        <v>466468.35</v>
      </c>
      <c r="Q12" s="330">
        <f t="shared" si="0"/>
        <v>451090.26</v>
      </c>
      <c r="R12" s="347">
        <f t="shared" si="1"/>
        <v>4711873.3499999996</v>
      </c>
    </row>
    <row r="13" spans="1:20">
      <c r="A13">
        <v>380</v>
      </c>
      <c r="C13" s="331" t="s">
        <v>119</v>
      </c>
      <c r="D13" s="331" t="s">
        <v>216</v>
      </c>
      <c r="E13">
        <v>2019</v>
      </c>
      <c r="F13" s="336">
        <f t="shared" si="0"/>
        <v>-20586.79</v>
      </c>
      <c r="G13" s="330">
        <f t="shared" si="0"/>
        <v>24815.56</v>
      </c>
      <c r="H13" s="330">
        <f t="shared" si="0"/>
        <v>3486.26</v>
      </c>
      <c r="I13" s="330">
        <f t="shared" si="0"/>
        <v>922.03</v>
      </c>
      <c r="J13" s="330">
        <f t="shared" si="0"/>
        <v>1761.37</v>
      </c>
      <c r="K13" s="330">
        <f t="shared" si="0"/>
        <v>6242.28</v>
      </c>
      <c r="L13" s="330">
        <f t="shared" si="0"/>
        <v>8213.9699999999993</v>
      </c>
      <c r="M13" s="330">
        <f t="shared" si="0"/>
        <v>10163.890000000007</v>
      </c>
      <c r="N13" s="330">
        <f t="shared" si="0"/>
        <v>8868.14</v>
      </c>
      <c r="O13" s="330">
        <f t="shared" si="0"/>
        <v>5016.43</v>
      </c>
      <c r="P13" s="330">
        <f t="shared" si="0"/>
        <v>5697.69</v>
      </c>
      <c r="Q13" s="330">
        <f t="shared" si="0"/>
        <v>5183.21</v>
      </c>
      <c r="R13" s="347">
        <f t="shared" si="1"/>
        <v>59784.040000000008</v>
      </c>
    </row>
    <row r="14" spans="1:20">
      <c r="A14">
        <v>380</v>
      </c>
      <c r="C14" s="331" t="s">
        <v>288</v>
      </c>
      <c r="D14" s="331" t="s">
        <v>289</v>
      </c>
      <c r="E14">
        <v>2019</v>
      </c>
      <c r="F14" s="336">
        <f t="shared" si="0"/>
        <v>-65430.65</v>
      </c>
      <c r="G14" s="330">
        <f t="shared" si="0"/>
        <v>69345.33</v>
      </c>
      <c r="H14" s="330">
        <f t="shared" si="0"/>
        <v>0</v>
      </c>
      <c r="I14" s="330">
        <f t="shared" si="0"/>
        <v>0</v>
      </c>
      <c r="J14" s="330">
        <f t="shared" si="0"/>
        <v>0</v>
      </c>
      <c r="K14" s="330">
        <f t="shared" si="0"/>
        <v>3553.6</v>
      </c>
      <c r="L14" s="330">
        <f t="shared" si="0"/>
        <v>246.85</v>
      </c>
      <c r="M14" s="330">
        <f t="shared" si="0"/>
        <v>0</v>
      </c>
      <c r="N14" s="330">
        <f t="shared" si="0"/>
        <v>1264.29</v>
      </c>
      <c r="O14" s="330">
        <f t="shared" si="0"/>
        <v>8787.6</v>
      </c>
      <c r="P14" s="330">
        <f t="shared" si="0"/>
        <v>1568.78</v>
      </c>
      <c r="Q14" s="330">
        <f t="shared" si="0"/>
        <v>10927.35</v>
      </c>
      <c r="R14" s="347">
        <f t="shared" si="1"/>
        <v>30263.15</v>
      </c>
      <c r="T14" s="330"/>
    </row>
    <row r="15" spans="1:20">
      <c r="A15">
        <v>380</v>
      </c>
      <c r="C15" s="331" t="s">
        <v>220</v>
      </c>
      <c r="D15" s="331" t="s">
        <v>221</v>
      </c>
      <c r="E15">
        <v>2019</v>
      </c>
      <c r="F15" s="508">
        <v>-113371.91999999993</v>
      </c>
      <c r="G15" s="508">
        <v>953.5</v>
      </c>
      <c r="H15" s="508">
        <v>0</v>
      </c>
      <c r="I15" s="508">
        <v>-9.3132257461547852E-10</v>
      </c>
      <c r="J15" s="508">
        <v>-6.9849193096160889E-10</v>
      </c>
      <c r="K15" s="508">
        <v>0</v>
      </c>
      <c r="L15" s="508">
        <v>0</v>
      </c>
      <c r="M15" s="508">
        <v>0</v>
      </c>
      <c r="N15" s="508">
        <v>4212.38</v>
      </c>
      <c r="O15" s="508">
        <v>0</v>
      </c>
      <c r="P15" s="508">
        <v>0</v>
      </c>
      <c r="Q15" s="508">
        <v>0</v>
      </c>
      <c r="R15" s="347">
        <f t="shared" si="1"/>
        <v>-108206.04000000155</v>
      </c>
    </row>
    <row r="16" spans="1:20">
      <c r="A16">
        <v>376</v>
      </c>
      <c r="C16" s="332" t="s">
        <v>120</v>
      </c>
      <c r="D16" s="332" t="s">
        <v>121</v>
      </c>
      <c r="E16">
        <v>2019</v>
      </c>
      <c r="F16" s="508">
        <v>-4250.5899999999674</v>
      </c>
      <c r="G16" s="508">
        <v>14464.93</v>
      </c>
      <c r="H16" s="508">
        <v>0</v>
      </c>
      <c r="I16" s="508">
        <v>38923.71</v>
      </c>
      <c r="J16" s="508">
        <v>20480.28</v>
      </c>
      <c r="K16" s="508">
        <v>21227.07</v>
      </c>
      <c r="L16" s="508">
        <v>23381.06</v>
      </c>
      <c r="M16" s="508">
        <v>21802.720000000001</v>
      </c>
      <c r="N16" s="508">
        <v>18614.91</v>
      </c>
      <c r="O16" s="508">
        <v>19615.71</v>
      </c>
      <c r="P16" s="508">
        <v>79040.13</v>
      </c>
      <c r="Q16" s="508">
        <v>13353.02</v>
      </c>
      <c r="R16" s="347">
        <f t="shared" si="1"/>
        <v>266652.95</v>
      </c>
    </row>
    <row r="17" spans="1:18">
      <c r="A17">
        <v>376</v>
      </c>
      <c r="C17" s="332" t="s">
        <v>125</v>
      </c>
      <c r="D17" s="332" t="s">
        <v>126</v>
      </c>
      <c r="E17">
        <v>2019</v>
      </c>
      <c r="F17" s="508">
        <v>476.57999999998719</v>
      </c>
      <c r="G17" s="508">
        <v>0</v>
      </c>
      <c r="H17" s="508">
        <v>0</v>
      </c>
      <c r="I17" s="508">
        <v>0</v>
      </c>
      <c r="J17" s="508">
        <v>0</v>
      </c>
      <c r="K17" s="508">
        <v>0</v>
      </c>
      <c r="L17" s="508">
        <v>0</v>
      </c>
      <c r="M17" s="508">
        <v>0</v>
      </c>
      <c r="N17" s="508">
        <v>0</v>
      </c>
      <c r="O17" s="508">
        <v>-504.98</v>
      </c>
      <c r="P17" s="508">
        <v>0</v>
      </c>
      <c r="Q17" s="508">
        <v>0</v>
      </c>
      <c r="R17" s="347">
        <f t="shared" si="1"/>
        <v>-28.400000000012824</v>
      </c>
    </row>
    <row r="18" spans="1:18">
      <c r="A18">
        <v>376</v>
      </c>
      <c r="C18" s="332" t="s">
        <v>123</v>
      </c>
      <c r="D18" s="332" t="s">
        <v>124</v>
      </c>
      <c r="E18">
        <v>2019</v>
      </c>
      <c r="F18" s="508">
        <v>1520.0200000000004</v>
      </c>
      <c r="G18" s="508">
        <v>121.79</v>
      </c>
      <c r="H18" s="508">
        <v>0</v>
      </c>
      <c r="I18" s="508">
        <v>0</v>
      </c>
      <c r="J18" s="508">
        <v>0</v>
      </c>
      <c r="K18" s="508">
        <v>0</v>
      </c>
      <c r="L18" s="508">
        <v>0</v>
      </c>
      <c r="M18" s="508">
        <v>0</v>
      </c>
      <c r="N18" s="508">
        <v>0</v>
      </c>
      <c r="O18" s="508">
        <v>0</v>
      </c>
      <c r="P18" s="508">
        <v>0</v>
      </c>
      <c r="Q18" s="508">
        <v>0</v>
      </c>
      <c r="R18" s="347">
        <f t="shared" si="1"/>
        <v>1641.8100000000004</v>
      </c>
    </row>
    <row r="19" spans="1:18">
      <c r="A19">
        <v>376</v>
      </c>
      <c r="C19" s="332" t="s">
        <v>127</v>
      </c>
      <c r="D19" s="332" t="s">
        <v>128</v>
      </c>
      <c r="E19">
        <v>2019</v>
      </c>
      <c r="F19" s="508">
        <v>0</v>
      </c>
      <c r="G19" s="508">
        <v>81.099999999999994</v>
      </c>
      <c r="H19" s="508">
        <v>0</v>
      </c>
      <c r="I19" s="508">
        <v>0</v>
      </c>
      <c r="J19" s="508">
        <v>0</v>
      </c>
      <c r="K19" s="508">
        <v>43.98</v>
      </c>
      <c r="L19" s="508">
        <v>0</v>
      </c>
      <c r="M19" s="508">
        <v>207.52</v>
      </c>
      <c r="N19" s="508">
        <v>346.58</v>
      </c>
      <c r="O19" s="508">
        <v>971.83</v>
      </c>
      <c r="P19" s="508">
        <v>830.88</v>
      </c>
      <c r="Q19" s="508">
        <v>661.53</v>
      </c>
      <c r="R19" s="347">
        <f t="shared" si="1"/>
        <v>3143.42</v>
      </c>
    </row>
    <row r="20" spans="1:18">
      <c r="A20">
        <v>380</v>
      </c>
      <c r="C20" s="333" t="s">
        <v>127</v>
      </c>
      <c r="D20" s="333" t="s">
        <v>128</v>
      </c>
      <c r="E20">
        <v>2019</v>
      </c>
      <c r="F20" s="335">
        <f t="shared" ref="F20:Q21" si="2">SUMIFS($O$55:$O$339,$A$55:$A$339,F$7,$B$55:$B$339,$A20,$C$55:$C$339,$C20)</f>
        <v>516934.82</v>
      </c>
      <c r="G20" s="330">
        <f t="shared" si="2"/>
        <v>199834.85</v>
      </c>
      <c r="H20" s="330">
        <f t="shared" si="2"/>
        <v>0</v>
      </c>
      <c r="I20" s="330">
        <f t="shared" si="2"/>
        <v>528130.11</v>
      </c>
      <c r="J20" s="330">
        <f t="shared" si="2"/>
        <v>333182.82</v>
      </c>
      <c r="K20" s="330">
        <f t="shared" si="2"/>
        <v>303068.81</v>
      </c>
      <c r="L20" s="330">
        <f t="shared" si="2"/>
        <v>284864.46000000002</v>
      </c>
      <c r="M20" s="330">
        <f t="shared" si="2"/>
        <v>232409.20999999996</v>
      </c>
      <c r="N20" s="330">
        <f t="shared" si="2"/>
        <v>308155.68</v>
      </c>
      <c r="O20" s="330">
        <f t="shared" si="2"/>
        <v>200869.63</v>
      </c>
      <c r="P20" s="330">
        <f t="shared" si="2"/>
        <v>168482.88</v>
      </c>
      <c r="Q20" s="330">
        <f t="shared" si="2"/>
        <v>238878.51</v>
      </c>
      <c r="R20" s="347">
        <f t="shared" si="1"/>
        <v>3314811.7800000003</v>
      </c>
    </row>
    <row r="21" spans="1:18">
      <c r="A21">
        <v>380</v>
      </c>
      <c r="C21" s="333" t="s">
        <v>129</v>
      </c>
      <c r="D21" s="333" t="s">
        <v>130</v>
      </c>
      <c r="E21">
        <v>2019</v>
      </c>
      <c r="F21" s="335">
        <f t="shared" si="2"/>
        <v>265.04000000000002</v>
      </c>
      <c r="G21" s="330">
        <f t="shared" si="2"/>
        <v>0</v>
      </c>
      <c r="H21" s="330">
        <f t="shared" si="2"/>
        <v>0</v>
      </c>
      <c r="I21" s="330">
        <f t="shared" si="2"/>
        <v>0</v>
      </c>
      <c r="J21" s="330">
        <f t="shared" si="2"/>
        <v>930.88</v>
      </c>
      <c r="K21" s="330">
        <f t="shared" si="2"/>
        <v>0</v>
      </c>
      <c r="L21" s="330">
        <f t="shared" si="2"/>
        <v>0</v>
      </c>
      <c r="M21" s="330">
        <f t="shared" si="2"/>
        <v>0</v>
      </c>
      <c r="N21" s="330">
        <f t="shared" si="2"/>
        <v>0</v>
      </c>
      <c r="O21" s="330">
        <f t="shared" si="2"/>
        <v>0</v>
      </c>
      <c r="P21" s="330">
        <f t="shared" si="2"/>
        <v>1579.31</v>
      </c>
      <c r="Q21" s="330">
        <f t="shared" si="2"/>
        <v>503.52</v>
      </c>
      <c r="R21" s="347">
        <f t="shared" si="1"/>
        <v>3278.75</v>
      </c>
    </row>
    <row r="22" spans="1:18">
      <c r="C22" s="334" t="s">
        <v>310</v>
      </c>
      <c r="D22" s="334" t="s">
        <v>311</v>
      </c>
      <c r="E22">
        <v>2019</v>
      </c>
      <c r="F22" s="508">
        <v>0</v>
      </c>
      <c r="G22" s="508">
        <v>0</v>
      </c>
      <c r="H22" s="508">
        <v>0</v>
      </c>
      <c r="I22" s="508">
        <v>0</v>
      </c>
      <c r="J22" s="508">
        <v>0</v>
      </c>
      <c r="K22" s="508">
        <v>0</v>
      </c>
      <c r="L22" s="508">
        <v>0</v>
      </c>
      <c r="M22" s="508">
        <v>0</v>
      </c>
      <c r="N22" s="508">
        <v>0</v>
      </c>
      <c r="O22" s="508">
        <v>0</v>
      </c>
      <c r="P22" s="508">
        <v>0</v>
      </c>
      <c r="Q22" s="508">
        <v>0</v>
      </c>
      <c r="R22" s="347">
        <f t="shared" si="1"/>
        <v>0</v>
      </c>
    </row>
    <row r="23" spans="1:18">
      <c r="C23" s="334" t="s">
        <v>312</v>
      </c>
      <c r="D23" s="334" t="s">
        <v>313</v>
      </c>
      <c r="E23">
        <v>2019</v>
      </c>
      <c r="F23" s="508">
        <v>0</v>
      </c>
      <c r="G23" s="508">
        <v>0</v>
      </c>
      <c r="H23" s="508">
        <v>0</v>
      </c>
      <c r="I23" s="508">
        <v>0</v>
      </c>
      <c r="J23" s="508">
        <v>0</v>
      </c>
      <c r="K23" s="508">
        <v>0</v>
      </c>
      <c r="L23" s="508">
        <v>0</v>
      </c>
      <c r="M23" s="508">
        <v>0</v>
      </c>
      <c r="N23" s="508">
        <v>0</v>
      </c>
      <c r="O23" s="508">
        <v>0</v>
      </c>
      <c r="P23" s="508">
        <v>0</v>
      </c>
      <c r="Q23" s="508">
        <v>0</v>
      </c>
      <c r="R23" s="347">
        <f t="shared" si="1"/>
        <v>0</v>
      </c>
    </row>
    <row r="24" spans="1:18">
      <c r="C24" s="334" t="s">
        <v>314</v>
      </c>
      <c r="D24" s="334" t="s">
        <v>315</v>
      </c>
      <c r="E24">
        <v>2019</v>
      </c>
      <c r="F24" s="508">
        <v>0</v>
      </c>
      <c r="G24" s="508">
        <v>0</v>
      </c>
      <c r="H24" s="508">
        <v>0</v>
      </c>
      <c r="I24" s="508">
        <v>0</v>
      </c>
      <c r="J24" s="508">
        <v>0</v>
      </c>
      <c r="K24" s="508">
        <v>0</v>
      </c>
      <c r="L24" s="508">
        <v>0</v>
      </c>
      <c r="M24" s="508">
        <v>0</v>
      </c>
      <c r="N24" s="508">
        <v>0</v>
      </c>
      <c r="O24" s="508">
        <v>0</v>
      </c>
      <c r="P24" s="508">
        <v>0</v>
      </c>
      <c r="Q24" s="508">
        <v>0</v>
      </c>
      <c r="R24" s="347">
        <f t="shared" si="1"/>
        <v>0</v>
      </c>
    </row>
    <row r="25" spans="1:18">
      <c r="A25">
        <v>380</v>
      </c>
      <c r="C25" s="331" t="s">
        <v>440</v>
      </c>
      <c r="D25" s="331" t="s">
        <v>441</v>
      </c>
      <c r="E25">
        <v>2019</v>
      </c>
      <c r="F25" s="508">
        <v>0</v>
      </c>
      <c r="G25" s="508">
        <v>0</v>
      </c>
      <c r="H25" s="508">
        <v>0</v>
      </c>
      <c r="I25" s="508">
        <v>2843402.61</v>
      </c>
      <c r="J25" s="508">
        <v>755002.67</v>
      </c>
      <c r="K25" s="508">
        <v>906245.31</v>
      </c>
      <c r="L25" s="508">
        <v>704122.58</v>
      </c>
      <c r="M25" s="508">
        <v>791386.81</v>
      </c>
      <c r="N25" s="508">
        <v>780073.36</v>
      </c>
      <c r="O25" s="508">
        <v>678227.19</v>
      </c>
      <c r="P25" s="508">
        <v>1048351.57</v>
      </c>
      <c r="Q25" s="508">
        <v>739148.52</v>
      </c>
      <c r="R25" s="347">
        <f t="shared" si="1"/>
        <v>9245960.620000001</v>
      </c>
    </row>
    <row r="26" spans="1:18">
      <c r="C26" s="334" t="s">
        <v>442</v>
      </c>
      <c r="D26" s="334" t="s">
        <v>443</v>
      </c>
      <c r="E26">
        <v>2019</v>
      </c>
      <c r="F26" s="508">
        <v>0</v>
      </c>
      <c r="G26" s="508">
        <v>0</v>
      </c>
      <c r="H26" s="508">
        <v>0</v>
      </c>
      <c r="I26" s="508">
        <v>0</v>
      </c>
      <c r="J26" s="508">
        <v>0</v>
      </c>
      <c r="K26" s="508">
        <v>0</v>
      </c>
      <c r="L26" s="508">
        <v>0</v>
      </c>
      <c r="M26" s="508">
        <v>0</v>
      </c>
      <c r="N26" s="508">
        <v>0</v>
      </c>
      <c r="O26" s="508">
        <v>0</v>
      </c>
      <c r="P26" s="508">
        <v>0</v>
      </c>
      <c r="Q26" s="508">
        <v>0</v>
      </c>
      <c r="R26" s="347">
        <f t="shared" si="1"/>
        <v>0</v>
      </c>
    </row>
    <row r="27" spans="1:18">
      <c r="A27" t="s">
        <v>318</v>
      </c>
      <c r="F27" s="343">
        <f>SUM(F9:F26)</f>
        <v>767594.73000000021</v>
      </c>
      <c r="G27" s="344">
        <f t="shared" ref="G27:Q27" si="3">SUM(G9:G26)</f>
        <v>609384.88</v>
      </c>
      <c r="H27" s="344">
        <f t="shared" si="3"/>
        <v>1489239.21</v>
      </c>
      <c r="I27" s="344">
        <f t="shared" si="3"/>
        <v>3974075.5499999989</v>
      </c>
      <c r="J27" s="344">
        <f t="shared" si="3"/>
        <v>1752536.9999999993</v>
      </c>
      <c r="K27" s="344">
        <f t="shared" si="3"/>
        <v>1817473.46</v>
      </c>
      <c r="L27" s="344">
        <f t="shared" si="3"/>
        <v>1631501.8900000001</v>
      </c>
      <c r="M27" s="344">
        <f t="shared" si="3"/>
        <v>1637678.8899999997</v>
      </c>
      <c r="N27" s="344">
        <f t="shared" si="3"/>
        <v>1756272.7600000002</v>
      </c>
      <c r="O27" s="344">
        <f t="shared" si="3"/>
        <v>1652273.3299999998</v>
      </c>
      <c r="P27" s="344">
        <f t="shared" si="3"/>
        <v>1934757.5699999998</v>
      </c>
      <c r="Q27" s="345">
        <f t="shared" si="3"/>
        <v>1663721.54</v>
      </c>
      <c r="R27" s="348">
        <f>SUM(R9:R26)</f>
        <v>20686510.809999999</v>
      </c>
    </row>
    <row r="28" spans="1:18"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</row>
    <row r="29" spans="1:18">
      <c r="A29" t="s">
        <v>319</v>
      </c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</row>
    <row r="30" spans="1:18">
      <c r="B30" t="s">
        <v>132</v>
      </c>
      <c r="C30" s="337" t="s">
        <v>113</v>
      </c>
      <c r="D30" s="337" t="s">
        <v>114</v>
      </c>
      <c r="E30">
        <v>2019</v>
      </c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49">
        <f>SUM(F30:Q30)</f>
        <v>0</v>
      </c>
    </row>
    <row r="31" spans="1:18">
      <c r="C31" s="337" t="s">
        <v>115</v>
      </c>
      <c r="D31" s="337" t="s">
        <v>116</v>
      </c>
      <c r="E31">
        <v>2019</v>
      </c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47">
        <f t="shared" ref="R31:R42" si="4">SUM(F31:Q31)</f>
        <v>0</v>
      </c>
    </row>
    <row r="32" spans="1:18">
      <c r="C32" s="337" t="s">
        <v>220</v>
      </c>
      <c r="D32" s="337" t="s">
        <v>221</v>
      </c>
      <c r="E32">
        <v>2019</v>
      </c>
      <c r="F32" s="508">
        <v>160988.62</v>
      </c>
      <c r="G32" s="508">
        <v>-0.01</v>
      </c>
      <c r="H32" s="508">
        <v>1507.16</v>
      </c>
      <c r="I32" s="508">
        <v>-1507.16</v>
      </c>
      <c r="J32" s="508">
        <v>0</v>
      </c>
      <c r="K32" s="508">
        <v>0</v>
      </c>
      <c r="L32" s="508">
        <v>0</v>
      </c>
      <c r="M32" s="508">
        <v>0</v>
      </c>
      <c r="N32" s="508">
        <v>0</v>
      </c>
      <c r="O32" s="508">
        <v>0</v>
      </c>
      <c r="P32" s="508">
        <v>0</v>
      </c>
      <c r="Q32" s="508">
        <v>0</v>
      </c>
      <c r="R32" s="347">
        <f t="shared" si="4"/>
        <v>160988.60999999999</v>
      </c>
    </row>
    <row r="33" spans="1:20">
      <c r="C33" s="332" t="s">
        <v>120</v>
      </c>
      <c r="D33" s="332" t="s">
        <v>121</v>
      </c>
      <c r="E33">
        <v>2019</v>
      </c>
      <c r="F33" s="508">
        <v>1729.7</v>
      </c>
      <c r="G33" s="508">
        <v>0</v>
      </c>
      <c r="H33" s="508">
        <v>0</v>
      </c>
      <c r="I33" s="508">
        <v>0</v>
      </c>
      <c r="J33" s="508">
        <v>0</v>
      </c>
      <c r="K33" s="508">
        <v>0</v>
      </c>
      <c r="L33" s="508">
        <v>0</v>
      </c>
      <c r="M33" s="508">
        <v>0</v>
      </c>
      <c r="N33" s="508">
        <v>0</v>
      </c>
      <c r="O33" s="508">
        <v>0</v>
      </c>
      <c r="P33" s="508">
        <v>0</v>
      </c>
      <c r="Q33" s="508">
        <v>0</v>
      </c>
      <c r="R33" s="347">
        <f t="shared" si="4"/>
        <v>1729.7</v>
      </c>
    </row>
    <row r="34" spans="1:20">
      <c r="C34" s="332" t="s">
        <v>123</v>
      </c>
      <c r="D34" s="332" t="s">
        <v>124</v>
      </c>
      <c r="E34">
        <v>2019</v>
      </c>
      <c r="F34" s="508">
        <v>213.63</v>
      </c>
      <c r="G34" s="508">
        <v>0</v>
      </c>
      <c r="H34" s="508">
        <v>0</v>
      </c>
      <c r="I34" s="508">
        <v>0</v>
      </c>
      <c r="J34" s="508">
        <v>0</v>
      </c>
      <c r="K34" s="508">
        <v>0</v>
      </c>
      <c r="L34" s="508">
        <v>0</v>
      </c>
      <c r="M34" s="508">
        <v>0</v>
      </c>
      <c r="N34" s="508">
        <v>0</v>
      </c>
      <c r="O34" s="508">
        <v>0</v>
      </c>
      <c r="P34" s="508">
        <v>0</v>
      </c>
      <c r="Q34" s="508">
        <v>0</v>
      </c>
      <c r="R34" s="347">
        <f t="shared" si="4"/>
        <v>213.63</v>
      </c>
    </row>
    <row r="35" spans="1:20">
      <c r="C35" s="332" t="s">
        <v>125</v>
      </c>
      <c r="D35" s="332" t="s">
        <v>126</v>
      </c>
      <c r="E35">
        <v>2019</v>
      </c>
      <c r="F35" s="508">
        <v>0</v>
      </c>
      <c r="G35" s="508">
        <v>0</v>
      </c>
      <c r="H35" s="508">
        <v>0</v>
      </c>
      <c r="I35" s="508">
        <v>0</v>
      </c>
      <c r="J35" s="508">
        <v>0</v>
      </c>
      <c r="K35" s="508">
        <v>0</v>
      </c>
      <c r="L35" s="508">
        <v>0</v>
      </c>
      <c r="M35" s="508">
        <v>0</v>
      </c>
      <c r="N35" s="508">
        <v>0</v>
      </c>
      <c r="O35" s="508">
        <v>0</v>
      </c>
      <c r="P35" s="508">
        <v>0</v>
      </c>
      <c r="Q35" s="508">
        <v>0</v>
      </c>
      <c r="R35" s="347">
        <f t="shared" si="4"/>
        <v>0</v>
      </c>
    </row>
    <row r="36" spans="1:20">
      <c r="C36" s="332" t="s">
        <v>189</v>
      </c>
      <c r="D36" s="332" t="s">
        <v>190</v>
      </c>
      <c r="E36">
        <v>2019</v>
      </c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508"/>
      <c r="R36" s="347">
        <f t="shared" si="4"/>
        <v>0</v>
      </c>
    </row>
    <row r="37" spans="1:20">
      <c r="C37" s="331" t="s">
        <v>127</v>
      </c>
      <c r="D37" s="331" t="s">
        <v>128</v>
      </c>
      <c r="E37">
        <v>2019</v>
      </c>
      <c r="F37" s="330">
        <v>4701.95</v>
      </c>
      <c r="G37" s="330">
        <v>16296.17</v>
      </c>
      <c r="H37" s="330">
        <v>24103.74</v>
      </c>
      <c r="I37" s="330">
        <v>24499.48</v>
      </c>
      <c r="J37" s="330">
        <v>4355.13</v>
      </c>
      <c r="K37" s="330">
        <v>86348.82</v>
      </c>
      <c r="L37" s="330">
        <v>32943.269999999997</v>
      </c>
      <c r="M37" s="330">
        <v>36575.300000000003</v>
      </c>
      <c r="N37" s="330">
        <v>57961.71</v>
      </c>
      <c r="O37" s="330">
        <v>37067.68</v>
      </c>
      <c r="P37" s="330">
        <v>129187.5</v>
      </c>
      <c r="Q37" s="330">
        <v>85854.35</v>
      </c>
      <c r="R37" s="347">
        <f>SUM(F37:Q37)</f>
        <v>539895.1</v>
      </c>
    </row>
    <row r="38" spans="1:20">
      <c r="C38" s="331" t="s">
        <v>129</v>
      </c>
      <c r="D38" s="331" t="s">
        <v>130</v>
      </c>
      <c r="E38">
        <v>2019</v>
      </c>
      <c r="F38" s="330">
        <v>35354.42</v>
      </c>
      <c r="G38" s="330">
        <v>-688.5</v>
      </c>
      <c r="H38" s="330">
        <v>4716.4799999999996</v>
      </c>
      <c r="I38" s="330">
        <v>23536.07</v>
      </c>
      <c r="J38" s="330">
        <v>29270.2</v>
      </c>
      <c r="K38" s="330">
        <v>69483.649999999994</v>
      </c>
      <c r="L38" s="330">
        <v>11488.22</v>
      </c>
      <c r="M38" s="330">
        <v>65923.899999999994</v>
      </c>
      <c r="N38" s="330">
        <v>54326.09</v>
      </c>
      <c r="O38" s="330">
        <v>57640.5</v>
      </c>
      <c r="P38" s="330">
        <v>58693.31</v>
      </c>
      <c r="Q38" s="330">
        <v>74034.759999999995</v>
      </c>
      <c r="R38" s="347">
        <f t="shared" si="4"/>
        <v>483779.10000000003</v>
      </c>
    </row>
    <row r="39" spans="1:20">
      <c r="C39" s="334" t="s">
        <v>310</v>
      </c>
      <c r="D39" s="334" t="s">
        <v>311</v>
      </c>
      <c r="E39">
        <v>2019</v>
      </c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347">
        <f t="shared" si="4"/>
        <v>0</v>
      </c>
    </row>
    <row r="40" spans="1:20">
      <c r="C40" s="334" t="s">
        <v>314</v>
      </c>
      <c r="D40" s="334" t="s">
        <v>315</v>
      </c>
      <c r="E40">
        <v>2019</v>
      </c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347">
        <f t="shared" si="4"/>
        <v>0</v>
      </c>
    </row>
    <row r="41" spans="1:20">
      <c r="C41" s="331" t="s">
        <v>440</v>
      </c>
      <c r="D41" s="331" t="s">
        <v>441</v>
      </c>
      <c r="E41">
        <v>2019</v>
      </c>
      <c r="F41" s="508">
        <v>102269.04</v>
      </c>
      <c r="G41" s="508">
        <v>155570.01999999999</v>
      </c>
      <c r="H41" s="508">
        <v>154860.07999999999</v>
      </c>
      <c r="I41" s="508">
        <v>326487.37</v>
      </c>
      <c r="J41" s="508">
        <v>358707.24</v>
      </c>
      <c r="K41" s="508">
        <v>295038.78000000003</v>
      </c>
      <c r="L41" s="508">
        <v>340286.83</v>
      </c>
      <c r="M41" s="508">
        <v>271706.46999999997</v>
      </c>
      <c r="N41" s="508">
        <v>355931.17</v>
      </c>
      <c r="O41" s="508">
        <v>318756.58</v>
      </c>
      <c r="P41" s="508">
        <v>315162.8</v>
      </c>
      <c r="Q41" s="508">
        <v>442184.76</v>
      </c>
      <c r="R41" s="347">
        <f t="shared" si="4"/>
        <v>3436961.1399999997</v>
      </c>
    </row>
    <row r="42" spans="1:20">
      <c r="B42" t="s">
        <v>444</v>
      </c>
      <c r="C42" s="331" t="s">
        <v>129</v>
      </c>
      <c r="D42" s="331" t="s">
        <v>130</v>
      </c>
      <c r="E42">
        <v>2019</v>
      </c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52">
        <f t="shared" si="4"/>
        <v>0</v>
      </c>
    </row>
    <row r="43" spans="1:20">
      <c r="A43" t="s">
        <v>320</v>
      </c>
      <c r="F43" s="343">
        <f>SUM(F30:F42)</f>
        <v>305257.36</v>
      </c>
      <c r="G43" s="344">
        <f>SUM(G30:G42)</f>
        <v>171177.68</v>
      </c>
      <c r="H43" s="344">
        <f t="shared" ref="H43:R43" si="5">SUM(H30:H42)</f>
        <v>185187.46</v>
      </c>
      <c r="I43" s="344">
        <f t="shared" si="5"/>
        <v>373015.76</v>
      </c>
      <c r="J43" s="344">
        <f t="shared" si="5"/>
        <v>392332.57</v>
      </c>
      <c r="K43" s="344">
        <f t="shared" si="5"/>
        <v>450871.25</v>
      </c>
      <c r="L43" s="344">
        <f t="shared" si="5"/>
        <v>384718.32</v>
      </c>
      <c r="M43" s="344">
        <f t="shared" si="5"/>
        <v>374205.67</v>
      </c>
      <c r="N43" s="344">
        <f t="shared" si="5"/>
        <v>468218.97</v>
      </c>
      <c r="O43" s="344">
        <f t="shared" si="5"/>
        <v>413464.76</v>
      </c>
      <c r="P43" s="344">
        <f t="shared" si="5"/>
        <v>503043.61</v>
      </c>
      <c r="Q43" s="344">
        <f t="shared" si="5"/>
        <v>602073.87</v>
      </c>
      <c r="R43" s="348">
        <f t="shared" si="5"/>
        <v>4623567.2799999993</v>
      </c>
    </row>
    <row r="44" spans="1:20"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</row>
    <row r="45" spans="1:20">
      <c r="A45" t="s">
        <v>321</v>
      </c>
      <c r="F45" s="343">
        <f>F27+F43</f>
        <v>1072852.0900000003</v>
      </c>
      <c r="G45" s="344">
        <f t="shared" ref="G45:R45" si="6">G27+G43</f>
        <v>780562.56</v>
      </c>
      <c r="H45" s="344">
        <f t="shared" si="6"/>
        <v>1674426.67</v>
      </c>
      <c r="I45" s="344">
        <f t="shared" si="6"/>
        <v>4347091.3099999987</v>
      </c>
      <c r="J45" s="344">
        <f t="shared" si="6"/>
        <v>2144869.5699999994</v>
      </c>
      <c r="K45" s="344">
        <f t="shared" si="6"/>
        <v>2268344.71</v>
      </c>
      <c r="L45" s="344">
        <f t="shared" si="6"/>
        <v>2016220.2100000002</v>
      </c>
      <c r="M45" s="344">
        <f t="shared" si="6"/>
        <v>2011884.5599999996</v>
      </c>
      <c r="N45" s="344">
        <f t="shared" si="6"/>
        <v>2224491.7300000004</v>
      </c>
      <c r="O45" s="344">
        <f t="shared" si="6"/>
        <v>2065738.0899999999</v>
      </c>
      <c r="P45" s="344">
        <f t="shared" si="6"/>
        <v>2437801.1799999997</v>
      </c>
      <c r="Q45" s="344">
        <f t="shared" si="6"/>
        <v>2265795.41</v>
      </c>
      <c r="R45" s="345">
        <f t="shared" si="6"/>
        <v>25310078.089999996</v>
      </c>
      <c r="T45" s="353"/>
    </row>
    <row r="47" spans="1:20">
      <c r="T47" s="330"/>
    </row>
    <row r="49" spans="1:21">
      <c r="D49" s="199" t="s">
        <v>531</v>
      </c>
      <c r="F49" s="513">
        <v>11864591.74</v>
      </c>
      <c r="G49" s="513">
        <v>12426920.369999999</v>
      </c>
      <c r="H49" s="513">
        <v>15217857.67</v>
      </c>
      <c r="I49" s="513">
        <v>16484315.449999999</v>
      </c>
      <c r="J49" s="513">
        <v>19551518.379999999</v>
      </c>
      <c r="K49" s="513">
        <v>20801914.799999997</v>
      </c>
      <c r="L49" s="513">
        <v>23420482.129999999</v>
      </c>
      <c r="M49" s="513">
        <v>26447799.649999999</v>
      </c>
      <c r="N49" s="513">
        <v>31360379.030000001</v>
      </c>
      <c r="O49" s="513">
        <v>37085782.100000001</v>
      </c>
      <c r="P49" s="513">
        <v>42365586.899999999</v>
      </c>
      <c r="Q49" s="513">
        <v>44002739.890000001</v>
      </c>
    </row>
    <row r="50" spans="1:21">
      <c r="F50">
        <f>F49-'Rev Req 2018-Trans'!P11</f>
        <v>657153.20000000112</v>
      </c>
      <c r="G50">
        <f>G49-F49</f>
        <v>562328.62999999896</v>
      </c>
      <c r="H50">
        <f t="shared" ref="H50:Q50" si="7">H49-G49</f>
        <v>2790937.3000000007</v>
      </c>
      <c r="I50">
        <f t="shared" si="7"/>
        <v>1266457.7799999993</v>
      </c>
      <c r="J50">
        <f t="shared" si="7"/>
        <v>3067202.9299999997</v>
      </c>
      <c r="K50">
        <f t="shared" si="7"/>
        <v>1250396.4199999981</v>
      </c>
      <c r="L50">
        <f t="shared" si="7"/>
        <v>2618567.3300000019</v>
      </c>
      <c r="M50">
        <f t="shared" si="7"/>
        <v>3027317.5199999996</v>
      </c>
      <c r="N50">
        <f t="shared" si="7"/>
        <v>4912579.3800000027</v>
      </c>
      <c r="O50">
        <f t="shared" si="7"/>
        <v>5725403.0700000003</v>
      </c>
      <c r="P50">
        <f t="shared" si="7"/>
        <v>5279804.799999997</v>
      </c>
      <c r="Q50">
        <f t="shared" si="7"/>
        <v>1637152.9900000021</v>
      </c>
    </row>
    <row r="54" spans="1:21">
      <c r="F54" t="s">
        <v>459</v>
      </c>
      <c r="G54" t="s">
        <v>460</v>
      </c>
      <c r="H54" t="s">
        <v>461</v>
      </c>
      <c r="I54" t="s">
        <v>462</v>
      </c>
      <c r="J54" t="s">
        <v>463</v>
      </c>
      <c r="K54" t="s">
        <v>464</v>
      </c>
      <c r="L54" t="s">
        <v>465</v>
      </c>
      <c r="N54" t="s">
        <v>466</v>
      </c>
      <c r="O54" t="s">
        <v>467</v>
      </c>
      <c r="P54" t="s">
        <v>468</v>
      </c>
      <c r="Q54" t="s">
        <v>469</v>
      </c>
    </row>
    <row r="55" spans="1:21">
      <c r="A55" t="str">
        <f t="shared" ref="A55:A118" si="8">IF(ISERROR(VLOOKUP(K55,$T$55:$U$66,2,FALSE)),"",VLOOKUP(K55,$T$55:$U$66,2,FALSE))</f>
        <v>01_Jan</v>
      </c>
      <c r="B55">
        <v>376</v>
      </c>
      <c r="C55" t="s">
        <v>120</v>
      </c>
      <c r="F55">
        <v>405403829</v>
      </c>
      <c r="G55" t="s">
        <v>470</v>
      </c>
      <c r="H55" t="s">
        <v>471</v>
      </c>
      <c r="I55" t="s">
        <v>472</v>
      </c>
      <c r="J55" t="s">
        <v>473</v>
      </c>
      <c r="K55">
        <v>201901</v>
      </c>
      <c r="L55" t="s">
        <v>120</v>
      </c>
      <c r="N55">
        <v>1</v>
      </c>
      <c r="O55">
        <v>-623595.61</v>
      </c>
      <c r="P55">
        <v>-623595.61</v>
      </c>
      <c r="Q55">
        <v>0</v>
      </c>
      <c r="T55">
        <v>201901</v>
      </c>
      <c r="U55" s="351" t="s">
        <v>272</v>
      </c>
    </row>
    <row r="56" spans="1:21">
      <c r="A56" t="str">
        <f t="shared" si="8"/>
        <v>10_Oct</v>
      </c>
      <c r="B56">
        <v>376</v>
      </c>
      <c r="C56" t="s">
        <v>120</v>
      </c>
      <c r="F56">
        <v>405403847</v>
      </c>
      <c r="G56" t="s">
        <v>470</v>
      </c>
      <c r="H56" t="s">
        <v>471</v>
      </c>
      <c r="I56" t="s">
        <v>472</v>
      </c>
      <c r="J56" t="s">
        <v>473</v>
      </c>
      <c r="K56">
        <v>201910</v>
      </c>
      <c r="L56" t="s">
        <v>475</v>
      </c>
      <c r="N56">
        <v>2</v>
      </c>
      <c r="O56">
        <v>19615.71</v>
      </c>
      <c r="P56">
        <v>9807.8549999999996</v>
      </c>
      <c r="Q56">
        <v>0</v>
      </c>
      <c r="T56">
        <v>201902</v>
      </c>
      <c r="U56" s="351" t="s">
        <v>273</v>
      </c>
    </row>
    <row r="57" spans="1:21">
      <c r="A57" t="str">
        <f t="shared" si="8"/>
        <v>09_Sep</v>
      </c>
      <c r="B57">
        <v>376</v>
      </c>
      <c r="C57" t="s">
        <v>120</v>
      </c>
      <c r="F57">
        <v>405403847</v>
      </c>
      <c r="G57" t="s">
        <v>470</v>
      </c>
      <c r="H57" t="s">
        <v>471</v>
      </c>
      <c r="I57" t="s">
        <v>472</v>
      </c>
      <c r="J57" t="s">
        <v>473</v>
      </c>
      <c r="K57">
        <v>201909</v>
      </c>
      <c r="L57" t="s">
        <v>475</v>
      </c>
      <c r="N57">
        <v>2</v>
      </c>
      <c r="O57">
        <v>18614.91</v>
      </c>
      <c r="P57">
        <v>9307.4549999999999</v>
      </c>
      <c r="Q57">
        <v>0</v>
      </c>
      <c r="T57">
        <v>201903</v>
      </c>
      <c r="U57" s="351" t="s">
        <v>274</v>
      </c>
    </row>
    <row r="58" spans="1:21">
      <c r="A58" t="str">
        <f t="shared" si="8"/>
        <v>11_Nov</v>
      </c>
      <c r="B58">
        <v>376</v>
      </c>
      <c r="C58" t="s">
        <v>120</v>
      </c>
      <c r="F58">
        <v>405403847</v>
      </c>
      <c r="G58" t="s">
        <v>470</v>
      </c>
      <c r="H58" t="s">
        <v>471</v>
      </c>
      <c r="I58" t="s">
        <v>472</v>
      </c>
      <c r="J58" t="s">
        <v>473</v>
      </c>
      <c r="K58">
        <v>201911</v>
      </c>
      <c r="L58" t="s">
        <v>475</v>
      </c>
      <c r="N58">
        <v>2</v>
      </c>
      <c r="O58">
        <v>79040.13</v>
      </c>
      <c r="P58">
        <v>39520.065000000002</v>
      </c>
      <c r="Q58">
        <v>0</v>
      </c>
      <c r="T58">
        <v>201904</v>
      </c>
      <c r="U58" s="351" t="s">
        <v>275</v>
      </c>
    </row>
    <row r="59" spans="1:21">
      <c r="A59" t="str">
        <f t="shared" si="8"/>
        <v>01_Jan</v>
      </c>
      <c r="B59">
        <v>376</v>
      </c>
      <c r="C59" t="s">
        <v>120</v>
      </c>
      <c r="F59">
        <v>405403847</v>
      </c>
      <c r="G59" t="s">
        <v>470</v>
      </c>
      <c r="H59" t="s">
        <v>471</v>
      </c>
      <c r="I59" t="s">
        <v>472</v>
      </c>
      <c r="J59" t="s">
        <v>473</v>
      </c>
      <c r="K59">
        <v>201901</v>
      </c>
      <c r="L59" t="s">
        <v>475</v>
      </c>
      <c r="N59">
        <v>2</v>
      </c>
      <c r="O59">
        <v>619345.02</v>
      </c>
      <c r="P59">
        <v>309672.51</v>
      </c>
      <c r="Q59">
        <v>0</v>
      </c>
      <c r="T59">
        <v>201905</v>
      </c>
      <c r="U59" s="351" t="s">
        <v>276</v>
      </c>
    </row>
    <row r="60" spans="1:21">
      <c r="A60" t="str">
        <f t="shared" si="8"/>
        <v>04_Apr</v>
      </c>
      <c r="B60">
        <v>376</v>
      </c>
      <c r="C60" t="s">
        <v>120</v>
      </c>
      <c r="F60">
        <v>405403847</v>
      </c>
      <c r="G60" t="s">
        <v>470</v>
      </c>
      <c r="H60" t="s">
        <v>471</v>
      </c>
      <c r="I60" t="s">
        <v>472</v>
      </c>
      <c r="J60" t="s">
        <v>473</v>
      </c>
      <c r="K60">
        <v>201904</v>
      </c>
      <c r="L60" t="s">
        <v>475</v>
      </c>
      <c r="N60">
        <v>2</v>
      </c>
      <c r="O60">
        <v>38923.71</v>
      </c>
      <c r="P60">
        <v>19461.855</v>
      </c>
      <c r="Q60">
        <v>0</v>
      </c>
      <c r="T60">
        <v>201906</v>
      </c>
      <c r="U60" s="351" t="s">
        <v>277</v>
      </c>
    </row>
    <row r="61" spans="1:21">
      <c r="A61" t="str">
        <f t="shared" si="8"/>
        <v>02_Feb</v>
      </c>
      <c r="B61">
        <v>376</v>
      </c>
      <c r="C61" t="s">
        <v>120</v>
      </c>
      <c r="F61">
        <v>405403847</v>
      </c>
      <c r="G61" t="s">
        <v>470</v>
      </c>
      <c r="H61" t="s">
        <v>471</v>
      </c>
      <c r="I61" t="s">
        <v>472</v>
      </c>
      <c r="J61" t="s">
        <v>473</v>
      </c>
      <c r="K61">
        <v>201902</v>
      </c>
      <c r="L61" t="s">
        <v>475</v>
      </c>
      <c r="N61">
        <v>2</v>
      </c>
      <c r="O61">
        <v>14464.93</v>
      </c>
      <c r="P61">
        <v>7232.4650000000001</v>
      </c>
      <c r="Q61">
        <v>0</v>
      </c>
      <c r="T61">
        <v>201907</v>
      </c>
      <c r="U61" s="351" t="s">
        <v>278</v>
      </c>
    </row>
    <row r="62" spans="1:21">
      <c r="A62" t="str">
        <f t="shared" si="8"/>
        <v>06_Jun</v>
      </c>
      <c r="B62">
        <v>376</v>
      </c>
      <c r="C62" t="s">
        <v>120</v>
      </c>
      <c r="F62">
        <v>405403847</v>
      </c>
      <c r="G62" t="s">
        <v>470</v>
      </c>
      <c r="H62" t="s">
        <v>471</v>
      </c>
      <c r="I62" t="s">
        <v>472</v>
      </c>
      <c r="J62" t="s">
        <v>473</v>
      </c>
      <c r="K62">
        <v>201906</v>
      </c>
      <c r="L62" t="s">
        <v>475</v>
      </c>
      <c r="N62">
        <v>2</v>
      </c>
      <c r="O62">
        <v>21227.07</v>
      </c>
      <c r="P62">
        <v>10613.535</v>
      </c>
      <c r="Q62">
        <v>0</v>
      </c>
      <c r="T62">
        <v>201908</v>
      </c>
      <c r="U62" s="351" t="s">
        <v>279</v>
      </c>
    </row>
    <row r="63" spans="1:21">
      <c r="A63" t="str">
        <f t="shared" si="8"/>
        <v>08_Aug</v>
      </c>
      <c r="B63">
        <v>376</v>
      </c>
      <c r="C63" t="s">
        <v>120</v>
      </c>
      <c r="F63">
        <v>405403847</v>
      </c>
      <c r="G63" t="s">
        <v>470</v>
      </c>
      <c r="H63" t="s">
        <v>471</v>
      </c>
      <c r="I63" t="s">
        <v>472</v>
      </c>
      <c r="J63" t="s">
        <v>473</v>
      </c>
      <c r="K63">
        <v>201908</v>
      </c>
      <c r="L63" t="s">
        <v>475</v>
      </c>
      <c r="N63">
        <v>2</v>
      </c>
      <c r="O63">
        <v>21802.720000000001</v>
      </c>
      <c r="P63">
        <v>10901.36</v>
      </c>
      <c r="Q63">
        <v>0</v>
      </c>
      <c r="T63">
        <v>201909</v>
      </c>
      <c r="U63" s="351" t="s">
        <v>280</v>
      </c>
    </row>
    <row r="64" spans="1:21">
      <c r="A64" t="str">
        <f t="shared" si="8"/>
        <v>05_May</v>
      </c>
      <c r="B64">
        <v>376</v>
      </c>
      <c r="C64" t="s">
        <v>120</v>
      </c>
      <c r="F64">
        <v>405403847</v>
      </c>
      <c r="G64" t="s">
        <v>470</v>
      </c>
      <c r="H64" t="s">
        <v>471</v>
      </c>
      <c r="I64" t="s">
        <v>472</v>
      </c>
      <c r="J64" t="s">
        <v>473</v>
      </c>
      <c r="K64">
        <v>201905</v>
      </c>
      <c r="L64" t="s">
        <v>475</v>
      </c>
      <c r="N64">
        <v>2</v>
      </c>
      <c r="O64">
        <v>20480.28</v>
      </c>
      <c r="P64">
        <v>10240.14</v>
      </c>
      <c r="Q64">
        <v>0</v>
      </c>
      <c r="T64">
        <v>201910</v>
      </c>
      <c r="U64" s="351" t="s">
        <v>281</v>
      </c>
    </row>
    <row r="65" spans="1:21">
      <c r="A65" t="str">
        <f t="shared" si="8"/>
        <v>07_Jul</v>
      </c>
      <c r="B65">
        <v>376</v>
      </c>
      <c r="C65" t="s">
        <v>120</v>
      </c>
      <c r="F65">
        <v>405403847</v>
      </c>
      <c r="G65" t="s">
        <v>470</v>
      </c>
      <c r="H65" t="s">
        <v>471</v>
      </c>
      <c r="I65" t="s">
        <v>472</v>
      </c>
      <c r="J65" t="s">
        <v>473</v>
      </c>
      <c r="K65">
        <v>201907</v>
      </c>
      <c r="L65" t="s">
        <v>475</v>
      </c>
      <c r="N65">
        <v>2</v>
      </c>
      <c r="O65">
        <v>23381.06</v>
      </c>
      <c r="P65">
        <v>11690.53</v>
      </c>
      <c r="Q65">
        <v>0</v>
      </c>
      <c r="T65">
        <v>201911</v>
      </c>
      <c r="U65" s="351" t="s">
        <v>282</v>
      </c>
    </row>
    <row r="66" spans="1:21">
      <c r="A66" t="str">
        <f t="shared" si="8"/>
        <v>12_Dec</v>
      </c>
      <c r="B66">
        <v>376</v>
      </c>
      <c r="C66" t="s">
        <v>120</v>
      </c>
      <c r="F66">
        <v>405403847</v>
      </c>
      <c r="G66" t="s">
        <v>470</v>
      </c>
      <c r="H66" t="s">
        <v>471</v>
      </c>
      <c r="I66" t="s">
        <v>472</v>
      </c>
      <c r="J66" t="s">
        <v>473</v>
      </c>
      <c r="K66">
        <v>201912</v>
      </c>
      <c r="L66" t="s">
        <v>475</v>
      </c>
      <c r="N66">
        <v>2</v>
      </c>
      <c r="O66">
        <v>13353.02</v>
      </c>
      <c r="P66">
        <v>6676.51</v>
      </c>
      <c r="Q66">
        <v>0</v>
      </c>
      <c r="T66">
        <v>201912</v>
      </c>
      <c r="U66" t="s">
        <v>283</v>
      </c>
    </row>
    <row r="67" spans="1:21">
      <c r="A67" t="str">
        <f t="shared" si="8"/>
        <v>01_Jan</v>
      </c>
      <c r="B67">
        <v>376</v>
      </c>
      <c r="C67" t="s">
        <v>123</v>
      </c>
      <c r="F67">
        <v>405404675</v>
      </c>
      <c r="G67" t="s">
        <v>470</v>
      </c>
      <c r="H67" t="s">
        <v>471</v>
      </c>
      <c r="I67" t="s">
        <v>472</v>
      </c>
      <c r="J67" t="s">
        <v>473</v>
      </c>
      <c r="K67">
        <v>201901</v>
      </c>
      <c r="L67" t="s">
        <v>123</v>
      </c>
      <c r="N67">
        <v>2</v>
      </c>
      <c r="O67">
        <v>-2708.29</v>
      </c>
      <c r="P67">
        <v>-1354.145</v>
      </c>
      <c r="Q67">
        <v>0</v>
      </c>
    </row>
    <row r="68" spans="1:21">
      <c r="A68" t="str">
        <f t="shared" si="8"/>
        <v>01_Jan</v>
      </c>
      <c r="B68">
        <v>376</v>
      </c>
      <c r="C68" t="s">
        <v>123</v>
      </c>
      <c r="F68">
        <v>405437976</v>
      </c>
      <c r="G68" t="s">
        <v>470</v>
      </c>
      <c r="H68" t="s">
        <v>471</v>
      </c>
      <c r="I68" t="s">
        <v>472</v>
      </c>
      <c r="J68" t="s">
        <v>473</v>
      </c>
      <c r="K68">
        <v>201901</v>
      </c>
      <c r="L68" t="s">
        <v>476</v>
      </c>
      <c r="N68">
        <v>1</v>
      </c>
      <c r="O68">
        <v>4228.3100000000004</v>
      </c>
      <c r="P68">
        <v>4228.3100000000004</v>
      </c>
      <c r="Q68">
        <v>0</v>
      </c>
    </row>
    <row r="69" spans="1:21">
      <c r="A69" t="str">
        <f t="shared" si="8"/>
        <v>02_Feb</v>
      </c>
      <c r="B69">
        <v>376</v>
      </c>
      <c r="C69" t="s">
        <v>123</v>
      </c>
      <c r="F69">
        <v>405437976</v>
      </c>
      <c r="G69" t="s">
        <v>470</v>
      </c>
      <c r="H69" t="s">
        <v>471</v>
      </c>
      <c r="I69" t="s">
        <v>472</v>
      </c>
      <c r="J69" t="s">
        <v>473</v>
      </c>
      <c r="K69">
        <v>201902</v>
      </c>
      <c r="L69" t="s">
        <v>476</v>
      </c>
      <c r="N69">
        <v>2</v>
      </c>
      <c r="O69">
        <v>121.79</v>
      </c>
      <c r="P69">
        <v>60.895000000000003</v>
      </c>
      <c r="Q69">
        <v>0</v>
      </c>
    </row>
    <row r="70" spans="1:21">
      <c r="A70" t="str">
        <f t="shared" si="8"/>
        <v>03_Mar</v>
      </c>
      <c r="B70">
        <v>376</v>
      </c>
      <c r="C70" t="s">
        <v>125</v>
      </c>
      <c r="F70">
        <v>392804923</v>
      </c>
      <c r="G70" t="s">
        <v>470</v>
      </c>
      <c r="H70" t="s">
        <v>471</v>
      </c>
      <c r="I70" t="s">
        <v>472</v>
      </c>
      <c r="J70" t="s">
        <v>474</v>
      </c>
      <c r="K70">
        <v>201903</v>
      </c>
      <c r="L70" t="s">
        <v>125</v>
      </c>
      <c r="N70">
        <v>0</v>
      </c>
      <c r="O70">
        <v>0</v>
      </c>
      <c r="P70">
        <v>0</v>
      </c>
    </row>
    <row r="71" spans="1:21">
      <c r="A71" t="str">
        <f t="shared" si="8"/>
        <v>01_Jan</v>
      </c>
      <c r="B71">
        <v>376</v>
      </c>
      <c r="C71" t="s">
        <v>125</v>
      </c>
      <c r="F71">
        <v>405404693</v>
      </c>
      <c r="G71" t="s">
        <v>470</v>
      </c>
      <c r="H71" t="s">
        <v>471</v>
      </c>
      <c r="I71" t="s">
        <v>472</v>
      </c>
      <c r="J71" t="s">
        <v>473</v>
      </c>
      <c r="K71">
        <v>201901</v>
      </c>
      <c r="L71" t="s">
        <v>125</v>
      </c>
      <c r="N71">
        <v>1</v>
      </c>
      <c r="O71">
        <v>-68745.320000000007</v>
      </c>
      <c r="P71">
        <v>-68745.320000000007</v>
      </c>
      <c r="Q71">
        <v>0</v>
      </c>
    </row>
    <row r="72" spans="1:21">
      <c r="A72" t="str">
        <f t="shared" si="8"/>
        <v>03_Mar</v>
      </c>
      <c r="B72">
        <v>376</v>
      </c>
      <c r="C72" t="s">
        <v>125</v>
      </c>
      <c r="F72">
        <v>392804932</v>
      </c>
      <c r="G72" t="s">
        <v>470</v>
      </c>
      <c r="H72" t="s">
        <v>471</v>
      </c>
      <c r="I72" t="s">
        <v>472</v>
      </c>
      <c r="J72" t="s">
        <v>474</v>
      </c>
      <c r="K72">
        <v>201903</v>
      </c>
      <c r="L72" t="s">
        <v>125</v>
      </c>
      <c r="N72">
        <v>0</v>
      </c>
      <c r="O72">
        <v>0</v>
      </c>
      <c r="P72">
        <v>0</v>
      </c>
    </row>
    <row r="73" spans="1:21">
      <c r="A73" t="str">
        <f t="shared" si="8"/>
        <v>03_Mar</v>
      </c>
      <c r="B73">
        <v>376</v>
      </c>
      <c r="C73" t="s">
        <v>125</v>
      </c>
      <c r="F73">
        <v>310968987</v>
      </c>
      <c r="G73" t="s">
        <v>470</v>
      </c>
      <c r="H73" t="s">
        <v>471</v>
      </c>
      <c r="I73" t="s">
        <v>472</v>
      </c>
      <c r="J73" t="s">
        <v>473</v>
      </c>
      <c r="K73">
        <v>201903</v>
      </c>
      <c r="L73" t="s">
        <v>125</v>
      </c>
      <c r="N73">
        <v>0</v>
      </c>
      <c r="O73">
        <v>0</v>
      </c>
      <c r="P73">
        <v>0</v>
      </c>
    </row>
    <row r="74" spans="1:21">
      <c r="A74" t="str">
        <f t="shared" si="8"/>
        <v>03_Mar</v>
      </c>
      <c r="B74">
        <v>376</v>
      </c>
      <c r="C74" t="s">
        <v>125</v>
      </c>
      <c r="F74">
        <v>392804890</v>
      </c>
      <c r="G74" t="s">
        <v>470</v>
      </c>
      <c r="H74" t="s">
        <v>471</v>
      </c>
      <c r="I74" t="s">
        <v>472</v>
      </c>
      <c r="J74" t="s">
        <v>474</v>
      </c>
      <c r="K74">
        <v>201903</v>
      </c>
      <c r="L74" t="s">
        <v>125</v>
      </c>
      <c r="N74">
        <v>0</v>
      </c>
      <c r="O74">
        <v>0</v>
      </c>
      <c r="P74">
        <v>0</v>
      </c>
    </row>
    <row r="75" spans="1:21">
      <c r="A75" t="str">
        <f t="shared" si="8"/>
        <v>03_Mar</v>
      </c>
      <c r="B75">
        <v>376</v>
      </c>
      <c r="C75" t="s">
        <v>125</v>
      </c>
      <c r="F75">
        <v>392803814</v>
      </c>
      <c r="G75" t="s">
        <v>470</v>
      </c>
      <c r="H75" t="s">
        <v>471</v>
      </c>
      <c r="I75" t="s">
        <v>472</v>
      </c>
      <c r="J75" t="s">
        <v>474</v>
      </c>
      <c r="K75">
        <v>201903</v>
      </c>
      <c r="L75" t="s">
        <v>125</v>
      </c>
      <c r="N75">
        <v>0</v>
      </c>
      <c r="O75">
        <v>0</v>
      </c>
      <c r="P75">
        <v>0</v>
      </c>
    </row>
    <row r="76" spans="1:21">
      <c r="A76" t="str">
        <f t="shared" si="8"/>
        <v>10_Oct</v>
      </c>
      <c r="B76">
        <v>376</v>
      </c>
      <c r="C76" t="s">
        <v>125</v>
      </c>
      <c r="F76">
        <v>395570557</v>
      </c>
      <c r="G76" t="s">
        <v>470</v>
      </c>
      <c r="H76" t="s">
        <v>471</v>
      </c>
      <c r="I76" t="s">
        <v>472</v>
      </c>
      <c r="J76" t="s">
        <v>473</v>
      </c>
      <c r="K76">
        <v>201910</v>
      </c>
      <c r="L76" t="s">
        <v>477</v>
      </c>
      <c r="N76">
        <v>1</v>
      </c>
      <c r="O76">
        <v>-504.98</v>
      </c>
      <c r="P76">
        <v>-504.98</v>
      </c>
      <c r="Q76">
        <v>0</v>
      </c>
    </row>
    <row r="77" spans="1:21">
      <c r="A77" t="str">
        <f t="shared" si="8"/>
        <v>01_Jan</v>
      </c>
      <c r="B77">
        <v>376</v>
      </c>
      <c r="C77" t="s">
        <v>125</v>
      </c>
      <c r="F77">
        <v>405404711</v>
      </c>
      <c r="G77" t="s">
        <v>470</v>
      </c>
      <c r="H77" t="s">
        <v>471</v>
      </c>
      <c r="I77" t="s">
        <v>472</v>
      </c>
      <c r="J77" t="s">
        <v>473</v>
      </c>
      <c r="K77">
        <v>201901</v>
      </c>
      <c r="L77" t="s">
        <v>477</v>
      </c>
      <c r="N77">
        <v>1</v>
      </c>
      <c r="O77">
        <v>69221.899999999994</v>
      </c>
      <c r="P77">
        <v>69221.899999999994</v>
      </c>
      <c r="Q77">
        <v>0</v>
      </c>
    </row>
    <row r="78" spans="1:21">
      <c r="A78" t="str">
        <f t="shared" si="8"/>
        <v>06_Jun</v>
      </c>
      <c r="B78">
        <v>376</v>
      </c>
      <c r="C78" t="s">
        <v>127</v>
      </c>
      <c r="F78">
        <v>395570602</v>
      </c>
      <c r="G78" t="s">
        <v>470</v>
      </c>
      <c r="H78" t="s">
        <v>471</v>
      </c>
      <c r="I78" t="s">
        <v>472</v>
      </c>
      <c r="J78" t="s">
        <v>473</v>
      </c>
      <c r="K78">
        <v>201906</v>
      </c>
      <c r="L78" t="s">
        <v>127</v>
      </c>
      <c r="N78">
        <v>2</v>
      </c>
      <c r="O78">
        <v>43.98</v>
      </c>
      <c r="P78">
        <v>21.99</v>
      </c>
      <c r="Q78">
        <v>0</v>
      </c>
    </row>
    <row r="79" spans="1:21">
      <c r="A79" t="str">
        <f t="shared" si="8"/>
        <v>09_Sep</v>
      </c>
      <c r="B79">
        <v>376</v>
      </c>
      <c r="C79" t="s">
        <v>127</v>
      </c>
      <c r="F79">
        <v>395570602</v>
      </c>
      <c r="G79" t="s">
        <v>470</v>
      </c>
      <c r="H79" t="s">
        <v>471</v>
      </c>
      <c r="I79" t="s">
        <v>472</v>
      </c>
      <c r="J79" t="s">
        <v>473</v>
      </c>
      <c r="K79">
        <v>201909</v>
      </c>
      <c r="L79" t="s">
        <v>127</v>
      </c>
      <c r="N79">
        <v>2</v>
      </c>
      <c r="O79">
        <v>346.58</v>
      </c>
      <c r="P79">
        <v>173.29</v>
      </c>
      <c r="Q79">
        <v>0</v>
      </c>
    </row>
    <row r="80" spans="1:21">
      <c r="A80" t="str">
        <f t="shared" si="8"/>
        <v>02_Feb</v>
      </c>
      <c r="B80">
        <v>376</v>
      </c>
      <c r="C80" t="s">
        <v>127</v>
      </c>
      <c r="F80">
        <v>395570602</v>
      </c>
      <c r="G80" t="s">
        <v>470</v>
      </c>
      <c r="H80" t="s">
        <v>471</v>
      </c>
      <c r="I80" t="s">
        <v>472</v>
      </c>
      <c r="J80" t="s">
        <v>473</v>
      </c>
      <c r="K80">
        <v>201902</v>
      </c>
      <c r="L80" t="s">
        <v>127</v>
      </c>
      <c r="N80">
        <v>1</v>
      </c>
      <c r="O80">
        <v>81.099999999999994</v>
      </c>
      <c r="P80">
        <v>81.099999999999994</v>
      </c>
      <c r="Q80">
        <v>0</v>
      </c>
    </row>
    <row r="81" spans="1:17">
      <c r="A81" t="str">
        <f t="shared" si="8"/>
        <v>10_Oct</v>
      </c>
      <c r="B81">
        <v>376</v>
      </c>
      <c r="C81" t="s">
        <v>127</v>
      </c>
      <c r="F81">
        <v>395570602</v>
      </c>
      <c r="G81" t="s">
        <v>470</v>
      </c>
      <c r="H81" t="s">
        <v>471</v>
      </c>
      <c r="I81" t="s">
        <v>472</v>
      </c>
      <c r="J81" t="s">
        <v>473</v>
      </c>
      <c r="K81">
        <v>201910</v>
      </c>
      <c r="L81" t="s">
        <v>127</v>
      </c>
      <c r="N81">
        <v>2</v>
      </c>
      <c r="O81">
        <v>971.83</v>
      </c>
      <c r="P81">
        <v>485.91500000000002</v>
      </c>
      <c r="Q81">
        <v>0</v>
      </c>
    </row>
    <row r="82" spans="1:17">
      <c r="A82" t="str">
        <f t="shared" si="8"/>
        <v>11_Nov</v>
      </c>
      <c r="B82">
        <v>376</v>
      </c>
      <c r="C82" t="s">
        <v>127</v>
      </c>
      <c r="F82">
        <v>395570602</v>
      </c>
      <c r="G82" t="s">
        <v>470</v>
      </c>
      <c r="H82" t="s">
        <v>471</v>
      </c>
      <c r="I82" t="s">
        <v>472</v>
      </c>
      <c r="J82" t="s">
        <v>473</v>
      </c>
      <c r="K82">
        <v>201911</v>
      </c>
      <c r="L82" t="s">
        <v>127</v>
      </c>
      <c r="N82">
        <v>2</v>
      </c>
      <c r="O82">
        <v>830.88</v>
      </c>
      <c r="P82">
        <v>415.44</v>
      </c>
      <c r="Q82">
        <v>0</v>
      </c>
    </row>
    <row r="83" spans="1:17">
      <c r="A83" t="str">
        <f t="shared" si="8"/>
        <v>08_Aug</v>
      </c>
      <c r="B83">
        <v>376</v>
      </c>
      <c r="C83" t="s">
        <v>127</v>
      </c>
      <c r="F83">
        <v>395570602</v>
      </c>
      <c r="G83" t="s">
        <v>470</v>
      </c>
      <c r="H83" t="s">
        <v>471</v>
      </c>
      <c r="I83" t="s">
        <v>472</v>
      </c>
      <c r="J83" t="s">
        <v>473</v>
      </c>
      <c r="K83">
        <v>201908</v>
      </c>
      <c r="L83" t="s">
        <v>127</v>
      </c>
      <c r="N83">
        <v>2</v>
      </c>
      <c r="O83">
        <v>207.52</v>
      </c>
      <c r="P83">
        <v>103.76</v>
      </c>
      <c r="Q83">
        <v>0</v>
      </c>
    </row>
    <row r="84" spans="1:17">
      <c r="A84" t="str">
        <f t="shared" si="8"/>
        <v>12_Dec</v>
      </c>
      <c r="B84">
        <v>376</v>
      </c>
      <c r="C84" t="s">
        <v>127</v>
      </c>
      <c r="F84">
        <v>395570602</v>
      </c>
      <c r="G84" t="s">
        <v>470</v>
      </c>
      <c r="H84" t="s">
        <v>471</v>
      </c>
      <c r="I84" t="s">
        <v>472</v>
      </c>
      <c r="J84" t="s">
        <v>473</v>
      </c>
      <c r="K84">
        <v>201912</v>
      </c>
      <c r="L84" t="s">
        <v>127</v>
      </c>
      <c r="N84">
        <v>2</v>
      </c>
      <c r="O84">
        <v>661.53</v>
      </c>
      <c r="P84">
        <v>330.76499999999999</v>
      </c>
      <c r="Q84">
        <v>0</v>
      </c>
    </row>
    <row r="85" spans="1:17">
      <c r="A85" t="str">
        <f t="shared" si="8"/>
        <v>03_Mar</v>
      </c>
      <c r="B85">
        <v>376</v>
      </c>
      <c r="C85" t="s">
        <v>127</v>
      </c>
      <c r="F85">
        <v>279416891</v>
      </c>
      <c r="G85" t="s">
        <v>470</v>
      </c>
      <c r="H85" t="s">
        <v>471</v>
      </c>
      <c r="I85" t="s">
        <v>472</v>
      </c>
      <c r="J85" t="s">
        <v>473</v>
      </c>
      <c r="K85">
        <v>201903</v>
      </c>
      <c r="L85" t="s">
        <v>127</v>
      </c>
      <c r="N85">
        <v>0</v>
      </c>
      <c r="O85">
        <v>0</v>
      </c>
      <c r="P85">
        <v>0</v>
      </c>
    </row>
    <row r="86" spans="1:17">
      <c r="A86" t="str">
        <f t="shared" si="8"/>
        <v>03_Mar</v>
      </c>
      <c r="B86">
        <v>376</v>
      </c>
      <c r="C86" t="s">
        <v>127</v>
      </c>
      <c r="F86">
        <v>395570602</v>
      </c>
      <c r="G86" t="s">
        <v>470</v>
      </c>
      <c r="H86" t="s">
        <v>471</v>
      </c>
      <c r="I86" t="s">
        <v>472</v>
      </c>
      <c r="J86" t="s">
        <v>473</v>
      </c>
      <c r="K86">
        <v>201903</v>
      </c>
      <c r="L86" t="s">
        <v>127</v>
      </c>
      <c r="N86">
        <v>0</v>
      </c>
      <c r="O86">
        <v>0</v>
      </c>
      <c r="P86">
        <v>0</v>
      </c>
    </row>
    <row r="87" spans="1:17">
      <c r="A87" t="str">
        <f t="shared" si="8"/>
        <v>06_Jun</v>
      </c>
      <c r="B87">
        <v>380</v>
      </c>
      <c r="C87">
        <v>414000001</v>
      </c>
      <c r="F87">
        <v>414658967</v>
      </c>
      <c r="G87" t="s">
        <v>470</v>
      </c>
      <c r="H87" t="s">
        <v>478</v>
      </c>
      <c r="I87" t="s">
        <v>479</v>
      </c>
      <c r="J87" t="s">
        <v>473</v>
      </c>
      <c r="K87">
        <v>201906</v>
      </c>
      <c r="L87" t="s">
        <v>440</v>
      </c>
      <c r="N87">
        <v>2</v>
      </c>
      <c r="O87">
        <v>906245.31</v>
      </c>
      <c r="P87">
        <v>453122.65500000003</v>
      </c>
      <c r="Q87">
        <v>0</v>
      </c>
    </row>
    <row r="88" spans="1:17">
      <c r="A88" t="str">
        <f t="shared" si="8"/>
        <v>07_Jul</v>
      </c>
      <c r="B88">
        <v>380</v>
      </c>
      <c r="C88">
        <v>414000001</v>
      </c>
      <c r="F88">
        <v>414658967</v>
      </c>
      <c r="G88" t="s">
        <v>470</v>
      </c>
      <c r="H88" t="s">
        <v>478</v>
      </c>
      <c r="I88" t="s">
        <v>479</v>
      </c>
      <c r="J88" t="s">
        <v>473</v>
      </c>
      <c r="K88">
        <v>201907</v>
      </c>
      <c r="L88" t="s">
        <v>440</v>
      </c>
      <c r="N88">
        <v>2</v>
      </c>
      <c r="O88">
        <v>704122.58</v>
      </c>
      <c r="P88">
        <v>352061.29</v>
      </c>
      <c r="Q88">
        <v>0</v>
      </c>
    </row>
    <row r="89" spans="1:17">
      <c r="A89" t="str">
        <f t="shared" si="8"/>
        <v>05_May</v>
      </c>
      <c r="B89">
        <v>380</v>
      </c>
      <c r="C89">
        <v>414000001</v>
      </c>
      <c r="F89">
        <v>414658967</v>
      </c>
      <c r="G89" t="s">
        <v>470</v>
      </c>
      <c r="H89" t="s">
        <v>478</v>
      </c>
      <c r="I89" t="s">
        <v>479</v>
      </c>
      <c r="J89" t="s">
        <v>473</v>
      </c>
      <c r="K89">
        <v>201905</v>
      </c>
      <c r="L89" t="s">
        <v>440</v>
      </c>
      <c r="N89">
        <v>2</v>
      </c>
      <c r="O89">
        <v>755002.67</v>
      </c>
      <c r="P89">
        <v>377501.33500000002</v>
      </c>
      <c r="Q89">
        <v>0</v>
      </c>
    </row>
    <row r="90" spans="1:17">
      <c r="A90" t="str">
        <f t="shared" si="8"/>
        <v>09_Sep</v>
      </c>
      <c r="B90">
        <v>380</v>
      </c>
      <c r="C90">
        <v>414000001</v>
      </c>
      <c r="F90">
        <v>414658967</v>
      </c>
      <c r="G90" t="s">
        <v>470</v>
      </c>
      <c r="H90" t="s">
        <v>478</v>
      </c>
      <c r="I90" t="s">
        <v>479</v>
      </c>
      <c r="J90" t="s">
        <v>473</v>
      </c>
      <c r="K90">
        <v>201909</v>
      </c>
      <c r="L90" t="s">
        <v>440</v>
      </c>
      <c r="N90">
        <v>2</v>
      </c>
      <c r="O90">
        <v>780073.36</v>
      </c>
      <c r="P90">
        <v>390036.68</v>
      </c>
      <c r="Q90">
        <v>0</v>
      </c>
    </row>
    <row r="91" spans="1:17">
      <c r="A91" t="str">
        <f t="shared" si="8"/>
        <v>04_Apr</v>
      </c>
      <c r="B91">
        <v>380</v>
      </c>
      <c r="C91">
        <v>414000001</v>
      </c>
      <c r="F91">
        <v>414658967</v>
      </c>
      <c r="G91" t="s">
        <v>470</v>
      </c>
      <c r="H91" t="s">
        <v>478</v>
      </c>
      <c r="I91" t="s">
        <v>479</v>
      </c>
      <c r="J91" t="s">
        <v>473</v>
      </c>
      <c r="K91">
        <v>201904</v>
      </c>
      <c r="L91" t="s">
        <v>440</v>
      </c>
      <c r="N91">
        <v>2</v>
      </c>
      <c r="O91">
        <v>2843402.61</v>
      </c>
      <c r="P91">
        <v>1421701.3049999999</v>
      </c>
      <c r="Q91">
        <v>0</v>
      </c>
    </row>
    <row r="92" spans="1:17">
      <c r="A92" t="str">
        <f t="shared" si="8"/>
        <v>08_Aug</v>
      </c>
      <c r="B92">
        <v>380</v>
      </c>
      <c r="C92">
        <v>414000001</v>
      </c>
      <c r="F92">
        <v>414658967</v>
      </c>
      <c r="G92" t="s">
        <v>470</v>
      </c>
      <c r="H92" t="s">
        <v>478</v>
      </c>
      <c r="I92" t="s">
        <v>479</v>
      </c>
      <c r="J92" t="s">
        <v>473</v>
      </c>
      <c r="K92">
        <v>201908</v>
      </c>
      <c r="L92" t="s">
        <v>440</v>
      </c>
      <c r="N92">
        <v>2</v>
      </c>
      <c r="O92">
        <v>791386.81</v>
      </c>
      <c r="P92">
        <v>395693.40500000003</v>
      </c>
      <c r="Q92">
        <v>0</v>
      </c>
    </row>
    <row r="93" spans="1:17">
      <c r="A93" t="str">
        <f t="shared" si="8"/>
        <v>10_Oct</v>
      </c>
      <c r="B93">
        <v>380</v>
      </c>
      <c r="C93">
        <v>414000001</v>
      </c>
      <c r="F93">
        <v>414658967</v>
      </c>
      <c r="G93" t="s">
        <v>470</v>
      </c>
      <c r="H93" t="s">
        <v>478</v>
      </c>
      <c r="I93" t="s">
        <v>479</v>
      </c>
      <c r="J93" t="s">
        <v>473</v>
      </c>
      <c r="K93">
        <v>201910</v>
      </c>
      <c r="L93" t="s">
        <v>440</v>
      </c>
      <c r="N93">
        <v>2</v>
      </c>
      <c r="O93">
        <v>678227.19</v>
      </c>
      <c r="P93">
        <v>339113.59499999997</v>
      </c>
      <c r="Q93">
        <v>0</v>
      </c>
    </row>
    <row r="94" spans="1:17">
      <c r="A94" t="str">
        <f t="shared" si="8"/>
        <v>12_Dec</v>
      </c>
      <c r="B94">
        <v>380</v>
      </c>
      <c r="C94">
        <v>414000001</v>
      </c>
      <c r="F94">
        <v>414658967</v>
      </c>
      <c r="G94" t="s">
        <v>470</v>
      </c>
      <c r="H94" t="s">
        <v>478</v>
      </c>
      <c r="I94" t="s">
        <v>479</v>
      </c>
      <c r="J94" t="s">
        <v>473</v>
      </c>
      <c r="K94">
        <v>201912</v>
      </c>
      <c r="L94" t="s">
        <v>440</v>
      </c>
      <c r="N94">
        <v>2</v>
      </c>
      <c r="O94">
        <v>739148.52</v>
      </c>
      <c r="P94">
        <v>369574.26</v>
      </c>
      <c r="Q94">
        <v>0</v>
      </c>
    </row>
    <row r="95" spans="1:17">
      <c r="A95" s="365" t="str">
        <f t="shared" si="8"/>
        <v>11_Nov</v>
      </c>
      <c r="B95" s="365">
        <v>380</v>
      </c>
      <c r="C95" s="365">
        <v>414000001</v>
      </c>
      <c r="F95">
        <v>414658967</v>
      </c>
      <c r="G95" t="s">
        <v>470</v>
      </c>
      <c r="H95" t="s">
        <v>478</v>
      </c>
      <c r="I95" t="s">
        <v>479</v>
      </c>
      <c r="J95" t="s">
        <v>473</v>
      </c>
      <c r="K95">
        <v>201911</v>
      </c>
      <c r="L95" t="s">
        <v>440</v>
      </c>
      <c r="N95">
        <v>2</v>
      </c>
      <c r="O95" s="365">
        <v>1048351.57</v>
      </c>
      <c r="P95" s="365">
        <v>524175.78499999997</v>
      </c>
      <c r="Q95">
        <v>0</v>
      </c>
    </row>
    <row r="96" spans="1:17">
      <c r="A96" t="str">
        <f t="shared" si="8"/>
        <v>05_May</v>
      </c>
      <c r="B96">
        <v>380</v>
      </c>
      <c r="C96" t="s">
        <v>111</v>
      </c>
      <c r="F96">
        <v>411220508</v>
      </c>
      <c r="G96" t="s">
        <v>470</v>
      </c>
      <c r="H96" t="s">
        <v>478</v>
      </c>
      <c r="I96" t="s">
        <v>479</v>
      </c>
      <c r="J96" t="s">
        <v>473</v>
      </c>
      <c r="K96">
        <v>201905</v>
      </c>
      <c r="L96" t="s">
        <v>480</v>
      </c>
      <c r="N96">
        <v>2</v>
      </c>
      <c r="O96">
        <v>314241.31</v>
      </c>
      <c r="P96">
        <v>157120.655</v>
      </c>
      <c r="Q96">
        <v>0</v>
      </c>
    </row>
    <row r="97" spans="1:17">
      <c r="A97" t="str">
        <f t="shared" si="8"/>
        <v>06_Jun</v>
      </c>
      <c r="B97">
        <v>380</v>
      </c>
      <c r="C97" t="s">
        <v>111</v>
      </c>
      <c r="F97">
        <v>411220508</v>
      </c>
      <c r="G97" t="s">
        <v>470</v>
      </c>
      <c r="H97" t="s">
        <v>478</v>
      </c>
      <c r="I97" t="s">
        <v>479</v>
      </c>
      <c r="J97" t="s">
        <v>473</v>
      </c>
      <c r="K97">
        <v>201906</v>
      </c>
      <c r="L97" t="s">
        <v>480</v>
      </c>
      <c r="N97">
        <v>2</v>
      </c>
      <c r="O97">
        <v>180309.94</v>
      </c>
      <c r="P97">
        <v>90154.97</v>
      </c>
      <c r="Q97">
        <v>0</v>
      </c>
    </row>
    <row r="98" spans="1:17">
      <c r="A98" t="str">
        <f t="shared" si="8"/>
        <v>09_Sep</v>
      </c>
      <c r="B98">
        <v>380</v>
      </c>
      <c r="C98" t="s">
        <v>111</v>
      </c>
      <c r="F98">
        <v>411220508</v>
      </c>
      <c r="G98" t="s">
        <v>470</v>
      </c>
      <c r="H98" t="s">
        <v>478</v>
      </c>
      <c r="I98" t="s">
        <v>479</v>
      </c>
      <c r="J98" t="s">
        <v>473</v>
      </c>
      <c r="K98">
        <v>201909</v>
      </c>
      <c r="L98" t="s">
        <v>480</v>
      </c>
      <c r="N98">
        <v>2</v>
      </c>
      <c r="O98">
        <v>209453.17</v>
      </c>
      <c r="P98">
        <v>104726.58500000001</v>
      </c>
      <c r="Q98">
        <v>0</v>
      </c>
    </row>
    <row r="99" spans="1:17">
      <c r="A99" t="str">
        <f t="shared" si="8"/>
        <v>11_Nov</v>
      </c>
      <c r="B99">
        <v>380</v>
      </c>
      <c r="C99" t="s">
        <v>111</v>
      </c>
      <c r="F99">
        <v>411220508</v>
      </c>
      <c r="G99" t="s">
        <v>470</v>
      </c>
      <c r="H99" t="s">
        <v>478</v>
      </c>
      <c r="I99" t="s">
        <v>479</v>
      </c>
      <c r="J99" t="s">
        <v>473</v>
      </c>
      <c r="K99">
        <v>201911</v>
      </c>
      <c r="L99" t="s">
        <v>480</v>
      </c>
      <c r="N99">
        <v>2</v>
      </c>
      <c r="O99">
        <v>152162.60999999999</v>
      </c>
      <c r="P99">
        <v>76081.304999999993</v>
      </c>
      <c r="Q99">
        <v>0</v>
      </c>
    </row>
    <row r="100" spans="1:17">
      <c r="A100" t="str">
        <f t="shared" si="8"/>
        <v>08_Aug</v>
      </c>
      <c r="B100">
        <v>380</v>
      </c>
      <c r="C100" t="s">
        <v>111</v>
      </c>
      <c r="F100">
        <v>411220508</v>
      </c>
      <c r="G100" t="s">
        <v>470</v>
      </c>
      <c r="H100" t="s">
        <v>478</v>
      </c>
      <c r="I100" t="s">
        <v>479</v>
      </c>
      <c r="J100" t="s">
        <v>473</v>
      </c>
      <c r="K100">
        <v>201908</v>
      </c>
      <c r="L100" t="s">
        <v>480</v>
      </c>
      <c r="N100">
        <v>-8</v>
      </c>
      <c r="O100">
        <v>-1786803.57</v>
      </c>
      <c r="P100">
        <v>223350.44625000001</v>
      </c>
      <c r="Q100">
        <v>0</v>
      </c>
    </row>
    <row r="101" spans="1:17">
      <c r="A101" t="str">
        <f t="shared" si="8"/>
        <v>10_Oct</v>
      </c>
      <c r="B101">
        <v>380</v>
      </c>
      <c r="C101" t="s">
        <v>111</v>
      </c>
      <c r="F101">
        <v>411220508</v>
      </c>
      <c r="G101" t="s">
        <v>470</v>
      </c>
      <c r="H101" t="s">
        <v>478</v>
      </c>
      <c r="I101" t="s">
        <v>479</v>
      </c>
      <c r="J101" t="s">
        <v>473</v>
      </c>
      <c r="K101">
        <v>201910</v>
      </c>
      <c r="L101" t="s">
        <v>480</v>
      </c>
      <c r="N101">
        <v>2</v>
      </c>
      <c r="O101">
        <v>248626.05</v>
      </c>
      <c r="P101">
        <v>124313.02499999999</v>
      </c>
      <c r="Q101">
        <v>0</v>
      </c>
    </row>
    <row r="102" spans="1:17">
      <c r="A102" t="str">
        <f t="shared" si="8"/>
        <v>04_Apr</v>
      </c>
      <c r="B102">
        <v>380</v>
      </c>
      <c r="C102" t="s">
        <v>111</v>
      </c>
      <c r="F102">
        <v>411220508</v>
      </c>
      <c r="G102" t="s">
        <v>470</v>
      </c>
      <c r="H102" t="s">
        <v>478</v>
      </c>
      <c r="I102" t="s">
        <v>479</v>
      </c>
      <c r="J102" t="s">
        <v>473</v>
      </c>
      <c r="K102">
        <v>201904</v>
      </c>
      <c r="L102" t="s">
        <v>480</v>
      </c>
      <c r="N102">
        <v>2</v>
      </c>
      <c r="O102">
        <v>269152.17</v>
      </c>
      <c r="P102">
        <v>134576.08499999999</v>
      </c>
      <c r="Q102">
        <v>0</v>
      </c>
    </row>
    <row r="103" spans="1:17">
      <c r="A103" t="str">
        <f t="shared" si="8"/>
        <v>08_Aug</v>
      </c>
      <c r="B103">
        <v>380</v>
      </c>
      <c r="C103" t="s">
        <v>111</v>
      </c>
      <c r="F103">
        <v>452731400</v>
      </c>
      <c r="G103" t="s">
        <v>470</v>
      </c>
      <c r="H103" t="s">
        <v>478</v>
      </c>
      <c r="I103" t="s">
        <v>479</v>
      </c>
      <c r="J103" t="s">
        <v>474</v>
      </c>
      <c r="K103">
        <v>201908</v>
      </c>
      <c r="L103" t="s">
        <v>480</v>
      </c>
      <c r="N103">
        <v>6</v>
      </c>
      <c r="O103">
        <v>63151.42</v>
      </c>
      <c r="P103">
        <v>10525.2366666667</v>
      </c>
      <c r="Q103">
        <v>0</v>
      </c>
    </row>
    <row r="104" spans="1:17">
      <c r="A104" t="str">
        <f t="shared" si="8"/>
        <v>08_Aug</v>
      </c>
      <c r="B104">
        <v>380</v>
      </c>
      <c r="C104" t="s">
        <v>111</v>
      </c>
      <c r="F104">
        <v>452731391</v>
      </c>
      <c r="G104" t="s">
        <v>470</v>
      </c>
      <c r="H104" t="s">
        <v>478</v>
      </c>
      <c r="I104" t="s">
        <v>479</v>
      </c>
      <c r="J104" t="s">
        <v>474</v>
      </c>
      <c r="K104">
        <v>201908</v>
      </c>
      <c r="L104" t="s">
        <v>480</v>
      </c>
      <c r="N104">
        <v>78</v>
      </c>
      <c r="O104">
        <v>444083.39</v>
      </c>
      <c r="P104">
        <v>5693.3767948717996</v>
      </c>
      <c r="Q104">
        <v>0</v>
      </c>
    </row>
    <row r="105" spans="1:17">
      <c r="A105" t="str">
        <f t="shared" si="8"/>
        <v>08_Aug</v>
      </c>
      <c r="B105">
        <v>380</v>
      </c>
      <c r="C105" t="s">
        <v>111</v>
      </c>
      <c r="F105">
        <v>452731374</v>
      </c>
      <c r="G105" t="s">
        <v>470</v>
      </c>
      <c r="H105" t="s">
        <v>478</v>
      </c>
      <c r="I105" t="s">
        <v>479</v>
      </c>
      <c r="J105" t="s">
        <v>474</v>
      </c>
      <c r="K105">
        <v>201908</v>
      </c>
      <c r="L105" t="s">
        <v>480</v>
      </c>
      <c r="N105">
        <v>396</v>
      </c>
      <c r="O105">
        <v>1324952.23</v>
      </c>
      <c r="P105">
        <v>3345.8389646464602</v>
      </c>
      <c r="Q105">
        <v>0</v>
      </c>
    </row>
    <row r="106" spans="1:17">
      <c r="A106" t="str">
        <f t="shared" si="8"/>
        <v>07_Jul</v>
      </c>
      <c r="B106">
        <v>380</v>
      </c>
      <c r="C106" t="s">
        <v>111</v>
      </c>
      <c r="F106">
        <v>411220508</v>
      </c>
      <c r="G106" t="s">
        <v>470</v>
      </c>
      <c r="H106" t="s">
        <v>478</v>
      </c>
      <c r="I106" t="s">
        <v>479</v>
      </c>
      <c r="J106" t="s">
        <v>473</v>
      </c>
      <c r="K106">
        <v>201907</v>
      </c>
      <c r="L106" t="s">
        <v>480</v>
      </c>
      <c r="N106">
        <v>2</v>
      </c>
      <c r="O106">
        <v>216193.19</v>
      </c>
      <c r="P106">
        <v>108096.595</v>
      </c>
      <c r="Q106">
        <v>0</v>
      </c>
    </row>
    <row r="107" spans="1:17">
      <c r="A107" t="str">
        <f t="shared" si="8"/>
        <v>03_Mar</v>
      </c>
      <c r="B107">
        <v>380</v>
      </c>
      <c r="C107" t="s">
        <v>111</v>
      </c>
      <c r="F107">
        <v>411220508</v>
      </c>
      <c r="G107" t="s">
        <v>470</v>
      </c>
      <c r="H107" t="s">
        <v>478</v>
      </c>
      <c r="I107" t="s">
        <v>479</v>
      </c>
      <c r="J107" t="s">
        <v>473</v>
      </c>
      <c r="K107">
        <v>201903</v>
      </c>
      <c r="L107" t="s">
        <v>480</v>
      </c>
      <c r="N107">
        <v>2</v>
      </c>
      <c r="O107">
        <v>1054768.6599999999</v>
      </c>
      <c r="P107">
        <v>527384.32999999996</v>
      </c>
      <c r="Q107">
        <v>0</v>
      </c>
    </row>
    <row r="108" spans="1:17">
      <c r="A108" t="str">
        <f t="shared" si="8"/>
        <v>12_Dec</v>
      </c>
      <c r="B108">
        <v>380</v>
      </c>
      <c r="C108" t="s">
        <v>111</v>
      </c>
      <c r="F108">
        <v>411220508</v>
      </c>
      <c r="G108" t="s">
        <v>470</v>
      </c>
      <c r="H108" t="s">
        <v>478</v>
      </c>
      <c r="I108" t="s">
        <v>479</v>
      </c>
      <c r="J108" t="s">
        <v>473</v>
      </c>
      <c r="K108">
        <v>201912</v>
      </c>
      <c r="L108" t="s">
        <v>480</v>
      </c>
      <c r="N108">
        <v>2</v>
      </c>
      <c r="O108">
        <v>132148.76</v>
      </c>
      <c r="P108">
        <v>66074.38</v>
      </c>
      <c r="Q108">
        <v>0</v>
      </c>
    </row>
    <row r="109" spans="1:17">
      <c r="A109" t="str">
        <f t="shared" si="8"/>
        <v>08_Aug</v>
      </c>
      <c r="B109">
        <v>380</v>
      </c>
      <c r="C109" t="s">
        <v>111</v>
      </c>
      <c r="F109">
        <v>452731409</v>
      </c>
      <c r="G109" t="s">
        <v>470</v>
      </c>
      <c r="H109" t="s">
        <v>478</v>
      </c>
      <c r="I109" t="s">
        <v>479</v>
      </c>
      <c r="J109" t="s">
        <v>474</v>
      </c>
      <c r="K109">
        <v>201908</v>
      </c>
      <c r="L109" t="s">
        <v>480</v>
      </c>
      <c r="N109">
        <v>14</v>
      </c>
      <c r="O109">
        <v>157730.16</v>
      </c>
      <c r="P109">
        <v>11266.44</v>
      </c>
      <c r="Q109">
        <v>0</v>
      </c>
    </row>
    <row r="110" spans="1:17">
      <c r="A110" t="str">
        <f t="shared" si="8"/>
        <v>03_Mar</v>
      </c>
      <c r="B110">
        <v>380</v>
      </c>
      <c r="C110" t="s">
        <v>113</v>
      </c>
      <c r="F110">
        <v>392799787</v>
      </c>
      <c r="G110" t="s">
        <v>470</v>
      </c>
      <c r="H110" t="s">
        <v>478</v>
      </c>
      <c r="I110" t="s">
        <v>479</v>
      </c>
      <c r="J110" t="s">
        <v>474</v>
      </c>
      <c r="K110">
        <v>201903</v>
      </c>
      <c r="L110" t="s">
        <v>113</v>
      </c>
      <c r="N110">
        <v>0</v>
      </c>
      <c r="O110">
        <v>0</v>
      </c>
      <c r="P110">
        <v>0</v>
      </c>
    </row>
    <row r="111" spans="1:17">
      <c r="A111" t="str">
        <f t="shared" si="8"/>
        <v>03_Mar</v>
      </c>
      <c r="B111">
        <v>380</v>
      </c>
      <c r="C111" t="s">
        <v>113</v>
      </c>
      <c r="F111">
        <v>392799720</v>
      </c>
      <c r="G111" t="s">
        <v>470</v>
      </c>
      <c r="H111" t="s">
        <v>478</v>
      </c>
      <c r="I111" t="s">
        <v>479</v>
      </c>
      <c r="J111" t="s">
        <v>474</v>
      </c>
      <c r="K111">
        <v>201903</v>
      </c>
      <c r="L111" t="s">
        <v>113</v>
      </c>
      <c r="N111">
        <v>0</v>
      </c>
      <c r="O111">
        <v>0</v>
      </c>
      <c r="P111">
        <v>0</v>
      </c>
    </row>
    <row r="112" spans="1:17">
      <c r="A112" t="str">
        <f t="shared" si="8"/>
        <v>03_Mar</v>
      </c>
      <c r="B112">
        <v>380</v>
      </c>
      <c r="C112" t="s">
        <v>113</v>
      </c>
      <c r="F112">
        <v>392799778</v>
      </c>
      <c r="G112" t="s">
        <v>470</v>
      </c>
      <c r="H112" t="s">
        <v>478</v>
      </c>
      <c r="I112" t="s">
        <v>479</v>
      </c>
      <c r="J112" t="s">
        <v>474</v>
      </c>
      <c r="K112">
        <v>201903</v>
      </c>
      <c r="L112" t="s">
        <v>113</v>
      </c>
      <c r="N112">
        <v>0</v>
      </c>
      <c r="O112">
        <v>0</v>
      </c>
      <c r="P112">
        <v>0</v>
      </c>
    </row>
    <row r="113" spans="1:17">
      <c r="A113" t="str">
        <f t="shared" si="8"/>
        <v>03_Mar</v>
      </c>
      <c r="B113">
        <v>380</v>
      </c>
      <c r="C113" t="s">
        <v>113</v>
      </c>
      <c r="F113">
        <v>392799769</v>
      </c>
      <c r="G113" t="s">
        <v>470</v>
      </c>
      <c r="H113" t="s">
        <v>478</v>
      </c>
      <c r="I113" t="s">
        <v>479</v>
      </c>
      <c r="J113" t="s">
        <v>474</v>
      </c>
      <c r="K113">
        <v>201903</v>
      </c>
      <c r="L113" t="s">
        <v>113</v>
      </c>
      <c r="N113">
        <v>0</v>
      </c>
      <c r="O113">
        <v>0</v>
      </c>
      <c r="P113">
        <v>0</v>
      </c>
    </row>
    <row r="114" spans="1:17">
      <c r="A114" t="str">
        <f t="shared" si="8"/>
        <v>03_Mar</v>
      </c>
      <c r="B114">
        <v>380</v>
      </c>
      <c r="C114" t="s">
        <v>113</v>
      </c>
      <c r="F114">
        <v>310966583</v>
      </c>
      <c r="G114" t="s">
        <v>470</v>
      </c>
      <c r="H114" t="s">
        <v>478</v>
      </c>
      <c r="I114" t="s">
        <v>479</v>
      </c>
      <c r="J114" t="s">
        <v>473</v>
      </c>
      <c r="K114">
        <v>201903</v>
      </c>
      <c r="L114" t="s">
        <v>113</v>
      </c>
      <c r="N114">
        <v>0</v>
      </c>
      <c r="O114">
        <v>0</v>
      </c>
      <c r="P114">
        <v>0</v>
      </c>
    </row>
    <row r="115" spans="1:17">
      <c r="A115" t="str">
        <f t="shared" si="8"/>
        <v>03_Mar</v>
      </c>
      <c r="B115">
        <v>380</v>
      </c>
      <c r="C115" t="s">
        <v>113</v>
      </c>
      <c r="F115">
        <v>397871508</v>
      </c>
      <c r="G115" t="s">
        <v>470</v>
      </c>
      <c r="H115" t="s">
        <v>478</v>
      </c>
      <c r="I115" t="s">
        <v>479</v>
      </c>
      <c r="J115" t="s">
        <v>473</v>
      </c>
      <c r="K115">
        <v>201903</v>
      </c>
      <c r="L115" t="s">
        <v>113</v>
      </c>
      <c r="N115">
        <v>0</v>
      </c>
      <c r="O115">
        <v>0</v>
      </c>
      <c r="P115">
        <v>0</v>
      </c>
    </row>
    <row r="116" spans="1:17">
      <c r="A116" t="str">
        <f t="shared" si="8"/>
        <v>01_Jan</v>
      </c>
      <c r="B116">
        <v>380</v>
      </c>
      <c r="C116" t="s">
        <v>113</v>
      </c>
      <c r="F116">
        <v>405402253</v>
      </c>
      <c r="G116" t="s">
        <v>470</v>
      </c>
      <c r="H116" t="s">
        <v>478</v>
      </c>
      <c r="I116" t="s">
        <v>479</v>
      </c>
      <c r="J116" t="s">
        <v>473</v>
      </c>
      <c r="K116">
        <v>201901</v>
      </c>
      <c r="L116" t="s">
        <v>113</v>
      </c>
      <c r="N116">
        <v>1</v>
      </c>
      <c r="O116">
        <v>-1207.02</v>
      </c>
      <c r="P116">
        <v>-1207.02</v>
      </c>
      <c r="Q116">
        <v>0</v>
      </c>
    </row>
    <row r="117" spans="1:17">
      <c r="A117" t="str">
        <f t="shared" si="8"/>
        <v>01_Jan</v>
      </c>
      <c r="B117">
        <v>380</v>
      </c>
      <c r="C117" t="s">
        <v>113</v>
      </c>
      <c r="F117">
        <v>405402262</v>
      </c>
      <c r="G117" t="s">
        <v>470</v>
      </c>
      <c r="H117" t="s">
        <v>478</v>
      </c>
      <c r="I117" t="s">
        <v>479</v>
      </c>
      <c r="J117" t="s">
        <v>473</v>
      </c>
      <c r="K117">
        <v>201901</v>
      </c>
      <c r="L117" t="s">
        <v>113</v>
      </c>
      <c r="N117">
        <v>1</v>
      </c>
      <c r="O117">
        <v>-1206.99</v>
      </c>
      <c r="P117">
        <v>-1206.99</v>
      </c>
      <c r="Q117">
        <v>0</v>
      </c>
    </row>
    <row r="118" spans="1:17">
      <c r="A118" t="str">
        <f t="shared" si="8"/>
        <v>08_Aug</v>
      </c>
      <c r="B118">
        <v>380</v>
      </c>
      <c r="C118" t="s">
        <v>113</v>
      </c>
      <c r="F118">
        <v>452731374</v>
      </c>
      <c r="G118" t="s">
        <v>470</v>
      </c>
      <c r="H118" t="s">
        <v>478</v>
      </c>
      <c r="I118" t="s">
        <v>479</v>
      </c>
      <c r="J118" t="s">
        <v>474</v>
      </c>
      <c r="K118">
        <v>201908</v>
      </c>
      <c r="L118" t="s">
        <v>481</v>
      </c>
      <c r="N118">
        <v>12</v>
      </c>
      <c r="O118">
        <v>53376.03</v>
      </c>
      <c r="P118">
        <v>4448.0024999999996</v>
      </c>
      <c r="Q118">
        <v>0</v>
      </c>
    </row>
    <row r="119" spans="1:17">
      <c r="A119" t="str">
        <f t="shared" ref="A119:A182" si="9">IF(ISERROR(VLOOKUP(K119,$T$55:$U$66,2,FALSE)),"",VLOOKUP(K119,$T$55:$U$66,2,FALSE))</f>
        <v>08_Aug</v>
      </c>
      <c r="B119">
        <v>380</v>
      </c>
      <c r="C119" t="s">
        <v>113</v>
      </c>
      <c r="F119">
        <v>405402280</v>
      </c>
      <c r="G119" t="s">
        <v>470</v>
      </c>
      <c r="H119" t="s">
        <v>478</v>
      </c>
      <c r="I119" t="s">
        <v>479</v>
      </c>
      <c r="J119" t="s">
        <v>473</v>
      </c>
      <c r="K119">
        <v>201908</v>
      </c>
      <c r="L119" t="s">
        <v>481</v>
      </c>
      <c r="N119">
        <v>-10</v>
      </c>
      <c r="O119">
        <v>-55296.5</v>
      </c>
      <c r="P119">
        <v>5529.65</v>
      </c>
      <c r="Q119">
        <v>0</v>
      </c>
    </row>
    <row r="120" spans="1:17">
      <c r="A120" t="str">
        <f t="shared" si="9"/>
        <v>09_Sep</v>
      </c>
      <c r="B120">
        <v>380</v>
      </c>
      <c r="C120" t="s">
        <v>113</v>
      </c>
      <c r="F120">
        <v>405402280</v>
      </c>
      <c r="G120" t="s">
        <v>470</v>
      </c>
      <c r="H120" t="s">
        <v>478</v>
      </c>
      <c r="I120" t="s">
        <v>479</v>
      </c>
      <c r="J120" t="s">
        <v>473</v>
      </c>
      <c r="K120">
        <v>201909</v>
      </c>
      <c r="L120" t="s">
        <v>481</v>
      </c>
      <c r="N120">
        <v>2</v>
      </c>
      <c r="O120">
        <v>2027.89</v>
      </c>
      <c r="P120">
        <v>1013.9450000000001</v>
      </c>
      <c r="Q120">
        <v>0</v>
      </c>
    </row>
    <row r="121" spans="1:17">
      <c r="A121" t="str">
        <f t="shared" si="9"/>
        <v>12_Dec</v>
      </c>
      <c r="B121">
        <v>380</v>
      </c>
      <c r="C121" t="s">
        <v>113</v>
      </c>
      <c r="F121">
        <v>405402280</v>
      </c>
      <c r="G121" t="s">
        <v>470</v>
      </c>
      <c r="H121" t="s">
        <v>478</v>
      </c>
      <c r="I121" t="s">
        <v>479</v>
      </c>
      <c r="J121" t="s">
        <v>473</v>
      </c>
      <c r="K121">
        <v>201912</v>
      </c>
      <c r="L121" t="s">
        <v>481</v>
      </c>
      <c r="N121">
        <v>2</v>
      </c>
      <c r="O121">
        <v>11487.86</v>
      </c>
      <c r="P121">
        <v>5743.93</v>
      </c>
      <c r="Q121">
        <v>0</v>
      </c>
    </row>
    <row r="122" spans="1:17">
      <c r="A122" t="str">
        <f t="shared" si="9"/>
        <v>06_Jun</v>
      </c>
      <c r="B122">
        <v>380</v>
      </c>
      <c r="C122" t="s">
        <v>113</v>
      </c>
      <c r="F122">
        <v>405402280</v>
      </c>
      <c r="G122" t="s">
        <v>470</v>
      </c>
      <c r="H122" t="s">
        <v>478</v>
      </c>
      <c r="I122" t="s">
        <v>479</v>
      </c>
      <c r="J122" t="s">
        <v>473</v>
      </c>
      <c r="K122">
        <v>201906</v>
      </c>
      <c r="L122" t="s">
        <v>481</v>
      </c>
      <c r="N122">
        <v>2</v>
      </c>
      <c r="O122">
        <v>19087.150000000001</v>
      </c>
      <c r="P122">
        <v>9543.5750000000007</v>
      </c>
      <c r="Q122">
        <v>0</v>
      </c>
    </row>
    <row r="123" spans="1:17">
      <c r="A123" t="str">
        <f t="shared" si="9"/>
        <v>07_Jul</v>
      </c>
      <c r="B123">
        <v>380</v>
      </c>
      <c r="C123" t="s">
        <v>113</v>
      </c>
      <c r="F123">
        <v>405402280</v>
      </c>
      <c r="G123" t="s">
        <v>470</v>
      </c>
      <c r="H123" t="s">
        <v>478</v>
      </c>
      <c r="I123" t="s">
        <v>479</v>
      </c>
      <c r="J123" t="s">
        <v>473</v>
      </c>
      <c r="K123">
        <v>201907</v>
      </c>
      <c r="L123" t="s">
        <v>481</v>
      </c>
      <c r="N123">
        <v>2</v>
      </c>
      <c r="O123">
        <v>9034.86</v>
      </c>
      <c r="P123">
        <v>4517.43</v>
      </c>
      <c r="Q123">
        <v>0</v>
      </c>
    </row>
    <row r="124" spans="1:17">
      <c r="A124" t="str">
        <f t="shared" si="9"/>
        <v>11_Nov</v>
      </c>
      <c r="B124">
        <v>380</v>
      </c>
      <c r="C124" t="s">
        <v>113</v>
      </c>
      <c r="F124">
        <v>405402280</v>
      </c>
      <c r="G124" t="s">
        <v>470</v>
      </c>
      <c r="H124" t="s">
        <v>478</v>
      </c>
      <c r="I124" t="s">
        <v>479</v>
      </c>
      <c r="J124" t="s">
        <v>473</v>
      </c>
      <c r="K124">
        <v>201911</v>
      </c>
      <c r="L124" t="s">
        <v>481</v>
      </c>
      <c r="N124">
        <v>2</v>
      </c>
      <c r="O124">
        <v>4403.7299999999996</v>
      </c>
      <c r="P124">
        <v>2201.8649999999998</v>
      </c>
      <c r="Q124">
        <v>0</v>
      </c>
    </row>
    <row r="125" spans="1:17">
      <c r="A125" t="str">
        <f t="shared" si="9"/>
        <v>04_Apr</v>
      </c>
      <c r="B125">
        <v>380</v>
      </c>
      <c r="C125" t="s">
        <v>113</v>
      </c>
      <c r="F125">
        <v>405402280</v>
      </c>
      <c r="G125" t="s">
        <v>470</v>
      </c>
      <c r="H125" t="s">
        <v>478</v>
      </c>
      <c r="I125" t="s">
        <v>479</v>
      </c>
      <c r="J125" t="s">
        <v>473</v>
      </c>
      <c r="K125">
        <v>201904</v>
      </c>
      <c r="L125" t="s">
        <v>481</v>
      </c>
      <c r="N125">
        <v>2</v>
      </c>
      <c r="O125">
        <v>6316.84</v>
      </c>
      <c r="P125">
        <v>3158.42</v>
      </c>
      <c r="Q125">
        <v>0</v>
      </c>
    </row>
    <row r="126" spans="1:17">
      <c r="A126" t="str">
        <f t="shared" si="9"/>
        <v>10_Oct</v>
      </c>
      <c r="B126">
        <v>380</v>
      </c>
      <c r="C126" t="s">
        <v>113</v>
      </c>
      <c r="F126">
        <v>405402280</v>
      </c>
      <c r="G126" t="s">
        <v>470</v>
      </c>
      <c r="H126" t="s">
        <v>478</v>
      </c>
      <c r="I126" t="s">
        <v>479</v>
      </c>
      <c r="J126" t="s">
        <v>473</v>
      </c>
      <c r="K126">
        <v>201910</v>
      </c>
      <c r="L126" t="s">
        <v>481</v>
      </c>
      <c r="N126">
        <v>2</v>
      </c>
      <c r="O126">
        <v>2163.19</v>
      </c>
      <c r="P126">
        <v>1081.595</v>
      </c>
      <c r="Q126">
        <v>0</v>
      </c>
    </row>
    <row r="127" spans="1:17">
      <c r="A127" t="str">
        <f t="shared" si="9"/>
        <v>01_Jan</v>
      </c>
      <c r="B127">
        <v>380</v>
      </c>
      <c r="C127" t="s">
        <v>113</v>
      </c>
      <c r="F127">
        <v>405402280</v>
      </c>
      <c r="G127" t="s">
        <v>470</v>
      </c>
      <c r="H127" t="s">
        <v>478</v>
      </c>
      <c r="I127" t="s">
        <v>479</v>
      </c>
      <c r="J127" t="s">
        <v>473</v>
      </c>
      <c r="K127">
        <v>201901</v>
      </c>
      <c r="L127" t="s">
        <v>481</v>
      </c>
      <c r="N127">
        <v>2</v>
      </c>
      <c r="O127">
        <v>10759.98</v>
      </c>
      <c r="P127">
        <v>5379.99</v>
      </c>
      <c r="Q127">
        <v>0</v>
      </c>
    </row>
    <row r="128" spans="1:17">
      <c r="A128" t="str">
        <f t="shared" si="9"/>
        <v>05_May</v>
      </c>
      <c r="B128">
        <v>380</v>
      </c>
      <c r="C128" t="s">
        <v>113</v>
      </c>
      <c r="F128">
        <v>405402280</v>
      </c>
      <c r="G128" t="s">
        <v>470</v>
      </c>
      <c r="H128" t="s">
        <v>478</v>
      </c>
      <c r="I128" t="s">
        <v>479</v>
      </c>
      <c r="J128" t="s">
        <v>473</v>
      </c>
      <c r="K128">
        <v>201905</v>
      </c>
      <c r="L128" t="s">
        <v>481</v>
      </c>
      <c r="N128">
        <v>2</v>
      </c>
      <c r="O128">
        <v>8709.7900000000009</v>
      </c>
      <c r="P128">
        <v>4354.8950000000004</v>
      </c>
      <c r="Q128">
        <v>0</v>
      </c>
    </row>
    <row r="129" spans="1:17">
      <c r="A129" t="str">
        <f t="shared" si="9"/>
        <v>08_Aug</v>
      </c>
      <c r="B129">
        <v>380</v>
      </c>
      <c r="C129" t="s">
        <v>113</v>
      </c>
      <c r="F129">
        <v>452731391</v>
      </c>
      <c r="G129" t="s">
        <v>470</v>
      </c>
      <c r="H129" t="s">
        <v>478</v>
      </c>
      <c r="I129" t="s">
        <v>479</v>
      </c>
      <c r="J129" t="s">
        <v>474</v>
      </c>
      <c r="K129">
        <v>201908</v>
      </c>
      <c r="L129" t="s">
        <v>481</v>
      </c>
      <c r="N129">
        <v>1</v>
      </c>
      <c r="O129">
        <v>7568.84</v>
      </c>
      <c r="P129">
        <v>7568.84</v>
      </c>
      <c r="Q129">
        <v>0</v>
      </c>
    </row>
    <row r="130" spans="1:17">
      <c r="A130" t="str">
        <f t="shared" si="9"/>
        <v>02_Feb</v>
      </c>
      <c r="B130">
        <v>380</v>
      </c>
      <c r="C130" t="s">
        <v>113</v>
      </c>
      <c r="F130">
        <v>405402280</v>
      </c>
      <c r="G130" t="s">
        <v>470</v>
      </c>
      <c r="H130" t="s">
        <v>478</v>
      </c>
      <c r="I130" t="s">
        <v>479</v>
      </c>
      <c r="J130" t="s">
        <v>473</v>
      </c>
      <c r="K130">
        <v>201902</v>
      </c>
      <c r="L130" t="s">
        <v>481</v>
      </c>
      <c r="N130">
        <v>2</v>
      </c>
      <c r="O130">
        <v>5312.59</v>
      </c>
      <c r="P130">
        <v>2656.2950000000001</v>
      </c>
      <c r="Q130">
        <v>0</v>
      </c>
    </row>
    <row r="131" spans="1:17">
      <c r="A131" t="str">
        <f t="shared" si="9"/>
        <v>04_Apr</v>
      </c>
      <c r="B131">
        <v>380</v>
      </c>
      <c r="C131" t="s">
        <v>115</v>
      </c>
      <c r="F131">
        <v>405402289</v>
      </c>
      <c r="G131" t="s">
        <v>470</v>
      </c>
      <c r="H131" t="s">
        <v>478</v>
      </c>
      <c r="I131" t="s">
        <v>479</v>
      </c>
      <c r="J131" t="s">
        <v>473</v>
      </c>
      <c r="K131">
        <v>201904</v>
      </c>
      <c r="L131" t="s">
        <v>115</v>
      </c>
      <c r="N131">
        <v>1</v>
      </c>
      <c r="O131">
        <v>0</v>
      </c>
      <c r="P131">
        <v>0</v>
      </c>
      <c r="Q131">
        <v>0</v>
      </c>
    </row>
    <row r="132" spans="1:17">
      <c r="A132" t="str">
        <f t="shared" si="9"/>
        <v>07_Jul</v>
      </c>
      <c r="B132">
        <v>380</v>
      </c>
      <c r="C132" t="s">
        <v>115</v>
      </c>
      <c r="F132">
        <v>405402289</v>
      </c>
      <c r="G132" t="s">
        <v>470</v>
      </c>
      <c r="H132" t="s">
        <v>478</v>
      </c>
      <c r="I132" t="s">
        <v>479</v>
      </c>
      <c r="J132" t="s">
        <v>473</v>
      </c>
      <c r="K132">
        <v>201907</v>
      </c>
      <c r="L132" t="s">
        <v>115</v>
      </c>
      <c r="N132">
        <v>1</v>
      </c>
      <c r="O132">
        <v>0</v>
      </c>
      <c r="P132">
        <v>0</v>
      </c>
      <c r="Q132">
        <v>0</v>
      </c>
    </row>
    <row r="133" spans="1:17">
      <c r="A133" t="str">
        <f t="shared" si="9"/>
        <v>03_Mar</v>
      </c>
      <c r="B133">
        <v>380</v>
      </c>
      <c r="C133" t="s">
        <v>115</v>
      </c>
      <c r="F133">
        <v>392799778</v>
      </c>
      <c r="G133" t="s">
        <v>470</v>
      </c>
      <c r="H133" t="s">
        <v>478</v>
      </c>
      <c r="I133" t="s">
        <v>479</v>
      </c>
      <c r="J133" t="s">
        <v>474</v>
      </c>
      <c r="K133">
        <v>201903</v>
      </c>
      <c r="L133" t="s">
        <v>115</v>
      </c>
      <c r="N133">
        <v>0</v>
      </c>
      <c r="O133">
        <v>0</v>
      </c>
      <c r="P133">
        <v>0</v>
      </c>
    </row>
    <row r="134" spans="1:17">
      <c r="A134" t="str">
        <f t="shared" si="9"/>
        <v>03_Mar</v>
      </c>
      <c r="B134">
        <v>380</v>
      </c>
      <c r="C134" t="s">
        <v>115</v>
      </c>
      <c r="F134">
        <v>392799787</v>
      </c>
      <c r="G134" t="s">
        <v>470</v>
      </c>
      <c r="H134" t="s">
        <v>478</v>
      </c>
      <c r="I134" t="s">
        <v>479</v>
      </c>
      <c r="J134" t="s">
        <v>474</v>
      </c>
      <c r="K134">
        <v>201903</v>
      </c>
      <c r="L134" t="s">
        <v>115</v>
      </c>
      <c r="N134">
        <v>0</v>
      </c>
      <c r="O134">
        <v>0</v>
      </c>
      <c r="P134">
        <v>0</v>
      </c>
    </row>
    <row r="135" spans="1:17">
      <c r="A135" t="str">
        <f t="shared" si="9"/>
        <v>03_Mar</v>
      </c>
      <c r="B135">
        <v>380</v>
      </c>
      <c r="C135" t="s">
        <v>115</v>
      </c>
      <c r="F135">
        <v>310966601</v>
      </c>
      <c r="G135" t="s">
        <v>470</v>
      </c>
      <c r="H135" t="s">
        <v>478</v>
      </c>
      <c r="I135" t="s">
        <v>479</v>
      </c>
      <c r="J135" t="s">
        <v>473</v>
      </c>
      <c r="K135">
        <v>201903</v>
      </c>
      <c r="L135" t="s">
        <v>115</v>
      </c>
      <c r="N135">
        <v>0</v>
      </c>
      <c r="O135">
        <v>0</v>
      </c>
      <c r="P135">
        <v>0</v>
      </c>
    </row>
    <row r="136" spans="1:17">
      <c r="A136" t="str">
        <f t="shared" si="9"/>
        <v>02_Feb</v>
      </c>
      <c r="B136">
        <v>380</v>
      </c>
      <c r="C136" t="s">
        <v>115</v>
      </c>
      <c r="F136">
        <v>405402289</v>
      </c>
      <c r="G136" t="s">
        <v>470</v>
      </c>
      <c r="H136" t="s">
        <v>478</v>
      </c>
      <c r="I136" t="s">
        <v>479</v>
      </c>
      <c r="J136" t="s">
        <v>473</v>
      </c>
      <c r="K136">
        <v>201902</v>
      </c>
      <c r="L136" t="s">
        <v>115</v>
      </c>
      <c r="N136">
        <v>1</v>
      </c>
      <c r="O136">
        <v>0</v>
      </c>
      <c r="P136">
        <v>0</v>
      </c>
      <c r="Q136">
        <v>0</v>
      </c>
    </row>
    <row r="137" spans="1:17">
      <c r="A137" t="str">
        <f t="shared" si="9"/>
        <v>05_May</v>
      </c>
      <c r="B137">
        <v>380</v>
      </c>
      <c r="C137" t="s">
        <v>115</v>
      </c>
      <c r="F137">
        <v>405402289</v>
      </c>
      <c r="G137" t="s">
        <v>470</v>
      </c>
      <c r="H137" t="s">
        <v>478</v>
      </c>
      <c r="I137" t="s">
        <v>479</v>
      </c>
      <c r="J137" t="s">
        <v>473</v>
      </c>
      <c r="K137">
        <v>201905</v>
      </c>
      <c r="L137" t="s">
        <v>115</v>
      </c>
      <c r="N137">
        <v>1</v>
      </c>
      <c r="O137">
        <v>0</v>
      </c>
      <c r="P137">
        <v>0</v>
      </c>
      <c r="Q137">
        <v>0</v>
      </c>
    </row>
    <row r="138" spans="1:17">
      <c r="A138" t="str">
        <f t="shared" si="9"/>
        <v>01_Jan</v>
      </c>
      <c r="B138">
        <v>380</v>
      </c>
      <c r="C138" t="s">
        <v>115</v>
      </c>
      <c r="F138">
        <v>405402289</v>
      </c>
      <c r="G138" t="s">
        <v>470</v>
      </c>
      <c r="H138" t="s">
        <v>478</v>
      </c>
      <c r="I138" t="s">
        <v>479</v>
      </c>
      <c r="J138" t="s">
        <v>473</v>
      </c>
      <c r="K138">
        <v>201901</v>
      </c>
      <c r="L138" t="s">
        <v>115</v>
      </c>
      <c r="N138">
        <v>1</v>
      </c>
      <c r="O138">
        <v>-13621.14</v>
      </c>
      <c r="P138">
        <v>-13621.14</v>
      </c>
      <c r="Q138">
        <v>0</v>
      </c>
    </row>
    <row r="139" spans="1:17">
      <c r="A139" t="str">
        <f t="shared" si="9"/>
        <v>06_Jun</v>
      </c>
      <c r="B139">
        <v>380</v>
      </c>
      <c r="C139" t="s">
        <v>115</v>
      </c>
      <c r="F139">
        <v>405402289</v>
      </c>
      <c r="G139" t="s">
        <v>470</v>
      </c>
      <c r="H139" t="s">
        <v>478</v>
      </c>
      <c r="I139" t="s">
        <v>479</v>
      </c>
      <c r="J139" t="s">
        <v>473</v>
      </c>
      <c r="K139">
        <v>201906</v>
      </c>
      <c r="L139" t="s">
        <v>115</v>
      </c>
      <c r="N139">
        <v>1</v>
      </c>
      <c r="O139">
        <v>0</v>
      </c>
      <c r="P139">
        <v>0</v>
      </c>
      <c r="Q139">
        <v>0</v>
      </c>
    </row>
    <row r="140" spans="1:17">
      <c r="A140" t="str">
        <f t="shared" si="9"/>
        <v>08_Aug</v>
      </c>
      <c r="B140">
        <v>380</v>
      </c>
      <c r="C140" t="s">
        <v>115</v>
      </c>
      <c r="F140">
        <v>405402289</v>
      </c>
      <c r="G140" t="s">
        <v>470</v>
      </c>
      <c r="H140" t="s">
        <v>478</v>
      </c>
      <c r="I140" t="s">
        <v>479</v>
      </c>
      <c r="J140" t="s">
        <v>473</v>
      </c>
      <c r="K140">
        <v>201908</v>
      </c>
      <c r="L140" t="s">
        <v>115</v>
      </c>
      <c r="N140">
        <v>1</v>
      </c>
      <c r="O140">
        <v>0</v>
      </c>
      <c r="P140">
        <v>0</v>
      </c>
      <c r="Q140">
        <v>0</v>
      </c>
    </row>
    <row r="141" spans="1:17">
      <c r="A141" t="str">
        <f t="shared" si="9"/>
        <v>11_Nov</v>
      </c>
      <c r="B141">
        <v>380</v>
      </c>
      <c r="C141" t="s">
        <v>115</v>
      </c>
      <c r="F141">
        <v>405402289</v>
      </c>
      <c r="G141" t="s">
        <v>470</v>
      </c>
      <c r="H141" t="s">
        <v>478</v>
      </c>
      <c r="I141" t="s">
        <v>479</v>
      </c>
      <c r="J141" t="s">
        <v>473</v>
      </c>
      <c r="K141">
        <v>201911</v>
      </c>
      <c r="L141" t="s">
        <v>115</v>
      </c>
      <c r="N141">
        <v>1</v>
      </c>
      <c r="O141">
        <v>0</v>
      </c>
      <c r="P141">
        <v>0</v>
      </c>
      <c r="Q141">
        <v>0</v>
      </c>
    </row>
    <row r="142" spans="1:17">
      <c r="A142" t="str">
        <f t="shared" si="9"/>
        <v>12_Dec</v>
      </c>
      <c r="B142">
        <v>380</v>
      </c>
      <c r="C142" t="s">
        <v>115</v>
      </c>
      <c r="F142">
        <v>405402289</v>
      </c>
      <c r="G142" t="s">
        <v>470</v>
      </c>
      <c r="H142" t="s">
        <v>478</v>
      </c>
      <c r="I142" t="s">
        <v>479</v>
      </c>
      <c r="J142" t="s">
        <v>473</v>
      </c>
      <c r="K142">
        <v>201912</v>
      </c>
      <c r="L142" t="s">
        <v>115</v>
      </c>
      <c r="N142">
        <v>1</v>
      </c>
      <c r="O142">
        <v>0</v>
      </c>
      <c r="P142">
        <v>0</v>
      </c>
      <c r="Q142">
        <v>0</v>
      </c>
    </row>
    <row r="143" spans="1:17">
      <c r="A143" t="str">
        <f t="shared" si="9"/>
        <v>03_Mar</v>
      </c>
      <c r="B143">
        <v>380</v>
      </c>
      <c r="C143" t="s">
        <v>115</v>
      </c>
      <c r="F143">
        <v>392799769</v>
      </c>
      <c r="G143" t="s">
        <v>470</v>
      </c>
      <c r="H143" t="s">
        <v>478</v>
      </c>
      <c r="I143" t="s">
        <v>479</v>
      </c>
      <c r="J143" t="s">
        <v>474</v>
      </c>
      <c r="K143">
        <v>201903</v>
      </c>
      <c r="L143" t="s">
        <v>115</v>
      </c>
      <c r="N143">
        <v>0</v>
      </c>
      <c r="O143">
        <v>0</v>
      </c>
      <c r="P143">
        <v>0</v>
      </c>
    </row>
    <row r="144" spans="1:17">
      <c r="A144" t="str">
        <f t="shared" si="9"/>
        <v>03_Mar</v>
      </c>
      <c r="B144">
        <v>380</v>
      </c>
      <c r="C144" t="s">
        <v>115</v>
      </c>
      <c r="F144">
        <v>392799720</v>
      </c>
      <c r="G144" t="s">
        <v>470</v>
      </c>
      <c r="H144" t="s">
        <v>478</v>
      </c>
      <c r="I144" t="s">
        <v>479</v>
      </c>
      <c r="J144" t="s">
        <v>474</v>
      </c>
      <c r="K144">
        <v>201903</v>
      </c>
      <c r="L144" t="s">
        <v>115</v>
      </c>
      <c r="N144">
        <v>0</v>
      </c>
      <c r="O144">
        <v>0</v>
      </c>
      <c r="P144">
        <v>0</v>
      </c>
    </row>
    <row r="145" spans="1:17">
      <c r="A145" t="str">
        <f t="shared" si="9"/>
        <v>10_Oct</v>
      </c>
      <c r="B145">
        <v>380</v>
      </c>
      <c r="C145" t="s">
        <v>115</v>
      </c>
      <c r="F145">
        <v>405402289</v>
      </c>
      <c r="G145" t="s">
        <v>470</v>
      </c>
      <c r="H145" t="s">
        <v>478</v>
      </c>
      <c r="I145" t="s">
        <v>479</v>
      </c>
      <c r="J145" t="s">
        <v>473</v>
      </c>
      <c r="K145">
        <v>201910</v>
      </c>
      <c r="L145" t="s">
        <v>115</v>
      </c>
      <c r="N145">
        <v>1</v>
      </c>
      <c r="O145">
        <v>0</v>
      </c>
      <c r="P145">
        <v>0</v>
      </c>
      <c r="Q145">
        <v>0</v>
      </c>
    </row>
    <row r="146" spans="1:17">
      <c r="A146" t="str">
        <f t="shared" si="9"/>
        <v>09_Sep</v>
      </c>
      <c r="B146">
        <v>380</v>
      </c>
      <c r="C146" t="s">
        <v>115</v>
      </c>
      <c r="F146">
        <v>405402289</v>
      </c>
      <c r="G146" t="s">
        <v>470</v>
      </c>
      <c r="H146" t="s">
        <v>478</v>
      </c>
      <c r="I146" t="s">
        <v>479</v>
      </c>
      <c r="J146" t="s">
        <v>473</v>
      </c>
      <c r="K146">
        <v>201909</v>
      </c>
      <c r="L146" t="s">
        <v>115</v>
      </c>
      <c r="N146">
        <v>1</v>
      </c>
      <c r="O146">
        <v>0</v>
      </c>
      <c r="P146">
        <v>0</v>
      </c>
      <c r="Q146">
        <v>0</v>
      </c>
    </row>
    <row r="147" spans="1:17">
      <c r="A147" t="str">
        <f t="shared" si="9"/>
        <v>03_Mar</v>
      </c>
      <c r="B147">
        <v>380</v>
      </c>
      <c r="C147" t="s">
        <v>115</v>
      </c>
      <c r="F147">
        <v>405402289</v>
      </c>
      <c r="G147" t="s">
        <v>470</v>
      </c>
      <c r="H147" t="s">
        <v>478</v>
      </c>
      <c r="I147" t="s">
        <v>479</v>
      </c>
      <c r="J147" t="s">
        <v>473</v>
      </c>
      <c r="K147">
        <v>201903</v>
      </c>
      <c r="L147" t="s">
        <v>115</v>
      </c>
      <c r="N147">
        <v>1</v>
      </c>
      <c r="O147">
        <v>0</v>
      </c>
      <c r="P147">
        <v>0</v>
      </c>
      <c r="Q147">
        <v>0</v>
      </c>
    </row>
    <row r="148" spans="1:17">
      <c r="A148" t="str">
        <f t="shared" si="9"/>
        <v>08_Aug</v>
      </c>
      <c r="B148">
        <v>380</v>
      </c>
      <c r="C148" t="s">
        <v>115</v>
      </c>
      <c r="F148">
        <v>452731400</v>
      </c>
      <c r="G148" t="s">
        <v>470</v>
      </c>
      <c r="H148" t="s">
        <v>478</v>
      </c>
      <c r="I148" t="s">
        <v>479</v>
      </c>
      <c r="J148" t="s">
        <v>474</v>
      </c>
      <c r="K148">
        <v>201908</v>
      </c>
      <c r="L148" t="s">
        <v>482</v>
      </c>
      <c r="N148">
        <v>1</v>
      </c>
      <c r="O148">
        <v>5986.68</v>
      </c>
      <c r="P148">
        <v>5986.68</v>
      </c>
      <c r="Q148">
        <v>0</v>
      </c>
    </row>
    <row r="149" spans="1:17">
      <c r="A149" t="str">
        <f t="shared" si="9"/>
        <v>02_Feb</v>
      </c>
      <c r="B149">
        <v>380</v>
      </c>
      <c r="C149" t="s">
        <v>115</v>
      </c>
      <c r="F149">
        <v>408216851</v>
      </c>
      <c r="G149" t="s">
        <v>470</v>
      </c>
      <c r="H149" t="s">
        <v>478</v>
      </c>
      <c r="I149" t="s">
        <v>479</v>
      </c>
      <c r="J149" t="s">
        <v>473</v>
      </c>
      <c r="K149">
        <v>201902</v>
      </c>
      <c r="L149" t="s">
        <v>482</v>
      </c>
      <c r="N149">
        <v>1</v>
      </c>
      <c r="O149">
        <v>15790.08</v>
      </c>
      <c r="P149">
        <v>15790.08</v>
      </c>
      <c r="Q149">
        <v>0</v>
      </c>
    </row>
    <row r="150" spans="1:17">
      <c r="A150" t="str">
        <f t="shared" si="9"/>
        <v>07_Jul</v>
      </c>
      <c r="B150">
        <v>380</v>
      </c>
      <c r="C150" t="s">
        <v>115</v>
      </c>
      <c r="F150">
        <v>408216851</v>
      </c>
      <c r="G150" t="s">
        <v>470</v>
      </c>
      <c r="H150" t="s">
        <v>478</v>
      </c>
      <c r="I150" t="s">
        <v>479</v>
      </c>
      <c r="J150" t="s">
        <v>473</v>
      </c>
      <c r="K150">
        <v>201907</v>
      </c>
      <c r="L150" t="s">
        <v>482</v>
      </c>
      <c r="N150">
        <v>1</v>
      </c>
      <c r="O150">
        <v>523.55999999999995</v>
      </c>
      <c r="P150">
        <v>523.55999999999995</v>
      </c>
      <c r="Q150">
        <v>0</v>
      </c>
    </row>
    <row r="151" spans="1:17">
      <c r="A151" t="str">
        <f t="shared" si="9"/>
        <v>08_Aug</v>
      </c>
      <c r="B151">
        <v>380</v>
      </c>
      <c r="C151" t="s">
        <v>115</v>
      </c>
      <c r="F151">
        <v>452731391</v>
      </c>
      <c r="G151" t="s">
        <v>470</v>
      </c>
      <c r="H151" t="s">
        <v>478</v>
      </c>
      <c r="I151" t="s">
        <v>479</v>
      </c>
      <c r="J151" t="s">
        <v>474</v>
      </c>
      <c r="K151">
        <v>201908</v>
      </c>
      <c r="L151" t="s">
        <v>482</v>
      </c>
      <c r="N151">
        <v>2</v>
      </c>
      <c r="O151">
        <v>6476.69</v>
      </c>
      <c r="P151">
        <v>3238.3449999999998</v>
      </c>
      <c r="Q151">
        <v>0</v>
      </c>
    </row>
    <row r="152" spans="1:17">
      <c r="A152" t="str">
        <f t="shared" si="9"/>
        <v>05_May</v>
      </c>
      <c r="B152">
        <v>380</v>
      </c>
      <c r="C152" t="s">
        <v>115</v>
      </c>
      <c r="F152">
        <v>408216851</v>
      </c>
      <c r="G152" t="s">
        <v>470</v>
      </c>
      <c r="H152" t="s">
        <v>478</v>
      </c>
      <c r="I152" t="s">
        <v>479</v>
      </c>
      <c r="J152" t="s">
        <v>473</v>
      </c>
      <c r="K152">
        <v>201905</v>
      </c>
      <c r="L152" t="s">
        <v>482</v>
      </c>
      <c r="N152">
        <v>2</v>
      </c>
      <c r="O152">
        <v>3696.93</v>
      </c>
      <c r="P152">
        <v>1848.4649999999999</v>
      </c>
      <c r="Q152">
        <v>0</v>
      </c>
    </row>
    <row r="153" spans="1:17">
      <c r="A153" t="str">
        <f t="shared" si="9"/>
        <v>08_Aug</v>
      </c>
      <c r="B153">
        <v>380</v>
      </c>
      <c r="C153" t="s">
        <v>115</v>
      </c>
      <c r="F153">
        <v>408216851</v>
      </c>
      <c r="G153" t="s">
        <v>470</v>
      </c>
      <c r="H153" t="s">
        <v>478</v>
      </c>
      <c r="I153" t="s">
        <v>479</v>
      </c>
      <c r="J153" t="s">
        <v>473</v>
      </c>
      <c r="K153">
        <v>201908</v>
      </c>
      <c r="L153" t="s">
        <v>482</v>
      </c>
      <c r="N153">
        <v>-9</v>
      </c>
      <c r="O153">
        <v>-23881.919999999998</v>
      </c>
      <c r="P153">
        <v>2653.5466666666698</v>
      </c>
      <c r="Q153">
        <v>0</v>
      </c>
    </row>
    <row r="154" spans="1:17">
      <c r="A154" t="str">
        <f t="shared" si="9"/>
        <v>06_Jun</v>
      </c>
      <c r="B154">
        <v>380</v>
      </c>
      <c r="C154" t="s">
        <v>115</v>
      </c>
      <c r="F154">
        <v>408216851</v>
      </c>
      <c r="G154" t="s">
        <v>470</v>
      </c>
      <c r="H154" t="s">
        <v>478</v>
      </c>
      <c r="I154" t="s">
        <v>479</v>
      </c>
      <c r="J154" t="s">
        <v>473</v>
      </c>
      <c r="K154">
        <v>201906</v>
      </c>
      <c r="L154" t="s">
        <v>482</v>
      </c>
      <c r="N154">
        <v>1</v>
      </c>
      <c r="O154">
        <v>0</v>
      </c>
      <c r="P154">
        <v>0</v>
      </c>
      <c r="Q154">
        <v>0</v>
      </c>
    </row>
    <row r="155" spans="1:17">
      <c r="A155" t="str">
        <f t="shared" si="9"/>
        <v>03_Mar</v>
      </c>
      <c r="B155">
        <v>380</v>
      </c>
      <c r="C155" t="s">
        <v>115</v>
      </c>
      <c r="F155">
        <v>408216851</v>
      </c>
      <c r="G155" t="s">
        <v>470</v>
      </c>
      <c r="H155" t="s">
        <v>478</v>
      </c>
      <c r="I155" t="s">
        <v>479</v>
      </c>
      <c r="J155" t="s">
        <v>473</v>
      </c>
      <c r="K155">
        <v>201903</v>
      </c>
      <c r="L155" t="s">
        <v>482</v>
      </c>
      <c r="N155">
        <v>2</v>
      </c>
      <c r="O155">
        <v>2852.37</v>
      </c>
      <c r="P155">
        <v>1426.1849999999999</v>
      </c>
      <c r="Q155">
        <v>0</v>
      </c>
    </row>
    <row r="156" spans="1:17">
      <c r="A156" t="str">
        <f t="shared" si="9"/>
        <v>04_Apr</v>
      </c>
      <c r="B156">
        <v>380</v>
      </c>
      <c r="C156" t="s">
        <v>115</v>
      </c>
      <c r="F156">
        <v>408216851</v>
      </c>
      <c r="G156" t="s">
        <v>470</v>
      </c>
      <c r="H156" t="s">
        <v>478</v>
      </c>
      <c r="I156" t="s">
        <v>479</v>
      </c>
      <c r="J156" t="s">
        <v>473</v>
      </c>
      <c r="K156">
        <v>201904</v>
      </c>
      <c r="L156" t="s">
        <v>482</v>
      </c>
      <c r="N156">
        <v>2</v>
      </c>
      <c r="O156">
        <v>1018.98</v>
      </c>
      <c r="P156">
        <v>509.49</v>
      </c>
      <c r="Q156">
        <v>0</v>
      </c>
    </row>
    <row r="157" spans="1:17">
      <c r="A157" t="str">
        <f t="shared" si="9"/>
        <v>08_Aug</v>
      </c>
      <c r="B157">
        <v>380</v>
      </c>
      <c r="C157" t="s">
        <v>115</v>
      </c>
      <c r="F157">
        <v>452731374</v>
      </c>
      <c r="G157" t="s">
        <v>470</v>
      </c>
      <c r="H157" t="s">
        <v>478</v>
      </c>
      <c r="I157" t="s">
        <v>479</v>
      </c>
      <c r="J157" t="s">
        <v>474</v>
      </c>
      <c r="K157">
        <v>201908</v>
      </c>
      <c r="L157" t="s">
        <v>482</v>
      </c>
      <c r="N157">
        <v>6</v>
      </c>
      <c r="O157">
        <v>11418.55</v>
      </c>
      <c r="P157">
        <v>1903.0916666666701</v>
      </c>
      <c r="Q157">
        <v>0</v>
      </c>
    </row>
    <row r="158" spans="1:17">
      <c r="A158" t="str">
        <f t="shared" si="9"/>
        <v>09_Sep</v>
      </c>
      <c r="B158">
        <v>380</v>
      </c>
      <c r="C158" t="s">
        <v>115</v>
      </c>
      <c r="F158">
        <v>408216851</v>
      </c>
      <c r="G158" t="s">
        <v>470</v>
      </c>
      <c r="H158" t="s">
        <v>478</v>
      </c>
      <c r="I158" t="s">
        <v>479</v>
      </c>
      <c r="J158" t="s">
        <v>473</v>
      </c>
      <c r="K158">
        <v>201909</v>
      </c>
      <c r="L158" t="s">
        <v>482</v>
      </c>
      <c r="N158">
        <v>2</v>
      </c>
      <c r="O158">
        <v>845.01</v>
      </c>
      <c r="P158">
        <v>422.505</v>
      </c>
      <c r="Q158">
        <v>0</v>
      </c>
    </row>
    <row r="159" spans="1:17">
      <c r="A159" t="str">
        <f t="shared" si="9"/>
        <v>10_Oct</v>
      </c>
      <c r="B159">
        <v>380</v>
      </c>
      <c r="C159" t="s">
        <v>115</v>
      </c>
      <c r="F159">
        <v>408216851</v>
      </c>
      <c r="G159" t="s">
        <v>470</v>
      </c>
      <c r="H159" t="s">
        <v>478</v>
      </c>
      <c r="I159" t="s">
        <v>479</v>
      </c>
      <c r="J159" t="s">
        <v>473</v>
      </c>
      <c r="K159">
        <v>201910</v>
      </c>
      <c r="L159" t="s">
        <v>482</v>
      </c>
      <c r="N159">
        <v>2</v>
      </c>
      <c r="O159">
        <v>17011.22</v>
      </c>
      <c r="P159">
        <v>8505.61</v>
      </c>
      <c r="Q159">
        <v>0</v>
      </c>
    </row>
    <row r="160" spans="1:17">
      <c r="A160" t="str">
        <f t="shared" si="9"/>
        <v>11_Nov</v>
      </c>
      <c r="B160">
        <v>380</v>
      </c>
      <c r="C160" t="s">
        <v>115</v>
      </c>
      <c r="F160">
        <v>408216851</v>
      </c>
      <c r="G160" t="s">
        <v>470</v>
      </c>
      <c r="H160" t="s">
        <v>478</v>
      </c>
      <c r="I160" t="s">
        <v>479</v>
      </c>
      <c r="J160" t="s">
        <v>473</v>
      </c>
      <c r="K160">
        <v>201911</v>
      </c>
      <c r="L160" t="s">
        <v>482</v>
      </c>
      <c r="N160">
        <v>1</v>
      </c>
      <c r="O160">
        <v>6171.64</v>
      </c>
      <c r="P160">
        <v>6171.64</v>
      </c>
      <c r="Q160">
        <v>0</v>
      </c>
    </row>
    <row r="161" spans="1:17">
      <c r="A161" t="str">
        <f t="shared" si="9"/>
        <v>12_Dec</v>
      </c>
      <c r="B161">
        <v>380</v>
      </c>
      <c r="C161" t="s">
        <v>115</v>
      </c>
      <c r="F161">
        <v>408216851</v>
      </c>
      <c r="G161" t="s">
        <v>470</v>
      </c>
      <c r="H161" t="s">
        <v>478</v>
      </c>
      <c r="I161" t="s">
        <v>479</v>
      </c>
      <c r="J161" t="s">
        <v>473</v>
      </c>
      <c r="K161">
        <v>201912</v>
      </c>
      <c r="L161" t="s">
        <v>482</v>
      </c>
      <c r="N161">
        <v>2</v>
      </c>
      <c r="O161">
        <v>60339</v>
      </c>
      <c r="P161">
        <v>30169.5</v>
      </c>
      <c r="Q161">
        <v>0</v>
      </c>
    </row>
    <row r="162" spans="1:17">
      <c r="A162" t="str">
        <f t="shared" si="9"/>
        <v>08_Aug</v>
      </c>
      <c r="B162">
        <v>380</v>
      </c>
      <c r="C162" t="s">
        <v>117</v>
      </c>
      <c r="F162">
        <v>452731409</v>
      </c>
      <c r="G162" t="s">
        <v>470</v>
      </c>
      <c r="H162" t="s">
        <v>478</v>
      </c>
      <c r="I162" t="s">
        <v>479</v>
      </c>
      <c r="J162" t="s">
        <v>474</v>
      </c>
      <c r="K162">
        <v>201908</v>
      </c>
      <c r="L162" t="s">
        <v>483</v>
      </c>
      <c r="N162">
        <v>28</v>
      </c>
      <c r="O162">
        <v>159136.38</v>
      </c>
      <c r="P162">
        <v>5683.4421428571404</v>
      </c>
      <c r="Q162">
        <v>0</v>
      </c>
    </row>
    <row r="163" spans="1:17">
      <c r="A163" t="str">
        <f t="shared" si="9"/>
        <v>08_Aug</v>
      </c>
      <c r="B163">
        <v>380</v>
      </c>
      <c r="C163" t="s">
        <v>117</v>
      </c>
      <c r="F163">
        <v>452731400</v>
      </c>
      <c r="G163" t="s">
        <v>470</v>
      </c>
      <c r="H163" t="s">
        <v>478</v>
      </c>
      <c r="I163" t="s">
        <v>479</v>
      </c>
      <c r="J163" t="s">
        <v>474</v>
      </c>
      <c r="K163">
        <v>201908</v>
      </c>
      <c r="L163" t="s">
        <v>483</v>
      </c>
      <c r="N163">
        <v>27</v>
      </c>
      <c r="O163">
        <v>143357.54999999999</v>
      </c>
      <c r="P163">
        <v>5309.5388888888901</v>
      </c>
      <c r="Q163">
        <v>0</v>
      </c>
    </row>
    <row r="164" spans="1:17">
      <c r="A164" t="str">
        <f t="shared" si="9"/>
        <v>03_Mar</v>
      </c>
      <c r="B164">
        <v>380</v>
      </c>
      <c r="C164" t="s">
        <v>117</v>
      </c>
      <c r="F164">
        <v>405402504</v>
      </c>
      <c r="G164" t="s">
        <v>470</v>
      </c>
      <c r="H164" t="s">
        <v>478</v>
      </c>
      <c r="I164" t="s">
        <v>479</v>
      </c>
      <c r="J164" t="s">
        <v>473</v>
      </c>
      <c r="K164">
        <v>201903</v>
      </c>
      <c r="L164" t="s">
        <v>483</v>
      </c>
      <c r="N164">
        <v>2</v>
      </c>
      <c r="O164">
        <v>428131.92</v>
      </c>
      <c r="P164">
        <v>214065.96</v>
      </c>
      <c r="Q164">
        <v>0</v>
      </c>
    </row>
    <row r="165" spans="1:17">
      <c r="A165" t="str">
        <f t="shared" si="9"/>
        <v>06_Jun</v>
      </c>
      <c r="B165">
        <v>380</v>
      </c>
      <c r="C165" t="s">
        <v>117</v>
      </c>
      <c r="F165">
        <v>405402504</v>
      </c>
      <c r="G165" t="s">
        <v>470</v>
      </c>
      <c r="H165" t="s">
        <v>478</v>
      </c>
      <c r="I165" t="s">
        <v>479</v>
      </c>
      <c r="J165" t="s">
        <v>473</v>
      </c>
      <c r="K165">
        <v>201906</v>
      </c>
      <c r="L165" t="s">
        <v>483</v>
      </c>
      <c r="N165">
        <v>2</v>
      </c>
      <c r="O165">
        <v>377695.32</v>
      </c>
      <c r="P165">
        <v>188847.66</v>
      </c>
      <c r="Q165">
        <v>0</v>
      </c>
    </row>
    <row r="166" spans="1:17">
      <c r="A166" t="str">
        <f t="shared" si="9"/>
        <v>11_Nov</v>
      </c>
      <c r="B166">
        <v>380</v>
      </c>
      <c r="C166" t="s">
        <v>117</v>
      </c>
      <c r="F166">
        <v>405402504</v>
      </c>
      <c r="G166" t="s">
        <v>470</v>
      </c>
      <c r="H166" t="s">
        <v>478</v>
      </c>
      <c r="I166" t="s">
        <v>479</v>
      </c>
      <c r="J166" t="s">
        <v>473</v>
      </c>
      <c r="K166">
        <v>201911</v>
      </c>
      <c r="L166" t="s">
        <v>483</v>
      </c>
      <c r="N166">
        <v>2</v>
      </c>
      <c r="O166">
        <v>466468.35</v>
      </c>
      <c r="P166">
        <v>233234.17499999999</v>
      </c>
      <c r="Q166">
        <v>0</v>
      </c>
    </row>
    <row r="167" spans="1:17">
      <c r="A167" t="str">
        <f t="shared" si="9"/>
        <v>02_Feb</v>
      </c>
      <c r="B167">
        <v>380</v>
      </c>
      <c r="C167" t="s">
        <v>117</v>
      </c>
      <c r="F167">
        <v>405402504</v>
      </c>
      <c r="G167" t="s">
        <v>470</v>
      </c>
      <c r="H167" t="s">
        <v>478</v>
      </c>
      <c r="I167" t="s">
        <v>479</v>
      </c>
      <c r="J167" t="s">
        <v>473</v>
      </c>
      <c r="K167">
        <v>201902</v>
      </c>
      <c r="L167" t="s">
        <v>483</v>
      </c>
      <c r="N167">
        <v>2</v>
      </c>
      <c r="O167">
        <v>278665.15000000002</v>
      </c>
      <c r="P167">
        <v>139332.57500000001</v>
      </c>
      <c r="Q167">
        <v>0</v>
      </c>
    </row>
    <row r="168" spans="1:17">
      <c r="A168" t="str">
        <f t="shared" si="9"/>
        <v>05_May</v>
      </c>
      <c r="B168">
        <v>380</v>
      </c>
      <c r="C168" t="s">
        <v>117</v>
      </c>
      <c r="F168">
        <v>405402504</v>
      </c>
      <c r="G168" t="s">
        <v>470</v>
      </c>
      <c r="H168" t="s">
        <v>478</v>
      </c>
      <c r="I168" t="s">
        <v>479</v>
      </c>
      <c r="J168" t="s">
        <v>473</v>
      </c>
      <c r="K168">
        <v>201905</v>
      </c>
      <c r="L168" t="s">
        <v>483</v>
      </c>
      <c r="N168">
        <v>2</v>
      </c>
      <c r="O168">
        <v>314530.95</v>
      </c>
      <c r="P168">
        <v>157265.47500000001</v>
      </c>
      <c r="Q168">
        <v>0</v>
      </c>
    </row>
    <row r="169" spans="1:17">
      <c r="A169" t="str">
        <f t="shared" si="9"/>
        <v>10_Oct</v>
      </c>
      <c r="B169">
        <v>380</v>
      </c>
      <c r="C169" t="s">
        <v>117</v>
      </c>
      <c r="F169">
        <v>405402504</v>
      </c>
      <c r="G169" t="s">
        <v>470</v>
      </c>
      <c r="H169" t="s">
        <v>478</v>
      </c>
      <c r="I169" t="s">
        <v>479</v>
      </c>
      <c r="J169" t="s">
        <v>473</v>
      </c>
      <c r="K169">
        <v>201910</v>
      </c>
      <c r="L169" t="s">
        <v>483</v>
      </c>
      <c r="N169">
        <v>2</v>
      </c>
      <c r="O169">
        <v>471489.46</v>
      </c>
      <c r="P169">
        <v>235744.73</v>
      </c>
      <c r="Q169">
        <v>0</v>
      </c>
    </row>
    <row r="170" spans="1:17">
      <c r="A170" t="str">
        <f t="shared" si="9"/>
        <v>12_Dec</v>
      </c>
      <c r="B170">
        <v>380</v>
      </c>
      <c r="C170" t="s">
        <v>117</v>
      </c>
      <c r="F170">
        <v>405402504</v>
      </c>
      <c r="G170" t="s">
        <v>470</v>
      </c>
      <c r="H170" t="s">
        <v>478</v>
      </c>
      <c r="I170" t="s">
        <v>479</v>
      </c>
      <c r="J170" t="s">
        <v>473</v>
      </c>
      <c r="K170">
        <v>201912</v>
      </c>
      <c r="L170" t="s">
        <v>483</v>
      </c>
      <c r="N170">
        <v>2</v>
      </c>
      <c r="O170">
        <v>451090.26</v>
      </c>
      <c r="P170">
        <v>225545.13</v>
      </c>
      <c r="Q170">
        <v>0</v>
      </c>
    </row>
    <row r="171" spans="1:17">
      <c r="A171" t="str">
        <f t="shared" si="9"/>
        <v>08_Aug</v>
      </c>
      <c r="B171">
        <v>380</v>
      </c>
      <c r="C171" t="s">
        <v>117</v>
      </c>
      <c r="F171">
        <v>452731522</v>
      </c>
      <c r="G171" t="s">
        <v>470</v>
      </c>
      <c r="H171" t="s">
        <v>478</v>
      </c>
      <c r="I171" t="s">
        <v>479</v>
      </c>
      <c r="J171" t="s">
        <v>474</v>
      </c>
      <c r="K171">
        <v>201908</v>
      </c>
      <c r="L171" t="s">
        <v>483</v>
      </c>
      <c r="N171">
        <v>7</v>
      </c>
      <c r="O171">
        <v>53904.74</v>
      </c>
      <c r="P171">
        <v>7700.6771428571401</v>
      </c>
      <c r="Q171">
        <v>0</v>
      </c>
    </row>
    <row r="172" spans="1:17">
      <c r="A172" t="str">
        <f t="shared" si="9"/>
        <v>08_Aug</v>
      </c>
      <c r="B172">
        <v>380</v>
      </c>
      <c r="C172" t="s">
        <v>117</v>
      </c>
      <c r="F172">
        <v>452731391</v>
      </c>
      <c r="G172" t="s">
        <v>470</v>
      </c>
      <c r="H172" t="s">
        <v>478</v>
      </c>
      <c r="I172" t="s">
        <v>479</v>
      </c>
      <c r="J172" t="s">
        <v>474</v>
      </c>
      <c r="K172">
        <v>201908</v>
      </c>
      <c r="L172" t="s">
        <v>483</v>
      </c>
      <c r="N172">
        <v>1093</v>
      </c>
      <c r="O172">
        <v>3139170.73</v>
      </c>
      <c r="P172">
        <v>2872.0683714547099</v>
      </c>
      <c r="Q172">
        <v>0</v>
      </c>
    </row>
    <row r="173" spans="1:17">
      <c r="A173" t="str">
        <f t="shared" si="9"/>
        <v>08_Aug</v>
      </c>
      <c r="B173">
        <v>380</v>
      </c>
      <c r="C173" t="s">
        <v>117</v>
      </c>
      <c r="F173">
        <v>452731374</v>
      </c>
      <c r="G173" t="s">
        <v>470</v>
      </c>
      <c r="H173" t="s">
        <v>478</v>
      </c>
      <c r="I173" t="s">
        <v>479</v>
      </c>
      <c r="J173" t="s">
        <v>474</v>
      </c>
      <c r="K173">
        <v>201908</v>
      </c>
      <c r="L173" t="s">
        <v>483</v>
      </c>
      <c r="N173">
        <v>20</v>
      </c>
      <c r="O173">
        <v>33756.69</v>
      </c>
      <c r="P173">
        <v>1687.8344999999999</v>
      </c>
      <c r="Q173">
        <v>0</v>
      </c>
    </row>
    <row r="174" spans="1:17">
      <c r="A174" t="str">
        <f t="shared" si="9"/>
        <v>09_Sep</v>
      </c>
      <c r="B174">
        <v>380</v>
      </c>
      <c r="C174" t="s">
        <v>117</v>
      </c>
      <c r="F174">
        <v>405402504</v>
      </c>
      <c r="G174" t="s">
        <v>470</v>
      </c>
      <c r="H174" t="s">
        <v>478</v>
      </c>
      <c r="I174" t="s">
        <v>479</v>
      </c>
      <c r="J174" t="s">
        <v>473</v>
      </c>
      <c r="K174">
        <v>201909</v>
      </c>
      <c r="L174" t="s">
        <v>483</v>
      </c>
      <c r="N174">
        <v>2</v>
      </c>
      <c r="O174">
        <v>422411.35</v>
      </c>
      <c r="P174">
        <v>211205.67499999999</v>
      </c>
      <c r="Q174">
        <v>0</v>
      </c>
    </row>
    <row r="175" spans="1:17">
      <c r="A175" t="str">
        <f t="shared" si="9"/>
        <v>04_Apr</v>
      </c>
      <c r="B175">
        <v>380</v>
      </c>
      <c r="C175" t="s">
        <v>117</v>
      </c>
      <c r="F175">
        <v>405402504</v>
      </c>
      <c r="G175" t="s">
        <v>470</v>
      </c>
      <c r="H175" t="s">
        <v>478</v>
      </c>
      <c r="I175" t="s">
        <v>479</v>
      </c>
      <c r="J175" t="s">
        <v>473</v>
      </c>
      <c r="K175">
        <v>201904</v>
      </c>
      <c r="L175" t="s">
        <v>483</v>
      </c>
      <c r="N175">
        <v>2</v>
      </c>
      <c r="O175">
        <v>286209.09999999998</v>
      </c>
      <c r="P175">
        <v>143104.54999999999</v>
      </c>
      <c r="Q175">
        <v>0</v>
      </c>
    </row>
    <row r="176" spans="1:17">
      <c r="A176" t="str">
        <f t="shared" si="9"/>
        <v>07_Jul</v>
      </c>
      <c r="B176">
        <v>380</v>
      </c>
      <c r="C176" t="s">
        <v>117</v>
      </c>
      <c r="F176">
        <v>405402504</v>
      </c>
      <c r="G176" t="s">
        <v>470</v>
      </c>
      <c r="H176" t="s">
        <v>478</v>
      </c>
      <c r="I176" t="s">
        <v>479</v>
      </c>
      <c r="J176" t="s">
        <v>473</v>
      </c>
      <c r="K176">
        <v>201907</v>
      </c>
      <c r="L176" t="s">
        <v>483</v>
      </c>
      <c r="N176">
        <v>2</v>
      </c>
      <c r="O176">
        <v>384921.36</v>
      </c>
      <c r="P176">
        <v>192460.68</v>
      </c>
      <c r="Q176">
        <v>0</v>
      </c>
    </row>
    <row r="177" spans="1:17">
      <c r="A177" t="str">
        <f t="shared" si="9"/>
        <v>08_Aug</v>
      </c>
      <c r="B177">
        <v>380</v>
      </c>
      <c r="C177" t="s">
        <v>117</v>
      </c>
      <c r="F177">
        <v>395569410</v>
      </c>
      <c r="G177" t="s">
        <v>470</v>
      </c>
      <c r="H177" t="s">
        <v>478</v>
      </c>
      <c r="I177" t="s">
        <v>479</v>
      </c>
      <c r="J177" t="s">
        <v>473</v>
      </c>
      <c r="K177">
        <v>201908</v>
      </c>
      <c r="L177" t="s">
        <v>483</v>
      </c>
      <c r="N177">
        <v>-4</v>
      </c>
      <c r="O177">
        <v>-1029592.65</v>
      </c>
      <c r="P177">
        <v>257398.16250000001</v>
      </c>
      <c r="Q177">
        <v>0</v>
      </c>
    </row>
    <row r="178" spans="1:17">
      <c r="A178" t="str">
        <f t="shared" si="9"/>
        <v>01_Jan</v>
      </c>
      <c r="B178">
        <v>380</v>
      </c>
      <c r="C178" t="s">
        <v>117</v>
      </c>
      <c r="F178">
        <v>405402504</v>
      </c>
      <c r="G178" t="s">
        <v>470</v>
      </c>
      <c r="H178" t="s">
        <v>478</v>
      </c>
      <c r="I178" t="s">
        <v>479</v>
      </c>
      <c r="J178" t="s">
        <v>473</v>
      </c>
      <c r="K178">
        <v>201901</v>
      </c>
      <c r="L178" t="s">
        <v>483</v>
      </c>
      <c r="N178">
        <v>2</v>
      </c>
      <c r="O178">
        <v>457313.39</v>
      </c>
      <c r="P178">
        <v>228656.69500000001</v>
      </c>
      <c r="Q178">
        <v>0</v>
      </c>
    </row>
    <row r="179" spans="1:17">
      <c r="A179" t="str">
        <f t="shared" si="9"/>
        <v>08_Aug</v>
      </c>
      <c r="B179">
        <v>380</v>
      </c>
      <c r="C179" t="s">
        <v>117</v>
      </c>
      <c r="F179">
        <v>405402504</v>
      </c>
      <c r="G179" t="s">
        <v>470</v>
      </c>
      <c r="H179" t="s">
        <v>478</v>
      </c>
      <c r="I179" t="s">
        <v>479</v>
      </c>
      <c r="J179" t="s">
        <v>473</v>
      </c>
      <c r="K179">
        <v>201908</v>
      </c>
      <c r="L179" t="s">
        <v>483</v>
      </c>
      <c r="N179">
        <v>-12</v>
      </c>
      <c r="O179">
        <v>-2126786.7000000002</v>
      </c>
      <c r="P179">
        <v>177232.22500000001</v>
      </c>
      <c r="Q179">
        <v>0</v>
      </c>
    </row>
    <row r="180" spans="1:17">
      <c r="A180" t="str">
        <f t="shared" si="9"/>
        <v>08_Aug</v>
      </c>
      <c r="B180">
        <v>380</v>
      </c>
      <c r="C180" t="s">
        <v>119</v>
      </c>
      <c r="F180">
        <v>405402513</v>
      </c>
      <c r="G180" t="s">
        <v>470</v>
      </c>
      <c r="H180" t="s">
        <v>478</v>
      </c>
      <c r="I180" t="s">
        <v>479</v>
      </c>
      <c r="J180" t="s">
        <v>473</v>
      </c>
      <c r="K180">
        <v>201908</v>
      </c>
      <c r="L180" t="s">
        <v>119</v>
      </c>
      <c r="N180">
        <v>1</v>
      </c>
      <c r="O180">
        <v>0</v>
      </c>
      <c r="P180">
        <v>0</v>
      </c>
      <c r="Q180">
        <v>0</v>
      </c>
    </row>
    <row r="181" spans="1:17">
      <c r="A181" t="str">
        <f t="shared" si="9"/>
        <v>09_Sep</v>
      </c>
      <c r="B181">
        <v>380</v>
      </c>
      <c r="C181" t="s">
        <v>119</v>
      </c>
      <c r="F181">
        <v>405402513</v>
      </c>
      <c r="G181" t="s">
        <v>470</v>
      </c>
      <c r="H181" t="s">
        <v>478</v>
      </c>
      <c r="I181" t="s">
        <v>479</v>
      </c>
      <c r="J181" t="s">
        <v>473</v>
      </c>
      <c r="K181">
        <v>201909</v>
      </c>
      <c r="L181" t="s">
        <v>119</v>
      </c>
      <c r="N181">
        <v>1</v>
      </c>
      <c r="O181">
        <v>0</v>
      </c>
      <c r="P181">
        <v>0</v>
      </c>
      <c r="Q181">
        <v>0</v>
      </c>
    </row>
    <row r="182" spans="1:17">
      <c r="A182" t="str">
        <f t="shared" si="9"/>
        <v>11_Nov</v>
      </c>
      <c r="B182">
        <v>380</v>
      </c>
      <c r="C182" t="s">
        <v>119</v>
      </c>
      <c r="F182">
        <v>405402513</v>
      </c>
      <c r="G182" t="s">
        <v>470</v>
      </c>
      <c r="H182" t="s">
        <v>478</v>
      </c>
      <c r="I182" t="s">
        <v>479</v>
      </c>
      <c r="J182" t="s">
        <v>473</v>
      </c>
      <c r="K182">
        <v>201911</v>
      </c>
      <c r="L182" t="s">
        <v>119</v>
      </c>
      <c r="N182">
        <v>1</v>
      </c>
      <c r="O182">
        <v>0</v>
      </c>
      <c r="P182">
        <v>0</v>
      </c>
      <c r="Q182">
        <v>0</v>
      </c>
    </row>
    <row r="183" spans="1:17">
      <c r="A183" t="str">
        <f t="shared" ref="A183:A246" si="10">IF(ISERROR(VLOOKUP(K183,$T$55:$U$66,2,FALSE)),"",VLOOKUP(K183,$T$55:$U$66,2,FALSE))</f>
        <v>05_May</v>
      </c>
      <c r="B183">
        <v>380</v>
      </c>
      <c r="C183" t="s">
        <v>119</v>
      </c>
      <c r="F183">
        <v>405402513</v>
      </c>
      <c r="G183" t="s">
        <v>470</v>
      </c>
      <c r="H183" t="s">
        <v>478</v>
      </c>
      <c r="I183" t="s">
        <v>479</v>
      </c>
      <c r="J183" t="s">
        <v>473</v>
      </c>
      <c r="K183">
        <v>201905</v>
      </c>
      <c r="L183" t="s">
        <v>119</v>
      </c>
      <c r="N183">
        <v>1</v>
      </c>
      <c r="O183">
        <v>0</v>
      </c>
      <c r="P183">
        <v>0</v>
      </c>
      <c r="Q183">
        <v>0</v>
      </c>
    </row>
    <row r="184" spans="1:17">
      <c r="A184" t="str">
        <f t="shared" si="10"/>
        <v>01_Jan</v>
      </c>
      <c r="B184">
        <v>380</v>
      </c>
      <c r="C184" t="s">
        <v>119</v>
      </c>
      <c r="F184">
        <v>405402513</v>
      </c>
      <c r="G184" t="s">
        <v>470</v>
      </c>
      <c r="H184" t="s">
        <v>478</v>
      </c>
      <c r="I184" t="s">
        <v>479</v>
      </c>
      <c r="J184" t="s">
        <v>473</v>
      </c>
      <c r="K184">
        <v>201901</v>
      </c>
      <c r="L184" t="s">
        <v>119</v>
      </c>
      <c r="N184">
        <v>2</v>
      </c>
      <c r="O184">
        <v>-20586.79</v>
      </c>
      <c r="P184">
        <v>-10293.395</v>
      </c>
      <c r="Q184">
        <v>0</v>
      </c>
    </row>
    <row r="185" spans="1:17">
      <c r="A185" t="str">
        <f t="shared" si="10"/>
        <v>02_Feb</v>
      </c>
      <c r="B185">
        <v>380</v>
      </c>
      <c r="C185" t="s">
        <v>119</v>
      </c>
      <c r="F185">
        <v>405402513</v>
      </c>
      <c r="G185" t="s">
        <v>470</v>
      </c>
      <c r="H185" t="s">
        <v>478</v>
      </c>
      <c r="I185" t="s">
        <v>479</v>
      </c>
      <c r="J185" t="s">
        <v>473</v>
      </c>
      <c r="K185">
        <v>201902</v>
      </c>
      <c r="L185" t="s">
        <v>119</v>
      </c>
      <c r="N185">
        <v>1</v>
      </c>
      <c r="O185">
        <v>0</v>
      </c>
      <c r="P185">
        <v>0</v>
      </c>
      <c r="Q185">
        <v>0</v>
      </c>
    </row>
    <row r="186" spans="1:17">
      <c r="A186" t="str">
        <f t="shared" si="10"/>
        <v>03_Mar</v>
      </c>
      <c r="B186">
        <v>380</v>
      </c>
      <c r="C186" t="s">
        <v>119</v>
      </c>
      <c r="F186">
        <v>405402513</v>
      </c>
      <c r="G186" t="s">
        <v>470</v>
      </c>
      <c r="H186" t="s">
        <v>478</v>
      </c>
      <c r="I186" t="s">
        <v>479</v>
      </c>
      <c r="J186" t="s">
        <v>473</v>
      </c>
      <c r="K186">
        <v>201903</v>
      </c>
      <c r="L186" t="s">
        <v>119</v>
      </c>
      <c r="N186">
        <v>1</v>
      </c>
      <c r="O186">
        <v>0</v>
      </c>
      <c r="P186">
        <v>0</v>
      </c>
      <c r="Q186">
        <v>0</v>
      </c>
    </row>
    <row r="187" spans="1:17">
      <c r="A187" t="str">
        <f t="shared" si="10"/>
        <v>06_Jun</v>
      </c>
      <c r="B187">
        <v>380</v>
      </c>
      <c r="C187" t="s">
        <v>119</v>
      </c>
      <c r="F187">
        <v>405402513</v>
      </c>
      <c r="G187" t="s">
        <v>470</v>
      </c>
      <c r="H187" t="s">
        <v>478</v>
      </c>
      <c r="I187" t="s">
        <v>479</v>
      </c>
      <c r="J187" t="s">
        <v>473</v>
      </c>
      <c r="K187">
        <v>201906</v>
      </c>
      <c r="L187" t="s">
        <v>119</v>
      </c>
      <c r="N187">
        <v>1</v>
      </c>
      <c r="O187">
        <v>0</v>
      </c>
      <c r="P187">
        <v>0</v>
      </c>
      <c r="Q187">
        <v>0</v>
      </c>
    </row>
    <row r="188" spans="1:17">
      <c r="A188" t="str">
        <f t="shared" si="10"/>
        <v>04_Apr</v>
      </c>
      <c r="B188">
        <v>380</v>
      </c>
      <c r="C188" t="s">
        <v>119</v>
      </c>
      <c r="F188">
        <v>405402513</v>
      </c>
      <c r="G188" t="s">
        <v>470</v>
      </c>
      <c r="H188" t="s">
        <v>478</v>
      </c>
      <c r="I188" t="s">
        <v>479</v>
      </c>
      <c r="J188" t="s">
        <v>473</v>
      </c>
      <c r="K188">
        <v>201904</v>
      </c>
      <c r="L188" t="s">
        <v>119</v>
      </c>
      <c r="N188">
        <v>1</v>
      </c>
      <c r="O188">
        <v>0</v>
      </c>
      <c r="P188">
        <v>0</v>
      </c>
      <c r="Q188">
        <v>0</v>
      </c>
    </row>
    <row r="189" spans="1:17">
      <c r="A189" t="str">
        <f t="shared" si="10"/>
        <v>10_Oct</v>
      </c>
      <c r="B189">
        <v>380</v>
      </c>
      <c r="C189" t="s">
        <v>119</v>
      </c>
      <c r="F189">
        <v>405402513</v>
      </c>
      <c r="G189" t="s">
        <v>470</v>
      </c>
      <c r="H189" t="s">
        <v>478</v>
      </c>
      <c r="I189" t="s">
        <v>479</v>
      </c>
      <c r="J189" t="s">
        <v>473</v>
      </c>
      <c r="K189">
        <v>201910</v>
      </c>
      <c r="L189" t="s">
        <v>119</v>
      </c>
      <c r="N189">
        <v>1</v>
      </c>
      <c r="O189">
        <v>0</v>
      </c>
      <c r="P189">
        <v>0</v>
      </c>
      <c r="Q189">
        <v>0</v>
      </c>
    </row>
    <row r="190" spans="1:17">
      <c r="A190" t="str">
        <f t="shared" si="10"/>
        <v>07_Jul</v>
      </c>
      <c r="B190">
        <v>380</v>
      </c>
      <c r="C190" t="s">
        <v>119</v>
      </c>
      <c r="F190">
        <v>405402513</v>
      </c>
      <c r="G190" t="s">
        <v>470</v>
      </c>
      <c r="H190" t="s">
        <v>478</v>
      </c>
      <c r="I190" t="s">
        <v>479</v>
      </c>
      <c r="J190" t="s">
        <v>473</v>
      </c>
      <c r="K190">
        <v>201907</v>
      </c>
      <c r="L190" t="s">
        <v>119</v>
      </c>
      <c r="N190">
        <v>1</v>
      </c>
      <c r="O190">
        <v>0</v>
      </c>
      <c r="P190">
        <v>0</v>
      </c>
      <c r="Q190">
        <v>0</v>
      </c>
    </row>
    <row r="191" spans="1:17">
      <c r="A191" t="str">
        <f t="shared" si="10"/>
        <v>12_Dec</v>
      </c>
      <c r="B191">
        <v>380</v>
      </c>
      <c r="C191" t="s">
        <v>119</v>
      </c>
      <c r="F191">
        <v>405402513</v>
      </c>
      <c r="G191" t="s">
        <v>470</v>
      </c>
      <c r="H191" t="s">
        <v>478</v>
      </c>
      <c r="I191" t="s">
        <v>479</v>
      </c>
      <c r="J191" t="s">
        <v>473</v>
      </c>
      <c r="K191">
        <v>201912</v>
      </c>
      <c r="L191" t="s">
        <v>119</v>
      </c>
      <c r="N191">
        <v>1</v>
      </c>
      <c r="O191">
        <v>0</v>
      </c>
      <c r="P191">
        <v>0</v>
      </c>
      <c r="Q191">
        <v>0</v>
      </c>
    </row>
    <row r="192" spans="1:17">
      <c r="A192" t="str">
        <f t="shared" si="10"/>
        <v>08_Aug</v>
      </c>
      <c r="B192">
        <v>380</v>
      </c>
      <c r="C192" t="s">
        <v>119</v>
      </c>
      <c r="F192">
        <v>452731391</v>
      </c>
      <c r="G192" t="s">
        <v>470</v>
      </c>
      <c r="H192" t="s">
        <v>478</v>
      </c>
      <c r="I192" t="s">
        <v>479</v>
      </c>
      <c r="J192" t="s">
        <v>474</v>
      </c>
      <c r="K192">
        <v>201908</v>
      </c>
      <c r="L192" t="s">
        <v>484</v>
      </c>
      <c r="N192">
        <v>6</v>
      </c>
      <c r="O192">
        <v>47000.73</v>
      </c>
      <c r="P192">
        <v>7833.4549999999999</v>
      </c>
      <c r="Q192">
        <v>0</v>
      </c>
    </row>
    <row r="193" spans="1:17">
      <c r="A193" t="str">
        <f t="shared" si="10"/>
        <v>05_May</v>
      </c>
      <c r="B193">
        <v>380</v>
      </c>
      <c r="C193" t="s">
        <v>119</v>
      </c>
      <c r="F193">
        <v>408160257</v>
      </c>
      <c r="G193" t="s">
        <v>470</v>
      </c>
      <c r="H193" t="s">
        <v>478</v>
      </c>
      <c r="I193" t="s">
        <v>479</v>
      </c>
      <c r="J193" t="s">
        <v>473</v>
      </c>
      <c r="K193">
        <v>201905</v>
      </c>
      <c r="L193" t="s">
        <v>484</v>
      </c>
      <c r="N193">
        <v>2</v>
      </c>
      <c r="O193">
        <v>1761.37</v>
      </c>
      <c r="P193">
        <v>880.68499999999995</v>
      </c>
      <c r="Q193">
        <v>0</v>
      </c>
    </row>
    <row r="194" spans="1:17">
      <c r="A194" t="str">
        <f t="shared" si="10"/>
        <v>12_Dec</v>
      </c>
      <c r="B194">
        <v>380</v>
      </c>
      <c r="C194" t="s">
        <v>119</v>
      </c>
      <c r="F194">
        <v>408160257</v>
      </c>
      <c r="G194" t="s">
        <v>470</v>
      </c>
      <c r="H194" t="s">
        <v>478</v>
      </c>
      <c r="I194" t="s">
        <v>479</v>
      </c>
      <c r="J194" t="s">
        <v>473</v>
      </c>
      <c r="K194">
        <v>201912</v>
      </c>
      <c r="L194" t="s">
        <v>484</v>
      </c>
      <c r="N194">
        <v>2</v>
      </c>
      <c r="O194">
        <v>5183.21</v>
      </c>
      <c r="P194">
        <v>2591.605</v>
      </c>
      <c r="Q194">
        <v>0</v>
      </c>
    </row>
    <row r="195" spans="1:17">
      <c r="A195" t="str">
        <f t="shared" si="10"/>
        <v>04_Apr</v>
      </c>
      <c r="B195">
        <v>380</v>
      </c>
      <c r="C195" t="s">
        <v>119</v>
      </c>
      <c r="F195">
        <v>408160257</v>
      </c>
      <c r="G195" t="s">
        <v>470</v>
      </c>
      <c r="H195" t="s">
        <v>478</v>
      </c>
      <c r="I195" t="s">
        <v>479</v>
      </c>
      <c r="J195" t="s">
        <v>473</v>
      </c>
      <c r="K195">
        <v>201904</v>
      </c>
      <c r="L195" t="s">
        <v>484</v>
      </c>
      <c r="N195">
        <v>2</v>
      </c>
      <c r="O195">
        <v>922.03</v>
      </c>
      <c r="P195">
        <v>461.01499999999999</v>
      </c>
      <c r="Q195">
        <v>0</v>
      </c>
    </row>
    <row r="196" spans="1:17">
      <c r="A196" t="str">
        <f t="shared" si="10"/>
        <v>10_Oct</v>
      </c>
      <c r="B196">
        <v>380</v>
      </c>
      <c r="C196" t="s">
        <v>119</v>
      </c>
      <c r="F196">
        <v>408160257</v>
      </c>
      <c r="G196" t="s">
        <v>470</v>
      </c>
      <c r="H196" t="s">
        <v>478</v>
      </c>
      <c r="I196" t="s">
        <v>479</v>
      </c>
      <c r="J196" t="s">
        <v>473</v>
      </c>
      <c r="K196">
        <v>201910</v>
      </c>
      <c r="L196" t="s">
        <v>484</v>
      </c>
      <c r="N196">
        <v>2</v>
      </c>
      <c r="O196">
        <v>5016.43</v>
      </c>
      <c r="P196">
        <v>2508.2150000000001</v>
      </c>
      <c r="Q196">
        <v>0</v>
      </c>
    </row>
    <row r="197" spans="1:17">
      <c r="A197" t="str">
        <f t="shared" si="10"/>
        <v>11_Nov</v>
      </c>
      <c r="B197">
        <v>380</v>
      </c>
      <c r="C197" t="s">
        <v>119</v>
      </c>
      <c r="F197">
        <v>408160257</v>
      </c>
      <c r="G197" t="s">
        <v>470</v>
      </c>
      <c r="H197" t="s">
        <v>478</v>
      </c>
      <c r="I197" t="s">
        <v>479</v>
      </c>
      <c r="J197" t="s">
        <v>473</v>
      </c>
      <c r="K197">
        <v>201911</v>
      </c>
      <c r="L197" t="s">
        <v>484</v>
      </c>
      <c r="N197">
        <v>2</v>
      </c>
      <c r="O197">
        <v>5697.69</v>
      </c>
      <c r="P197">
        <v>2848.8449999999998</v>
      </c>
      <c r="Q197">
        <v>0</v>
      </c>
    </row>
    <row r="198" spans="1:17">
      <c r="A198" t="str">
        <f t="shared" si="10"/>
        <v>03_Mar</v>
      </c>
      <c r="B198">
        <v>380</v>
      </c>
      <c r="C198" t="s">
        <v>119</v>
      </c>
      <c r="F198">
        <v>408160257</v>
      </c>
      <c r="G198" t="s">
        <v>470</v>
      </c>
      <c r="H198" t="s">
        <v>478</v>
      </c>
      <c r="I198" t="s">
        <v>479</v>
      </c>
      <c r="J198" t="s">
        <v>473</v>
      </c>
      <c r="K198">
        <v>201903</v>
      </c>
      <c r="L198" t="s">
        <v>484</v>
      </c>
      <c r="N198">
        <v>2</v>
      </c>
      <c r="O198">
        <v>3486.26</v>
      </c>
      <c r="P198">
        <v>1743.13</v>
      </c>
      <c r="Q198">
        <v>0</v>
      </c>
    </row>
    <row r="199" spans="1:17">
      <c r="A199" t="str">
        <f t="shared" si="10"/>
        <v>06_Jun</v>
      </c>
      <c r="B199">
        <v>380</v>
      </c>
      <c r="C199" t="s">
        <v>119</v>
      </c>
      <c r="F199">
        <v>408160257</v>
      </c>
      <c r="G199" t="s">
        <v>470</v>
      </c>
      <c r="H199" t="s">
        <v>478</v>
      </c>
      <c r="I199" t="s">
        <v>479</v>
      </c>
      <c r="J199" t="s">
        <v>473</v>
      </c>
      <c r="K199">
        <v>201906</v>
      </c>
      <c r="L199" t="s">
        <v>484</v>
      </c>
      <c r="N199">
        <v>2</v>
      </c>
      <c r="O199">
        <v>6242.28</v>
      </c>
      <c r="P199">
        <v>3121.14</v>
      </c>
      <c r="Q199">
        <v>0</v>
      </c>
    </row>
    <row r="200" spans="1:17">
      <c r="A200" t="str">
        <f t="shared" si="10"/>
        <v>09_Sep</v>
      </c>
      <c r="B200">
        <v>380</v>
      </c>
      <c r="C200" t="s">
        <v>119</v>
      </c>
      <c r="F200">
        <v>408160257</v>
      </c>
      <c r="G200" t="s">
        <v>470</v>
      </c>
      <c r="H200" t="s">
        <v>478</v>
      </c>
      <c r="I200" t="s">
        <v>479</v>
      </c>
      <c r="J200" t="s">
        <v>473</v>
      </c>
      <c r="K200">
        <v>201909</v>
      </c>
      <c r="L200" t="s">
        <v>484</v>
      </c>
      <c r="N200">
        <v>2</v>
      </c>
      <c r="O200">
        <v>8868.14</v>
      </c>
      <c r="P200">
        <v>4434.07</v>
      </c>
      <c r="Q200">
        <v>0</v>
      </c>
    </row>
    <row r="201" spans="1:17">
      <c r="A201" t="str">
        <f t="shared" si="10"/>
        <v>02_Feb</v>
      </c>
      <c r="B201">
        <v>380</v>
      </c>
      <c r="C201" t="s">
        <v>119</v>
      </c>
      <c r="F201">
        <v>408160257</v>
      </c>
      <c r="G201" t="s">
        <v>470</v>
      </c>
      <c r="H201" t="s">
        <v>478</v>
      </c>
      <c r="I201" t="s">
        <v>479</v>
      </c>
      <c r="J201" t="s">
        <v>473</v>
      </c>
      <c r="K201">
        <v>201902</v>
      </c>
      <c r="L201" t="s">
        <v>484</v>
      </c>
      <c r="N201">
        <v>2</v>
      </c>
      <c r="O201">
        <v>24815.56</v>
      </c>
      <c r="P201">
        <v>12407.78</v>
      </c>
      <c r="Q201">
        <v>0</v>
      </c>
    </row>
    <row r="202" spans="1:17">
      <c r="A202" t="str">
        <f t="shared" si="10"/>
        <v>07_Jul</v>
      </c>
      <c r="B202">
        <v>380</v>
      </c>
      <c r="C202" t="s">
        <v>119</v>
      </c>
      <c r="F202">
        <v>408160257</v>
      </c>
      <c r="G202" t="s">
        <v>470</v>
      </c>
      <c r="H202" t="s">
        <v>478</v>
      </c>
      <c r="I202" t="s">
        <v>479</v>
      </c>
      <c r="J202" t="s">
        <v>473</v>
      </c>
      <c r="K202">
        <v>201907</v>
      </c>
      <c r="L202" t="s">
        <v>484</v>
      </c>
      <c r="N202">
        <v>2</v>
      </c>
      <c r="O202">
        <v>8213.9699999999993</v>
      </c>
      <c r="P202">
        <v>4106.9849999999997</v>
      </c>
      <c r="Q202">
        <v>0</v>
      </c>
    </row>
    <row r="203" spans="1:17">
      <c r="A203" t="str">
        <f t="shared" si="10"/>
        <v>08_Aug</v>
      </c>
      <c r="B203">
        <v>380</v>
      </c>
      <c r="C203" t="s">
        <v>119</v>
      </c>
      <c r="F203">
        <v>408160257</v>
      </c>
      <c r="G203" t="s">
        <v>470</v>
      </c>
      <c r="H203" t="s">
        <v>478</v>
      </c>
      <c r="I203" t="s">
        <v>479</v>
      </c>
      <c r="J203" t="s">
        <v>473</v>
      </c>
      <c r="K203">
        <v>201908</v>
      </c>
      <c r="L203" t="s">
        <v>484</v>
      </c>
      <c r="N203">
        <v>-10</v>
      </c>
      <c r="O203">
        <v>-36836.839999999997</v>
      </c>
      <c r="P203">
        <v>3683.6840000000002</v>
      </c>
      <c r="Q203">
        <v>0</v>
      </c>
    </row>
    <row r="204" spans="1:17">
      <c r="A204" t="str">
        <f t="shared" si="10"/>
        <v>09_Sep</v>
      </c>
      <c r="B204">
        <v>380</v>
      </c>
      <c r="C204" t="s">
        <v>288</v>
      </c>
      <c r="F204">
        <v>405402531</v>
      </c>
      <c r="G204" t="s">
        <v>470</v>
      </c>
      <c r="H204" t="s">
        <v>478</v>
      </c>
      <c r="I204" t="s">
        <v>479</v>
      </c>
      <c r="J204" t="s">
        <v>473</v>
      </c>
      <c r="K204">
        <v>201909</v>
      </c>
      <c r="L204" t="s">
        <v>288</v>
      </c>
      <c r="N204">
        <v>1</v>
      </c>
      <c r="O204">
        <v>0</v>
      </c>
      <c r="P204">
        <v>0</v>
      </c>
      <c r="Q204">
        <v>0</v>
      </c>
    </row>
    <row r="205" spans="1:17">
      <c r="A205" t="str">
        <f t="shared" si="10"/>
        <v>10_Oct</v>
      </c>
      <c r="B205">
        <v>380</v>
      </c>
      <c r="C205" t="s">
        <v>288</v>
      </c>
      <c r="F205">
        <v>405402531</v>
      </c>
      <c r="G205" t="s">
        <v>470</v>
      </c>
      <c r="H205" t="s">
        <v>478</v>
      </c>
      <c r="I205" t="s">
        <v>479</v>
      </c>
      <c r="J205" t="s">
        <v>473</v>
      </c>
      <c r="K205">
        <v>201910</v>
      </c>
      <c r="L205" t="s">
        <v>288</v>
      </c>
      <c r="N205">
        <v>1</v>
      </c>
      <c r="O205">
        <v>0</v>
      </c>
      <c r="P205">
        <v>0</v>
      </c>
      <c r="Q205">
        <v>0</v>
      </c>
    </row>
    <row r="206" spans="1:17">
      <c r="A206" t="str">
        <f t="shared" si="10"/>
        <v>12_Dec</v>
      </c>
      <c r="B206">
        <v>380</v>
      </c>
      <c r="C206" t="s">
        <v>288</v>
      </c>
      <c r="F206">
        <v>405402531</v>
      </c>
      <c r="G206" t="s">
        <v>470</v>
      </c>
      <c r="H206" t="s">
        <v>478</v>
      </c>
      <c r="I206" t="s">
        <v>479</v>
      </c>
      <c r="J206" t="s">
        <v>473</v>
      </c>
      <c r="K206">
        <v>201912</v>
      </c>
      <c r="L206" t="s">
        <v>288</v>
      </c>
      <c r="N206">
        <v>1</v>
      </c>
      <c r="O206">
        <v>0</v>
      </c>
      <c r="P206">
        <v>0</v>
      </c>
      <c r="Q206">
        <v>0</v>
      </c>
    </row>
    <row r="207" spans="1:17">
      <c r="A207" t="str">
        <f t="shared" si="10"/>
        <v>02_Feb</v>
      </c>
      <c r="B207">
        <v>380</v>
      </c>
      <c r="C207" t="s">
        <v>288</v>
      </c>
      <c r="F207">
        <v>405402531</v>
      </c>
      <c r="G207" t="s">
        <v>470</v>
      </c>
      <c r="H207" t="s">
        <v>478</v>
      </c>
      <c r="I207" t="s">
        <v>479</v>
      </c>
      <c r="J207" t="s">
        <v>473</v>
      </c>
      <c r="K207">
        <v>201902</v>
      </c>
      <c r="L207" t="s">
        <v>288</v>
      </c>
      <c r="N207">
        <v>1</v>
      </c>
      <c r="O207">
        <v>0</v>
      </c>
      <c r="P207">
        <v>0</v>
      </c>
      <c r="Q207">
        <v>0</v>
      </c>
    </row>
    <row r="208" spans="1:17">
      <c r="A208" t="str">
        <f t="shared" si="10"/>
        <v>03_Mar</v>
      </c>
      <c r="B208">
        <v>380</v>
      </c>
      <c r="C208" t="s">
        <v>288</v>
      </c>
      <c r="F208">
        <v>405402531</v>
      </c>
      <c r="G208" t="s">
        <v>470</v>
      </c>
      <c r="H208" t="s">
        <v>478</v>
      </c>
      <c r="I208" t="s">
        <v>479</v>
      </c>
      <c r="J208" t="s">
        <v>473</v>
      </c>
      <c r="K208">
        <v>201903</v>
      </c>
      <c r="L208" t="s">
        <v>288</v>
      </c>
      <c r="N208">
        <v>1</v>
      </c>
      <c r="O208">
        <v>0</v>
      </c>
      <c r="P208">
        <v>0</v>
      </c>
      <c r="Q208">
        <v>0</v>
      </c>
    </row>
    <row r="209" spans="1:17">
      <c r="A209" t="str">
        <f t="shared" si="10"/>
        <v>07_Jul</v>
      </c>
      <c r="B209">
        <v>380</v>
      </c>
      <c r="C209" t="s">
        <v>288</v>
      </c>
      <c r="F209">
        <v>405402531</v>
      </c>
      <c r="G209" t="s">
        <v>470</v>
      </c>
      <c r="H209" t="s">
        <v>478</v>
      </c>
      <c r="I209" t="s">
        <v>479</v>
      </c>
      <c r="J209" t="s">
        <v>473</v>
      </c>
      <c r="K209">
        <v>201907</v>
      </c>
      <c r="L209" t="s">
        <v>288</v>
      </c>
      <c r="N209">
        <v>1</v>
      </c>
      <c r="O209">
        <v>0</v>
      </c>
      <c r="P209">
        <v>0</v>
      </c>
      <c r="Q209">
        <v>0</v>
      </c>
    </row>
    <row r="210" spans="1:17">
      <c r="A210" t="str">
        <f t="shared" si="10"/>
        <v>11_Nov</v>
      </c>
      <c r="B210">
        <v>380</v>
      </c>
      <c r="C210" t="s">
        <v>288</v>
      </c>
      <c r="F210">
        <v>405402531</v>
      </c>
      <c r="G210" t="s">
        <v>470</v>
      </c>
      <c r="H210" t="s">
        <v>478</v>
      </c>
      <c r="I210" t="s">
        <v>479</v>
      </c>
      <c r="J210" t="s">
        <v>473</v>
      </c>
      <c r="K210">
        <v>201911</v>
      </c>
      <c r="L210" t="s">
        <v>288</v>
      </c>
      <c r="N210">
        <v>1</v>
      </c>
      <c r="O210">
        <v>0</v>
      </c>
      <c r="P210">
        <v>0</v>
      </c>
      <c r="Q210">
        <v>0</v>
      </c>
    </row>
    <row r="211" spans="1:17">
      <c r="A211" t="str">
        <f t="shared" si="10"/>
        <v>04_Apr</v>
      </c>
      <c r="B211">
        <v>380</v>
      </c>
      <c r="C211" t="s">
        <v>288</v>
      </c>
      <c r="F211">
        <v>405402531</v>
      </c>
      <c r="G211" t="s">
        <v>470</v>
      </c>
      <c r="H211" t="s">
        <v>478</v>
      </c>
      <c r="I211" t="s">
        <v>479</v>
      </c>
      <c r="J211" t="s">
        <v>473</v>
      </c>
      <c r="K211">
        <v>201904</v>
      </c>
      <c r="L211" t="s">
        <v>288</v>
      </c>
      <c r="N211">
        <v>1</v>
      </c>
      <c r="O211">
        <v>0</v>
      </c>
      <c r="P211">
        <v>0</v>
      </c>
      <c r="Q211">
        <v>0</v>
      </c>
    </row>
    <row r="212" spans="1:17">
      <c r="A212" t="str">
        <f t="shared" si="10"/>
        <v>05_May</v>
      </c>
      <c r="B212">
        <v>380</v>
      </c>
      <c r="C212" t="s">
        <v>288</v>
      </c>
      <c r="F212">
        <v>405402531</v>
      </c>
      <c r="G212" t="s">
        <v>470</v>
      </c>
      <c r="H212" t="s">
        <v>478</v>
      </c>
      <c r="I212" t="s">
        <v>479</v>
      </c>
      <c r="J212" t="s">
        <v>473</v>
      </c>
      <c r="K212">
        <v>201905</v>
      </c>
      <c r="L212" t="s">
        <v>288</v>
      </c>
      <c r="N212">
        <v>1</v>
      </c>
      <c r="O212">
        <v>0</v>
      </c>
      <c r="P212">
        <v>0</v>
      </c>
      <c r="Q212">
        <v>0</v>
      </c>
    </row>
    <row r="213" spans="1:17">
      <c r="A213" t="str">
        <f t="shared" si="10"/>
        <v>01_Jan</v>
      </c>
      <c r="B213">
        <v>380</v>
      </c>
      <c r="C213" t="s">
        <v>288</v>
      </c>
      <c r="F213">
        <v>405402531</v>
      </c>
      <c r="G213" t="s">
        <v>470</v>
      </c>
      <c r="H213" t="s">
        <v>478</v>
      </c>
      <c r="I213" t="s">
        <v>479</v>
      </c>
      <c r="J213" t="s">
        <v>473</v>
      </c>
      <c r="K213">
        <v>201901</v>
      </c>
      <c r="L213" t="s">
        <v>288</v>
      </c>
      <c r="N213">
        <v>2</v>
      </c>
      <c r="O213">
        <v>-65430.65</v>
      </c>
      <c r="P213">
        <v>-32715.325000000001</v>
      </c>
      <c r="Q213">
        <v>0</v>
      </c>
    </row>
    <row r="214" spans="1:17">
      <c r="A214" t="str">
        <f t="shared" si="10"/>
        <v>06_Jun</v>
      </c>
      <c r="B214">
        <v>380</v>
      </c>
      <c r="C214" t="s">
        <v>288</v>
      </c>
      <c r="F214">
        <v>405402531</v>
      </c>
      <c r="G214" t="s">
        <v>470</v>
      </c>
      <c r="H214" t="s">
        <v>478</v>
      </c>
      <c r="I214" t="s">
        <v>479</v>
      </c>
      <c r="J214" t="s">
        <v>473</v>
      </c>
      <c r="K214">
        <v>201906</v>
      </c>
      <c r="L214" t="s">
        <v>288</v>
      </c>
      <c r="N214">
        <v>1</v>
      </c>
      <c r="O214">
        <v>0</v>
      </c>
      <c r="P214">
        <v>0</v>
      </c>
      <c r="Q214">
        <v>0</v>
      </c>
    </row>
    <row r="215" spans="1:17">
      <c r="A215" t="str">
        <f t="shared" si="10"/>
        <v>08_Aug</v>
      </c>
      <c r="B215">
        <v>380</v>
      </c>
      <c r="C215" t="s">
        <v>288</v>
      </c>
      <c r="F215">
        <v>405402531</v>
      </c>
      <c r="G215" t="s">
        <v>470</v>
      </c>
      <c r="H215" t="s">
        <v>478</v>
      </c>
      <c r="I215" t="s">
        <v>479</v>
      </c>
      <c r="J215" t="s">
        <v>473</v>
      </c>
      <c r="K215">
        <v>201908</v>
      </c>
      <c r="L215" t="s">
        <v>288</v>
      </c>
      <c r="N215">
        <v>1</v>
      </c>
      <c r="O215">
        <v>0</v>
      </c>
      <c r="P215">
        <v>0</v>
      </c>
      <c r="Q215">
        <v>0</v>
      </c>
    </row>
    <row r="216" spans="1:17">
      <c r="A216" t="str">
        <f t="shared" si="10"/>
        <v>07_Jul</v>
      </c>
      <c r="B216">
        <v>380</v>
      </c>
      <c r="C216" t="s">
        <v>288</v>
      </c>
      <c r="F216">
        <v>408160282</v>
      </c>
      <c r="G216" t="s">
        <v>470</v>
      </c>
      <c r="H216" t="s">
        <v>478</v>
      </c>
      <c r="I216" t="s">
        <v>479</v>
      </c>
      <c r="J216" t="s">
        <v>473</v>
      </c>
      <c r="K216">
        <v>201907</v>
      </c>
      <c r="L216" t="s">
        <v>485</v>
      </c>
      <c r="N216">
        <v>1</v>
      </c>
      <c r="O216">
        <v>246.85</v>
      </c>
      <c r="P216">
        <v>246.85</v>
      </c>
      <c r="Q216">
        <v>0</v>
      </c>
    </row>
    <row r="217" spans="1:17">
      <c r="A217" t="str">
        <f t="shared" si="10"/>
        <v>10_Oct</v>
      </c>
      <c r="B217">
        <v>380</v>
      </c>
      <c r="C217" t="s">
        <v>288</v>
      </c>
      <c r="F217">
        <v>408160282</v>
      </c>
      <c r="G217" t="s">
        <v>470</v>
      </c>
      <c r="H217" t="s">
        <v>478</v>
      </c>
      <c r="I217" t="s">
        <v>479</v>
      </c>
      <c r="J217" t="s">
        <v>473</v>
      </c>
      <c r="K217">
        <v>201910</v>
      </c>
      <c r="L217" t="s">
        <v>485</v>
      </c>
      <c r="N217">
        <v>2</v>
      </c>
      <c r="O217">
        <v>8787.6</v>
      </c>
      <c r="P217">
        <v>4393.8</v>
      </c>
      <c r="Q217">
        <v>0</v>
      </c>
    </row>
    <row r="218" spans="1:17">
      <c r="A218" t="str">
        <f t="shared" si="10"/>
        <v>02_Feb</v>
      </c>
      <c r="B218">
        <v>380</v>
      </c>
      <c r="C218" t="s">
        <v>288</v>
      </c>
      <c r="F218">
        <v>408160282</v>
      </c>
      <c r="G218" t="s">
        <v>470</v>
      </c>
      <c r="H218" t="s">
        <v>478</v>
      </c>
      <c r="I218" t="s">
        <v>479</v>
      </c>
      <c r="J218" t="s">
        <v>473</v>
      </c>
      <c r="K218">
        <v>201902</v>
      </c>
      <c r="L218" t="s">
        <v>485</v>
      </c>
      <c r="N218">
        <v>1</v>
      </c>
      <c r="O218">
        <v>69345.33</v>
      </c>
      <c r="P218">
        <v>69345.33</v>
      </c>
      <c r="Q218">
        <v>0</v>
      </c>
    </row>
    <row r="219" spans="1:17">
      <c r="A219" t="str">
        <f t="shared" si="10"/>
        <v>03_Mar</v>
      </c>
      <c r="B219">
        <v>380</v>
      </c>
      <c r="C219" t="s">
        <v>288</v>
      </c>
      <c r="F219">
        <v>408160282</v>
      </c>
      <c r="G219" t="s">
        <v>470</v>
      </c>
      <c r="H219" t="s">
        <v>478</v>
      </c>
      <c r="I219" t="s">
        <v>479</v>
      </c>
      <c r="J219" t="s">
        <v>473</v>
      </c>
      <c r="K219">
        <v>201903</v>
      </c>
      <c r="L219" t="s">
        <v>485</v>
      </c>
      <c r="N219">
        <v>1</v>
      </c>
      <c r="O219">
        <v>0</v>
      </c>
      <c r="P219">
        <v>0</v>
      </c>
      <c r="Q219">
        <v>0</v>
      </c>
    </row>
    <row r="220" spans="1:17">
      <c r="A220" t="str">
        <f t="shared" si="10"/>
        <v>08_Aug</v>
      </c>
      <c r="B220">
        <v>380</v>
      </c>
      <c r="C220" t="s">
        <v>288</v>
      </c>
      <c r="F220">
        <v>408160282</v>
      </c>
      <c r="G220" t="s">
        <v>470</v>
      </c>
      <c r="H220" t="s">
        <v>478</v>
      </c>
      <c r="I220" t="s">
        <v>479</v>
      </c>
      <c r="J220" t="s">
        <v>473</v>
      </c>
      <c r="K220">
        <v>201908</v>
      </c>
      <c r="L220" t="s">
        <v>485</v>
      </c>
      <c r="N220">
        <v>-7</v>
      </c>
      <c r="O220">
        <v>-73145.78</v>
      </c>
      <c r="P220">
        <v>10449.3971428571</v>
      </c>
      <c r="Q220">
        <v>0</v>
      </c>
    </row>
    <row r="221" spans="1:17">
      <c r="A221" t="str">
        <f t="shared" si="10"/>
        <v>09_Sep</v>
      </c>
      <c r="B221">
        <v>380</v>
      </c>
      <c r="C221" t="s">
        <v>288</v>
      </c>
      <c r="F221">
        <v>408160282</v>
      </c>
      <c r="G221" t="s">
        <v>470</v>
      </c>
      <c r="H221" t="s">
        <v>478</v>
      </c>
      <c r="I221" t="s">
        <v>479</v>
      </c>
      <c r="J221" t="s">
        <v>473</v>
      </c>
      <c r="K221">
        <v>201909</v>
      </c>
      <c r="L221" t="s">
        <v>485</v>
      </c>
      <c r="N221">
        <v>1</v>
      </c>
      <c r="O221">
        <v>1264.29</v>
      </c>
      <c r="P221">
        <v>1264.29</v>
      </c>
      <c r="Q221">
        <v>0</v>
      </c>
    </row>
    <row r="222" spans="1:17">
      <c r="A222" t="str">
        <f t="shared" si="10"/>
        <v>12_Dec</v>
      </c>
      <c r="B222">
        <v>380</v>
      </c>
      <c r="C222" t="s">
        <v>288</v>
      </c>
      <c r="F222">
        <v>408160282</v>
      </c>
      <c r="G222" t="s">
        <v>470</v>
      </c>
      <c r="H222" t="s">
        <v>478</v>
      </c>
      <c r="I222" t="s">
        <v>479</v>
      </c>
      <c r="J222" t="s">
        <v>473</v>
      </c>
      <c r="K222">
        <v>201912</v>
      </c>
      <c r="L222" t="s">
        <v>485</v>
      </c>
      <c r="N222">
        <v>1</v>
      </c>
      <c r="O222">
        <v>10927.35</v>
      </c>
      <c r="P222">
        <v>10927.35</v>
      </c>
      <c r="Q222">
        <v>0</v>
      </c>
    </row>
    <row r="223" spans="1:17">
      <c r="A223" t="str">
        <f t="shared" si="10"/>
        <v>08_Aug</v>
      </c>
      <c r="B223">
        <v>380</v>
      </c>
      <c r="C223" t="s">
        <v>288</v>
      </c>
      <c r="F223">
        <v>452731391</v>
      </c>
      <c r="G223" t="s">
        <v>470</v>
      </c>
      <c r="H223" t="s">
        <v>478</v>
      </c>
      <c r="I223" t="s">
        <v>479</v>
      </c>
      <c r="J223" t="s">
        <v>474</v>
      </c>
      <c r="K223">
        <v>201908</v>
      </c>
      <c r="L223" t="s">
        <v>485</v>
      </c>
      <c r="N223">
        <v>4</v>
      </c>
      <c r="O223">
        <v>45457.89</v>
      </c>
      <c r="P223">
        <v>11364.4725</v>
      </c>
      <c r="Q223">
        <v>0</v>
      </c>
    </row>
    <row r="224" spans="1:17">
      <c r="A224" t="str">
        <f t="shared" si="10"/>
        <v>08_Aug</v>
      </c>
      <c r="B224">
        <v>380</v>
      </c>
      <c r="C224" t="s">
        <v>288</v>
      </c>
      <c r="F224">
        <v>452731374</v>
      </c>
      <c r="G224" t="s">
        <v>470</v>
      </c>
      <c r="H224" t="s">
        <v>478</v>
      </c>
      <c r="I224" t="s">
        <v>479</v>
      </c>
      <c r="J224" t="s">
        <v>474</v>
      </c>
      <c r="K224">
        <v>201908</v>
      </c>
      <c r="L224" t="s">
        <v>485</v>
      </c>
      <c r="N224">
        <v>1</v>
      </c>
      <c r="O224">
        <v>6678.61</v>
      </c>
      <c r="P224">
        <v>6678.61</v>
      </c>
      <c r="Q224">
        <v>0</v>
      </c>
    </row>
    <row r="225" spans="1:17">
      <c r="A225" t="str">
        <f t="shared" si="10"/>
        <v>04_Apr</v>
      </c>
      <c r="B225">
        <v>380</v>
      </c>
      <c r="C225" t="s">
        <v>288</v>
      </c>
      <c r="F225">
        <v>408160282</v>
      </c>
      <c r="G225" t="s">
        <v>470</v>
      </c>
      <c r="H225" t="s">
        <v>478</v>
      </c>
      <c r="I225" t="s">
        <v>479</v>
      </c>
      <c r="J225" t="s">
        <v>473</v>
      </c>
      <c r="K225">
        <v>201904</v>
      </c>
      <c r="L225" t="s">
        <v>485</v>
      </c>
      <c r="N225">
        <v>1</v>
      </c>
      <c r="O225">
        <v>0</v>
      </c>
      <c r="P225">
        <v>0</v>
      </c>
      <c r="Q225">
        <v>0</v>
      </c>
    </row>
    <row r="226" spans="1:17">
      <c r="A226" t="str">
        <f t="shared" si="10"/>
        <v>11_Nov</v>
      </c>
      <c r="B226">
        <v>380</v>
      </c>
      <c r="C226" t="s">
        <v>288</v>
      </c>
      <c r="F226">
        <v>408160282</v>
      </c>
      <c r="G226" t="s">
        <v>470</v>
      </c>
      <c r="H226" t="s">
        <v>478</v>
      </c>
      <c r="I226" t="s">
        <v>479</v>
      </c>
      <c r="J226" t="s">
        <v>473</v>
      </c>
      <c r="K226">
        <v>201911</v>
      </c>
      <c r="L226" t="s">
        <v>485</v>
      </c>
      <c r="N226">
        <v>2</v>
      </c>
      <c r="O226">
        <v>1568.78</v>
      </c>
      <c r="P226">
        <v>784.39</v>
      </c>
      <c r="Q226">
        <v>0</v>
      </c>
    </row>
    <row r="227" spans="1:17">
      <c r="A227" t="str">
        <f t="shared" si="10"/>
        <v>08_Aug</v>
      </c>
      <c r="B227">
        <v>380</v>
      </c>
      <c r="C227" t="s">
        <v>288</v>
      </c>
      <c r="F227">
        <v>452731400</v>
      </c>
      <c r="G227" t="s">
        <v>470</v>
      </c>
      <c r="H227" t="s">
        <v>478</v>
      </c>
      <c r="I227" t="s">
        <v>479</v>
      </c>
      <c r="J227" t="s">
        <v>474</v>
      </c>
      <c r="K227">
        <v>201908</v>
      </c>
      <c r="L227" t="s">
        <v>485</v>
      </c>
      <c r="N227">
        <v>1</v>
      </c>
      <c r="O227">
        <v>21009.279999999999</v>
      </c>
      <c r="P227">
        <v>21009.279999999999</v>
      </c>
      <c r="Q227">
        <v>0</v>
      </c>
    </row>
    <row r="228" spans="1:17">
      <c r="A228" t="str">
        <f t="shared" si="10"/>
        <v>06_Jun</v>
      </c>
      <c r="B228">
        <v>380</v>
      </c>
      <c r="C228" t="s">
        <v>288</v>
      </c>
      <c r="F228">
        <v>408160282</v>
      </c>
      <c r="G228" t="s">
        <v>470</v>
      </c>
      <c r="H228" t="s">
        <v>478</v>
      </c>
      <c r="I228" t="s">
        <v>479</v>
      </c>
      <c r="J228" t="s">
        <v>473</v>
      </c>
      <c r="K228">
        <v>201906</v>
      </c>
      <c r="L228" t="s">
        <v>485</v>
      </c>
      <c r="N228">
        <v>2</v>
      </c>
      <c r="O228">
        <v>3553.6</v>
      </c>
      <c r="P228">
        <v>1776.8</v>
      </c>
      <c r="Q228">
        <v>0</v>
      </c>
    </row>
    <row r="229" spans="1:17">
      <c r="A229" t="str">
        <f t="shared" si="10"/>
        <v>05_May</v>
      </c>
      <c r="B229">
        <v>380</v>
      </c>
      <c r="C229" t="s">
        <v>288</v>
      </c>
      <c r="F229">
        <v>408160282</v>
      </c>
      <c r="G229" t="s">
        <v>470</v>
      </c>
      <c r="H229" t="s">
        <v>478</v>
      </c>
      <c r="I229" t="s">
        <v>479</v>
      </c>
      <c r="J229" t="s">
        <v>473</v>
      </c>
      <c r="K229">
        <v>201905</v>
      </c>
      <c r="L229" t="s">
        <v>485</v>
      </c>
      <c r="N229">
        <v>1</v>
      </c>
      <c r="O229">
        <v>0</v>
      </c>
      <c r="P229">
        <v>0</v>
      </c>
      <c r="Q229">
        <v>0</v>
      </c>
    </row>
    <row r="230" spans="1:17">
      <c r="A230" t="str">
        <f t="shared" si="10"/>
        <v>05_May</v>
      </c>
      <c r="B230">
        <v>380</v>
      </c>
      <c r="C230" t="s">
        <v>486</v>
      </c>
      <c r="F230">
        <v>422399289</v>
      </c>
      <c r="G230" t="s">
        <v>470</v>
      </c>
      <c r="H230" t="s">
        <v>478</v>
      </c>
      <c r="I230" t="s">
        <v>479</v>
      </c>
      <c r="J230" t="s">
        <v>474</v>
      </c>
      <c r="K230">
        <v>201905</v>
      </c>
      <c r="L230" t="s">
        <v>486</v>
      </c>
      <c r="N230">
        <v>1</v>
      </c>
      <c r="O230">
        <v>432734.28</v>
      </c>
      <c r="P230">
        <v>432734.28</v>
      </c>
      <c r="Q230">
        <v>0</v>
      </c>
    </row>
    <row r="231" spans="1:17">
      <c r="A231" t="str">
        <f t="shared" si="10"/>
        <v>05_May</v>
      </c>
      <c r="B231">
        <v>380</v>
      </c>
      <c r="C231" t="s">
        <v>486</v>
      </c>
      <c r="F231">
        <v>321308097</v>
      </c>
      <c r="G231" t="s">
        <v>470</v>
      </c>
      <c r="H231" t="s">
        <v>478</v>
      </c>
      <c r="I231" t="s">
        <v>479</v>
      </c>
      <c r="J231" t="s">
        <v>474</v>
      </c>
      <c r="K231">
        <v>201905</v>
      </c>
      <c r="L231" t="s">
        <v>486</v>
      </c>
      <c r="N231">
        <v>-5</v>
      </c>
      <c r="O231">
        <v>-22111.84</v>
      </c>
      <c r="P231">
        <v>4422.3680000000004</v>
      </c>
      <c r="Q231">
        <v>0</v>
      </c>
    </row>
    <row r="232" spans="1:17">
      <c r="A232" t="str">
        <f t="shared" si="10"/>
        <v>05_May</v>
      </c>
      <c r="B232">
        <v>380</v>
      </c>
      <c r="C232" t="s">
        <v>486</v>
      </c>
      <c r="F232">
        <v>392799805</v>
      </c>
      <c r="G232" t="s">
        <v>470</v>
      </c>
      <c r="H232" t="s">
        <v>478</v>
      </c>
      <c r="I232" t="s">
        <v>479</v>
      </c>
      <c r="J232" t="s">
        <v>474</v>
      </c>
      <c r="K232">
        <v>201905</v>
      </c>
      <c r="L232" t="s">
        <v>486</v>
      </c>
      <c r="N232">
        <v>2</v>
      </c>
      <c r="O232">
        <v>432734.28</v>
      </c>
      <c r="P232">
        <v>216367.14</v>
      </c>
      <c r="Q232">
        <v>0</v>
      </c>
    </row>
    <row r="233" spans="1:17">
      <c r="A233" t="str">
        <f t="shared" si="10"/>
        <v>05_May</v>
      </c>
      <c r="B233">
        <v>380</v>
      </c>
      <c r="C233" t="s">
        <v>486</v>
      </c>
      <c r="F233">
        <v>392799787</v>
      </c>
      <c r="G233" t="s">
        <v>470</v>
      </c>
      <c r="H233" t="s">
        <v>478</v>
      </c>
      <c r="I233" t="s">
        <v>479</v>
      </c>
      <c r="J233" t="s">
        <v>474</v>
      </c>
      <c r="K233">
        <v>201905</v>
      </c>
      <c r="L233" t="s">
        <v>486</v>
      </c>
      <c r="N233">
        <v>11</v>
      </c>
      <c r="O233">
        <v>432734.28</v>
      </c>
      <c r="P233">
        <v>39339.480000000003</v>
      </c>
      <c r="Q233">
        <v>0</v>
      </c>
    </row>
    <row r="234" spans="1:17">
      <c r="A234" t="str">
        <f t="shared" si="10"/>
        <v>05_May</v>
      </c>
      <c r="B234">
        <v>380</v>
      </c>
      <c r="C234" t="s">
        <v>486</v>
      </c>
      <c r="F234">
        <v>321308063</v>
      </c>
      <c r="G234" t="s">
        <v>470</v>
      </c>
      <c r="H234" t="s">
        <v>478</v>
      </c>
      <c r="I234" t="s">
        <v>479</v>
      </c>
      <c r="J234" t="s">
        <v>474</v>
      </c>
      <c r="K234">
        <v>201905</v>
      </c>
      <c r="L234" t="s">
        <v>486</v>
      </c>
      <c r="N234">
        <v>-1</v>
      </c>
      <c r="O234">
        <v>-6406.73</v>
      </c>
      <c r="P234">
        <v>6406.73</v>
      </c>
      <c r="Q234">
        <v>0</v>
      </c>
    </row>
    <row r="235" spans="1:17">
      <c r="A235" t="str">
        <f t="shared" si="10"/>
        <v>05_May</v>
      </c>
      <c r="B235">
        <v>380</v>
      </c>
      <c r="C235" t="s">
        <v>486</v>
      </c>
      <c r="F235">
        <v>321308029</v>
      </c>
      <c r="G235" t="s">
        <v>470</v>
      </c>
      <c r="H235" t="s">
        <v>478</v>
      </c>
      <c r="I235" t="s">
        <v>479</v>
      </c>
      <c r="J235" t="s">
        <v>474</v>
      </c>
      <c r="K235">
        <v>201905</v>
      </c>
      <c r="L235" t="s">
        <v>486</v>
      </c>
      <c r="N235">
        <v>-1</v>
      </c>
      <c r="O235">
        <v>-432734.23</v>
      </c>
      <c r="P235">
        <v>432734.23</v>
      </c>
      <c r="Q235">
        <v>0</v>
      </c>
    </row>
    <row r="236" spans="1:17">
      <c r="A236" t="str">
        <f t="shared" si="10"/>
        <v>05_May</v>
      </c>
      <c r="B236">
        <v>380</v>
      </c>
      <c r="C236" t="s">
        <v>486</v>
      </c>
      <c r="F236">
        <v>321308020</v>
      </c>
      <c r="G236" t="s">
        <v>470</v>
      </c>
      <c r="H236" t="s">
        <v>478</v>
      </c>
      <c r="I236" t="s">
        <v>479</v>
      </c>
      <c r="J236" t="s">
        <v>474</v>
      </c>
      <c r="K236">
        <v>201905</v>
      </c>
      <c r="L236" t="s">
        <v>486</v>
      </c>
      <c r="N236">
        <v>-1</v>
      </c>
      <c r="O236">
        <v>-432734.28</v>
      </c>
      <c r="P236">
        <v>432734.28</v>
      </c>
      <c r="Q236">
        <v>0</v>
      </c>
    </row>
    <row r="237" spans="1:17">
      <c r="A237" t="str">
        <f t="shared" si="10"/>
        <v>05_May</v>
      </c>
      <c r="B237">
        <v>380</v>
      </c>
      <c r="C237" t="s">
        <v>486</v>
      </c>
      <c r="F237">
        <v>321307993</v>
      </c>
      <c r="G237" t="s">
        <v>470</v>
      </c>
      <c r="H237" t="s">
        <v>478</v>
      </c>
      <c r="I237" t="s">
        <v>479</v>
      </c>
      <c r="J237" t="s">
        <v>474</v>
      </c>
      <c r="K237">
        <v>201905</v>
      </c>
      <c r="L237" t="s">
        <v>486</v>
      </c>
      <c r="N237">
        <v>-11</v>
      </c>
      <c r="O237">
        <v>-432734.28</v>
      </c>
      <c r="P237">
        <v>39339.480000000003</v>
      </c>
      <c r="Q237">
        <v>0</v>
      </c>
    </row>
    <row r="238" spans="1:17">
      <c r="A238" t="str">
        <f t="shared" si="10"/>
        <v>05_May</v>
      </c>
      <c r="B238">
        <v>380</v>
      </c>
      <c r="C238" t="s">
        <v>486</v>
      </c>
      <c r="F238">
        <v>279363480</v>
      </c>
      <c r="G238" t="s">
        <v>470</v>
      </c>
      <c r="H238" t="s">
        <v>478</v>
      </c>
      <c r="I238" t="s">
        <v>479</v>
      </c>
      <c r="J238" t="s">
        <v>474</v>
      </c>
      <c r="K238">
        <v>201905</v>
      </c>
      <c r="L238" t="s">
        <v>486</v>
      </c>
      <c r="N238">
        <v>-1</v>
      </c>
      <c r="O238">
        <v>-163662.07999999999</v>
      </c>
      <c r="P238">
        <v>163662.07999999999</v>
      </c>
      <c r="Q238">
        <v>0</v>
      </c>
    </row>
    <row r="239" spans="1:17">
      <c r="A239" t="str">
        <f t="shared" si="10"/>
        <v>05_May</v>
      </c>
      <c r="B239">
        <v>380</v>
      </c>
      <c r="C239" t="s">
        <v>486</v>
      </c>
      <c r="F239">
        <v>264941162</v>
      </c>
      <c r="G239" t="s">
        <v>470</v>
      </c>
      <c r="H239" t="s">
        <v>478</v>
      </c>
      <c r="I239" t="s">
        <v>479</v>
      </c>
      <c r="J239" t="s">
        <v>474</v>
      </c>
      <c r="K239">
        <v>201905</v>
      </c>
      <c r="L239" t="s">
        <v>486</v>
      </c>
      <c r="N239">
        <v>1</v>
      </c>
      <c r="O239">
        <v>163662.07999999999</v>
      </c>
      <c r="P239">
        <v>163662.07999999999</v>
      </c>
      <c r="Q239">
        <v>0</v>
      </c>
    </row>
    <row r="240" spans="1:17">
      <c r="A240" t="str">
        <f t="shared" si="10"/>
        <v>05_May</v>
      </c>
      <c r="B240">
        <v>380</v>
      </c>
      <c r="C240" t="s">
        <v>486</v>
      </c>
      <c r="F240">
        <v>321307984</v>
      </c>
      <c r="G240" t="s">
        <v>470</v>
      </c>
      <c r="H240" t="s">
        <v>478</v>
      </c>
      <c r="I240" t="s">
        <v>479</v>
      </c>
      <c r="J240" t="s">
        <v>474</v>
      </c>
      <c r="K240">
        <v>201905</v>
      </c>
      <c r="L240" t="s">
        <v>486</v>
      </c>
      <c r="N240">
        <v>-438</v>
      </c>
      <c r="O240">
        <v>-432734.28</v>
      </c>
      <c r="P240">
        <v>987.97780821917797</v>
      </c>
      <c r="Q240">
        <v>0</v>
      </c>
    </row>
    <row r="241" spans="1:17">
      <c r="A241" t="str">
        <f t="shared" si="10"/>
        <v>05_May</v>
      </c>
      <c r="B241">
        <v>380</v>
      </c>
      <c r="C241" t="s">
        <v>486</v>
      </c>
      <c r="F241">
        <v>321308002</v>
      </c>
      <c r="G241" t="s">
        <v>470</v>
      </c>
      <c r="H241" t="s">
        <v>478</v>
      </c>
      <c r="I241" t="s">
        <v>479</v>
      </c>
      <c r="J241" t="s">
        <v>474</v>
      </c>
      <c r="K241">
        <v>201905</v>
      </c>
      <c r="L241" t="s">
        <v>486</v>
      </c>
      <c r="N241">
        <v>-19</v>
      </c>
      <c r="O241">
        <v>-432734.28</v>
      </c>
      <c r="P241">
        <v>22775.4884210526</v>
      </c>
      <c r="Q241">
        <v>0</v>
      </c>
    </row>
    <row r="242" spans="1:17">
      <c r="A242" t="str">
        <f t="shared" si="10"/>
        <v>05_May</v>
      </c>
      <c r="B242">
        <v>380</v>
      </c>
      <c r="C242" t="s">
        <v>486</v>
      </c>
      <c r="F242">
        <v>422399330</v>
      </c>
      <c r="G242" t="s">
        <v>470</v>
      </c>
      <c r="H242" t="s">
        <v>478</v>
      </c>
      <c r="I242" t="s">
        <v>479</v>
      </c>
      <c r="J242" t="s">
        <v>474</v>
      </c>
      <c r="K242">
        <v>201905</v>
      </c>
      <c r="L242" t="s">
        <v>486</v>
      </c>
      <c r="N242">
        <v>1</v>
      </c>
      <c r="O242">
        <v>432734.23</v>
      </c>
      <c r="P242">
        <v>432734.23</v>
      </c>
      <c r="Q242">
        <v>0</v>
      </c>
    </row>
    <row r="243" spans="1:17">
      <c r="A243" t="str">
        <f t="shared" si="10"/>
        <v>05_May</v>
      </c>
      <c r="B243">
        <v>380</v>
      </c>
      <c r="C243" t="s">
        <v>486</v>
      </c>
      <c r="F243">
        <v>321308011</v>
      </c>
      <c r="G243" t="s">
        <v>470</v>
      </c>
      <c r="H243" t="s">
        <v>478</v>
      </c>
      <c r="I243" t="s">
        <v>479</v>
      </c>
      <c r="J243" t="s">
        <v>474</v>
      </c>
      <c r="K243">
        <v>201905</v>
      </c>
      <c r="L243" t="s">
        <v>486</v>
      </c>
      <c r="N243">
        <v>-2</v>
      </c>
      <c r="O243">
        <v>-432734.28</v>
      </c>
      <c r="P243">
        <v>216367.14</v>
      </c>
      <c r="Q243">
        <v>0</v>
      </c>
    </row>
    <row r="244" spans="1:17">
      <c r="A244" t="str">
        <f t="shared" si="10"/>
        <v>05_May</v>
      </c>
      <c r="B244">
        <v>380</v>
      </c>
      <c r="C244" t="s">
        <v>486</v>
      </c>
      <c r="F244">
        <v>321308072</v>
      </c>
      <c r="G244" t="s">
        <v>470</v>
      </c>
      <c r="H244" t="s">
        <v>478</v>
      </c>
      <c r="I244" t="s">
        <v>479</v>
      </c>
      <c r="J244" t="s">
        <v>474</v>
      </c>
      <c r="K244">
        <v>201905</v>
      </c>
      <c r="L244" t="s">
        <v>486</v>
      </c>
      <c r="N244">
        <v>-3</v>
      </c>
      <c r="O244">
        <v>-13267.13</v>
      </c>
      <c r="P244">
        <v>4422.3766666666697</v>
      </c>
      <c r="Q244">
        <v>0</v>
      </c>
    </row>
    <row r="245" spans="1:17">
      <c r="A245" t="str">
        <f t="shared" si="10"/>
        <v>05_May</v>
      </c>
      <c r="B245">
        <v>380</v>
      </c>
      <c r="C245" t="s">
        <v>486</v>
      </c>
      <c r="F245">
        <v>392799796</v>
      </c>
      <c r="G245" t="s">
        <v>470</v>
      </c>
      <c r="H245" t="s">
        <v>478</v>
      </c>
      <c r="I245" t="s">
        <v>479</v>
      </c>
      <c r="J245" t="s">
        <v>474</v>
      </c>
      <c r="K245">
        <v>201905</v>
      </c>
      <c r="L245" t="s">
        <v>486</v>
      </c>
      <c r="N245">
        <v>20</v>
      </c>
      <c r="O245">
        <v>439141.01</v>
      </c>
      <c r="P245">
        <v>21957.050500000001</v>
      </c>
      <c r="Q245">
        <v>0</v>
      </c>
    </row>
    <row r="246" spans="1:17">
      <c r="A246" t="str">
        <f t="shared" si="10"/>
        <v>05_May</v>
      </c>
      <c r="B246">
        <v>380</v>
      </c>
      <c r="C246" t="s">
        <v>486</v>
      </c>
      <c r="F246">
        <v>392799769</v>
      </c>
      <c r="G246" t="s">
        <v>470</v>
      </c>
      <c r="H246" t="s">
        <v>478</v>
      </c>
      <c r="I246" t="s">
        <v>479</v>
      </c>
      <c r="J246" t="s">
        <v>474</v>
      </c>
      <c r="K246">
        <v>201905</v>
      </c>
      <c r="L246" t="s">
        <v>486</v>
      </c>
      <c r="N246">
        <v>489</v>
      </c>
      <c r="O246">
        <v>446001.41</v>
      </c>
      <c r="P246">
        <v>912.06832310838399</v>
      </c>
      <c r="Q246">
        <v>0</v>
      </c>
    </row>
    <row r="247" spans="1:17">
      <c r="A247" t="str">
        <f t="shared" ref="A247:A310" si="11">IF(ISERROR(VLOOKUP(K247,$T$55:$U$66,2,FALSE)),"",VLOOKUP(K247,$T$55:$U$66,2,FALSE))</f>
        <v>05_May</v>
      </c>
      <c r="B247">
        <v>380</v>
      </c>
      <c r="C247" t="s">
        <v>486</v>
      </c>
      <c r="F247">
        <v>321308038</v>
      </c>
      <c r="G247" t="s">
        <v>470</v>
      </c>
      <c r="H247" t="s">
        <v>478</v>
      </c>
      <c r="I247" t="s">
        <v>479</v>
      </c>
      <c r="J247" t="s">
        <v>474</v>
      </c>
      <c r="K247">
        <v>201905</v>
      </c>
      <c r="L247" t="s">
        <v>486</v>
      </c>
      <c r="N247">
        <v>-9</v>
      </c>
      <c r="O247">
        <v>-57660.63</v>
      </c>
      <c r="P247">
        <v>6406.7366666666703</v>
      </c>
      <c r="Q247">
        <v>0</v>
      </c>
    </row>
    <row r="248" spans="1:17">
      <c r="A248" t="str">
        <f t="shared" si="11"/>
        <v>05_May</v>
      </c>
      <c r="B248">
        <v>380</v>
      </c>
      <c r="C248" t="s">
        <v>486</v>
      </c>
      <c r="F248">
        <v>321307959</v>
      </c>
      <c r="G248" t="s">
        <v>470</v>
      </c>
      <c r="H248" t="s">
        <v>478</v>
      </c>
      <c r="I248" t="s">
        <v>479</v>
      </c>
      <c r="J248" t="s">
        <v>474</v>
      </c>
      <c r="K248">
        <v>201905</v>
      </c>
      <c r="L248" t="s">
        <v>486</v>
      </c>
      <c r="N248">
        <v>-486</v>
      </c>
      <c r="O248">
        <v>-432734.28</v>
      </c>
      <c r="P248">
        <v>890.39975308641999</v>
      </c>
      <c r="Q248">
        <v>0</v>
      </c>
    </row>
    <row r="249" spans="1:17">
      <c r="A249" t="str">
        <f t="shared" si="11"/>
        <v>05_May</v>
      </c>
      <c r="B249">
        <v>380</v>
      </c>
      <c r="C249" t="s">
        <v>486</v>
      </c>
      <c r="F249">
        <v>392799778</v>
      </c>
      <c r="G249" t="s">
        <v>470</v>
      </c>
      <c r="H249" t="s">
        <v>478</v>
      </c>
      <c r="I249" t="s">
        <v>479</v>
      </c>
      <c r="J249" t="s">
        <v>474</v>
      </c>
      <c r="K249">
        <v>201905</v>
      </c>
      <c r="L249" t="s">
        <v>486</v>
      </c>
      <c r="N249">
        <v>452</v>
      </c>
      <c r="O249">
        <v>512506.75</v>
      </c>
      <c r="P249">
        <v>1133.86449115044</v>
      </c>
      <c r="Q249">
        <v>0</v>
      </c>
    </row>
    <row r="250" spans="1:17">
      <c r="A250" t="str">
        <f t="shared" si="11"/>
        <v>01_Jan</v>
      </c>
      <c r="B250">
        <v>380</v>
      </c>
      <c r="C250" t="s">
        <v>220</v>
      </c>
      <c r="F250">
        <v>405403160</v>
      </c>
      <c r="G250" t="s">
        <v>470</v>
      </c>
      <c r="H250" t="s">
        <v>478</v>
      </c>
      <c r="I250" t="s">
        <v>479</v>
      </c>
      <c r="J250" t="s">
        <v>473</v>
      </c>
      <c r="K250">
        <v>201901</v>
      </c>
      <c r="L250" t="s">
        <v>220</v>
      </c>
      <c r="N250">
        <v>1</v>
      </c>
      <c r="O250">
        <v>-5012089.13</v>
      </c>
      <c r="P250">
        <v>-5012089.13</v>
      </c>
      <c r="Q250">
        <v>0</v>
      </c>
    </row>
    <row r="251" spans="1:17">
      <c r="A251" t="str">
        <f t="shared" si="11"/>
        <v>05_May</v>
      </c>
      <c r="B251">
        <v>380</v>
      </c>
      <c r="C251" t="s">
        <v>220</v>
      </c>
      <c r="F251">
        <v>397856076</v>
      </c>
      <c r="G251" t="s">
        <v>470</v>
      </c>
      <c r="H251" t="s">
        <v>478</v>
      </c>
      <c r="I251" t="s">
        <v>479</v>
      </c>
      <c r="J251" t="s">
        <v>473</v>
      </c>
      <c r="K251">
        <v>201905</v>
      </c>
      <c r="L251" t="s">
        <v>220</v>
      </c>
      <c r="N251">
        <v>-1</v>
      </c>
      <c r="O251">
        <v>-680888.33</v>
      </c>
      <c r="P251">
        <v>680888.33</v>
      </c>
      <c r="Q251">
        <v>0</v>
      </c>
    </row>
    <row r="252" spans="1:17">
      <c r="A252" t="str">
        <f t="shared" si="11"/>
        <v>05_May</v>
      </c>
      <c r="B252">
        <v>380</v>
      </c>
      <c r="C252" t="s">
        <v>220</v>
      </c>
      <c r="F252">
        <v>333468652</v>
      </c>
      <c r="G252" t="s">
        <v>470</v>
      </c>
      <c r="H252" t="s">
        <v>478</v>
      </c>
      <c r="I252" t="s">
        <v>479</v>
      </c>
      <c r="J252" t="s">
        <v>473</v>
      </c>
      <c r="K252">
        <v>201905</v>
      </c>
      <c r="L252" t="s">
        <v>220</v>
      </c>
      <c r="N252">
        <v>-14</v>
      </c>
      <c r="O252">
        <v>-3467523.49</v>
      </c>
      <c r="P252">
        <v>247680.249285714</v>
      </c>
      <c r="Q252">
        <v>0</v>
      </c>
    </row>
    <row r="253" spans="1:17">
      <c r="A253" t="str">
        <f t="shared" si="11"/>
        <v>05_May</v>
      </c>
      <c r="B253">
        <v>380</v>
      </c>
      <c r="C253" t="s">
        <v>220</v>
      </c>
      <c r="F253">
        <v>395569890</v>
      </c>
      <c r="G253" t="s">
        <v>470</v>
      </c>
      <c r="H253" t="s">
        <v>478</v>
      </c>
      <c r="I253" t="s">
        <v>479</v>
      </c>
      <c r="J253" t="s">
        <v>473</v>
      </c>
      <c r="K253">
        <v>201905</v>
      </c>
      <c r="L253" t="s">
        <v>220</v>
      </c>
      <c r="N253">
        <v>-2</v>
      </c>
      <c r="O253">
        <v>-541028.06999999995</v>
      </c>
      <c r="P253">
        <v>270514.03499999997</v>
      </c>
      <c r="Q253">
        <v>0</v>
      </c>
    </row>
    <row r="254" spans="1:17">
      <c r="A254" t="str">
        <f t="shared" si="11"/>
        <v>05_May</v>
      </c>
      <c r="B254">
        <v>380</v>
      </c>
      <c r="C254" t="s">
        <v>220</v>
      </c>
      <c r="F254">
        <v>405403160</v>
      </c>
      <c r="G254" t="s">
        <v>470</v>
      </c>
      <c r="H254" t="s">
        <v>478</v>
      </c>
      <c r="I254" t="s">
        <v>479</v>
      </c>
      <c r="J254" t="s">
        <v>473</v>
      </c>
      <c r="K254">
        <v>201905</v>
      </c>
      <c r="L254" t="s">
        <v>220</v>
      </c>
      <c r="N254">
        <v>-1</v>
      </c>
      <c r="O254">
        <v>5012089.13</v>
      </c>
      <c r="P254">
        <v>-5012089.13</v>
      </c>
      <c r="Q254">
        <v>0</v>
      </c>
    </row>
    <row r="255" spans="1:17">
      <c r="A255" t="str">
        <f t="shared" si="11"/>
        <v>05_May</v>
      </c>
      <c r="B255">
        <v>380</v>
      </c>
      <c r="C255" t="s">
        <v>220</v>
      </c>
      <c r="F255">
        <v>321447376</v>
      </c>
      <c r="G255" t="s">
        <v>470</v>
      </c>
      <c r="H255" t="s">
        <v>478</v>
      </c>
      <c r="I255" t="s">
        <v>479</v>
      </c>
      <c r="J255" t="s">
        <v>473</v>
      </c>
      <c r="K255">
        <v>201905</v>
      </c>
      <c r="L255" t="s">
        <v>220</v>
      </c>
      <c r="N255">
        <v>-2</v>
      </c>
      <c r="O255">
        <v>-322649.24</v>
      </c>
      <c r="P255">
        <v>161324.62</v>
      </c>
      <c r="Q255">
        <v>0</v>
      </c>
    </row>
    <row r="256" spans="1:17">
      <c r="A256" t="str">
        <f t="shared" si="11"/>
        <v>04_Apr</v>
      </c>
      <c r="B256">
        <v>380</v>
      </c>
      <c r="C256" t="s">
        <v>220</v>
      </c>
      <c r="F256">
        <v>414578011</v>
      </c>
      <c r="G256" t="s">
        <v>470</v>
      </c>
      <c r="H256" t="s">
        <v>478</v>
      </c>
      <c r="I256" t="s">
        <v>479</v>
      </c>
      <c r="J256" t="s">
        <v>474</v>
      </c>
      <c r="K256">
        <v>201904</v>
      </c>
      <c r="L256" t="s">
        <v>487</v>
      </c>
      <c r="N256">
        <v>6630</v>
      </c>
      <c r="O256">
        <v>3648035.6</v>
      </c>
      <c r="P256">
        <v>550.23161387632001</v>
      </c>
      <c r="Q256">
        <v>0</v>
      </c>
    </row>
    <row r="257" spans="1:17">
      <c r="A257" t="str">
        <f t="shared" si="11"/>
        <v>04_Apr</v>
      </c>
      <c r="B257">
        <v>380</v>
      </c>
      <c r="C257" t="s">
        <v>220</v>
      </c>
      <c r="F257">
        <v>414577984</v>
      </c>
      <c r="G257" t="s">
        <v>470</v>
      </c>
      <c r="H257" t="s">
        <v>478</v>
      </c>
      <c r="I257" t="s">
        <v>479</v>
      </c>
      <c r="J257" t="s">
        <v>474</v>
      </c>
      <c r="K257">
        <v>201904</v>
      </c>
      <c r="L257" t="s">
        <v>487</v>
      </c>
      <c r="N257">
        <v>2480</v>
      </c>
      <c r="O257">
        <v>340659.71</v>
      </c>
      <c r="P257">
        <v>137.36278629032299</v>
      </c>
      <c r="Q257">
        <v>0</v>
      </c>
    </row>
    <row r="258" spans="1:17">
      <c r="A258" t="str">
        <f t="shared" si="11"/>
        <v>04_Apr</v>
      </c>
      <c r="B258">
        <v>380</v>
      </c>
      <c r="C258" t="s">
        <v>220</v>
      </c>
      <c r="F258">
        <v>414577975</v>
      </c>
      <c r="G258" t="s">
        <v>470</v>
      </c>
      <c r="H258" t="s">
        <v>478</v>
      </c>
      <c r="I258" t="s">
        <v>479</v>
      </c>
      <c r="J258" t="s">
        <v>474</v>
      </c>
      <c r="K258">
        <v>201904</v>
      </c>
      <c r="L258" t="s">
        <v>487</v>
      </c>
      <c r="N258">
        <v>3763</v>
      </c>
      <c r="O258">
        <v>438110.65</v>
      </c>
      <c r="P258">
        <v>116.425896890779</v>
      </c>
      <c r="Q258">
        <v>0</v>
      </c>
    </row>
    <row r="259" spans="1:17">
      <c r="A259" t="str">
        <f t="shared" si="11"/>
        <v>04_Apr</v>
      </c>
      <c r="B259">
        <v>380</v>
      </c>
      <c r="C259" t="s">
        <v>220</v>
      </c>
      <c r="F259">
        <v>414577966</v>
      </c>
      <c r="G259" t="s">
        <v>470</v>
      </c>
      <c r="H259" t="s">
        <v>478</v>
      </c>
      <c r="I259" t="s">
        <v>479</v>
      </c>
      <c r="J259" t="s">
        <v>474</v>
      </c>
      <c r="K259">
        <v>201904</v>
      </c>
      <c r="L259" t="s">
        <v>487</v>
      </c>
      <c r="N259">
        <v>41</v>
      </c>
      <c r="O259">
        <v>32318.68</v>
      </c>
      <c r="P259">
        <v>788.26048780487804</v>
      </c>
      <c r="Q259">
        <v>0</v>
      </c>
    </row>
    <row r="260" spans="1:17">
      <c r="A260" t="str">
        <f t="shared" si="11"/>
        <v>01_Jan</v>
      </c>
      <c r="B260">
        <v>380</v>
      </c>
      <c r="C260" t="s">
        <v>220</v>
      </c>
      <c r="F260">
        <v>405403169</v>
      </c>
      <c r="G260" t="s">
        <v>470</v>
      </c>
      <c r="H260" t="s">
        <v>478</v>
      </c>
      <c r="I260" t="s">
        <v>479</v>
      </c>
      <c r="J260" t="s">
        <v>473</v>
      </c>
      <c r="K260">
        <v>201901</v>
      </c>
      <c r="L260" t="s">
        <v>487</v>
      </c>
      <c r="N260">
        <v>2</v>
      </c>
      <c r="O260">
        <v>4898717.21</v>
      </c>
      <c r="P260">
        <v>2449358.605</v>
      </c>
      <c r="Q260">
        <v>0</v>
      </c>
    </row>
    <row r="261" spans="1:17">
      <c r="A261" t="str">
        <f t="shared" si="11"/>
        <v>04_Apr</v>
      </c>
      <c r="B261">
        <v>380</v>
      </c>
      <c r="C261" t="s">
        <v>220</v>
      </c>
      <c r="F261">
        <v>414577940</v>
      </c>
      <c r="G261" t="s">
        <v>470</v>
      </c>
      <c r="H261" t="s">
        <v>478</v>
      </c>
      <c r="I261" t="s">
        <v>479</v>
      </c>
      <c r="J261" t="s">
        <v>474</v>
      </c>
      <c r="K261">
        <v>201904</v>
      </c>
      <c r="L261" t="s">
        <v>487</v>
      </c>
      <c r="N261">
        <v>1909</v>
      </c>
      <c r="O261">
        <v>262225.56</v>
      </c>
      <c r="P261">
        <v>137.36278679937101</v>
      </c>
      <c r="Q261">
        <v>0</v>
      </c>
    </row>
    <row r="262" spans="1:17">
      <c r="A262" t="str">
        <f t="shared" si="11"/>
        <v>04_Apr</v>
      </c>
      <c r="B262">
        <v>380</v>
      </c>
      <c r="C262" t="s">
        <v>220</v>
      </c>
      <c r="F262">
        <v>414578002</v>
      </c>
      <c r="G262" t="s">
        <v>470</v>
      </c>
      <c r="H262" t="s">
        <v>478</v>
      </c>
      <c r="I262" t="s">
        <v>479</v>
      </c>
      <c r="J262" t="s">
        <v>474</v>
      </c>
      <c r="K262">
        <v>201904</v>
      </c>
      <c r="L262" t="s">
        <v>487</v>
      </c>
      <c r="N262">
        <v>1</v>
      </c>
      <c r="O262">
        <v>788.2</v>
      </c>
      <c r="P262">
        <v>788.2</v>
      </c>
      <c r="Q262">
        <v>0</v>
      </c>
    </row>
    <row r="263" spans="1:17">
      <c r="A263" t="str">
        <f t="shared" si="11"/>
        <v>04_Apr</v>
      </c>
      <c r="B263">
        <v>380</v>
      </c>
      <c r="C263" t="s">
        <v>220</v>
      </c>
      <c r="F263">
        <v>414577993</v>
      </c>
      <c r="G263" t="s">
        <v>470</v>
      </c>
      <c r="H263" t="s">
        <v>478</v>
      </c>
      <c r="I263" t="s">
        <v>479</v>
      </c>
      <c r="J263" t="s">
        <v>474</v>
      </c>
      <c r="K263">
        <v>201904</v>
      </c>
      <c r="L263" t="s">
        <v>487</v>
      </c>
      <c r="N263">
        <v>56</v>
      </c>
      <c r="O263">
        <v>72042.05</v>
      </c>
      <c r="P263">
        <v>1286.46517857143</v>
      </c>
      <c r="Q263">
        <v>0</v>
      </c>
    </row>
    <row r="264" spans="1:17">
      <c r="A264" t="str">
        <f t="shared" si="11"/>
        <v>09_Sep</v>
      </c>
      <c r="B264">
        <v>380</v>
      </c>
      <c r="C264" t="s">
        <v>220</v>
      </c>
      <c r="F264">
        <v>414577975</v>
      </c>
      <c r="G264" t="s">
        <v>470</v>
      </c>
      <c r="H264" t="s">
        <v>478</v>
      </c>
      <c r="I264" t="s">
        <v>479</v>
      </c>
      <c r="J264" t="s">
        <v>474</v>
      </c>
      <c r="K264">
        <v>201909</v>
      </c>
      <c r="L264" t="s">
        <v>487</v>
      </c>
      <c r="N264">
        <v>150</v>
      </c>
      <c r="O264">
        <v>4212.38</v>
      </c>
      <c r="P264">
        <v>28.082533333333298</v>
      </c>
      <c r="Q264">
        <v>0</v>
      </c>
    </row>
    <row r="265" spans="1:17">
      <c r="A265" t="str">
        <f t="shared" si="11"/>
        <v>04_Apr</v>
      </c>
      <c r="B265">
        <v>380</v>
      </c>
      <c r="C265" t="s">
        <v>220</v>
      </c>
      <c r="F265">
        <v>414577957</v>
      </c>
      <c r="G265" t="s">
        <v>470</v>
      </c>
      <c r="H265" t="s">
        <v>478</v>
      </c>
      <c r="I265" t="s">
        <v>479</v>
      </c>
      <c r="J265" t="s">
        <v>474</v>
      </c>
      <c r="K265">
        <v>201904</v>
      </c>
      <c r="L265" t="s">
        <v>487</v>
      </c>
      <c r="N265">
        <v>82</v>
      </c>
      <c r="O265">
        <v>105490.26</v>
      </c>
      <c r="P265">
        <v>1286.4665853658501</v>
      </c>
      <c r="Q265">
        <v>0</v>
      </c>
    </row>
    <row r="266" spans="1:17">
      <c r="A266" t="str">
        <f t="shared" si="11"/>
        <v>02_Feb</v>
      </c>
      <c r="B266">
        <v>380</v>
      </c>
      <c r="C266" t="s">
        <v>220</v>
      </c>
      <c r="F266">
        <v>405403169</v>
      </c>
      <c r="G266" t="s">
        <v>470</v>
      </c>
      <c r="H266" t="s">
        <v>478</v>
      </c>
      <c r="I266" t="s">
        <v>479</v>
      </c>
      <c r="J266" t="s">
        <v>473</v>
      </c>
      <c r="K266">
        <v>201902</v>
      </c>
      <c r="L266" t="s">
        <v>487</v>
      </c>
      <c r="N266">
        <v>1</v>
      </c>
      <c r="O266">
        <v>953.5</v>
      </c>
      <c r="P266">
        <v>953.5</v>
      </c>
      <c r="Q266">
        <v>0</v>
      </c>
    </row>
    <row r="267" spans="1:17">
      <c r="A267" t="str">
        <f t="shared" si="11"/>
        <v>04_Apr</v>
      </c>
      <c r="B267">
        <v>380</v>
      </c>
      <c r="C267" t="s">
        <v>220</v>
      </c>
      <c r="F267">
        <v>405403169</v>
      </c>
      <c r="G267" t="s">
        <v>470</v>
      </c>
      <c r="H267" t="s">
        <v>478</v>
      </c>
      <c r="I267" t="s">
        <v>479</v>
      </c>
      <c r="J267" t="s">
        <v>473</v>
      </c>
      <c r="K267">
        <v>201904</v>
      </c>
      <c r="L267" t="s">
        <v>487</v>
      </c>
      <c r="N267">
        <v>-3</v>
      </c>
      <c r="O267">
        <v>-4899670.71</v>
      </c>
      <c r="P267">
        <v>1633223.57</v>
      </c>
      <c r="Q267">
        <v>0</v>
      </c>
    </row>
    <row r="268" spans="1:17">
      <c r="A268" t="str">
        <f t="shared" si="11"/>
        <v>02_Feb</v>
      </c>
      <c r="B268">
        <v>380</v>
      </c>
      <c r="C268" t="s">
        <v>127</v>
      </c>
      <c r="F268">
        <v>395570674</v>
      </c>
      <c r="G268" t="s">
        <v>470</v>
      </c>
      <c r="H268" t="s">
        <v>478</v>
      </c>
      <c r="I268" t="s">
        <v>479</v>
      </c>
      <c r="J268" t="s">
        <v>473</v>
      </c>
      <c r="K268">
        <v>201902</v>
      </c>
      <c r="L268" t="s">
        <v>127</v>
      </c>
      <c r="N268">
        <v>1</v>
      </c>
      <c r="O268">
        <v>81.099999999999994</v>
      </c>
      <c r="P268">
        <v>81.099999999999994</v>
      </c>
      <c r="Q268">
        <v>0</v>
      </c>
    </row>
    <row r="269" spans="1:17">
      <c r="A269" t="str">
        <f t="shared" si="11"/>
        <v>12_Dec</v>
      </c>
      <c r="B269">
        <v>380</v>
      </c>
      <c r="C269" t="s">
        <v>127</v>
      </c>
      <c r="F269">
        <v>397871557</v>
      </c>
      <c r="G269" t="s">
        <v>470</v>
      </c>
      <c r="H269" t="s">
        <v>478</v>
      </c>
      <c r="I269" t="s">
        <v>479</v>
      </c>
      <c r="J269" t="s">
        <v>473</v>
      </c>
      <c r="K269">
        <v>201912</v>
      </c>
      <c r="L269" t="s">
        <v>127</v>
      </c>
      <c r="N269">
        <v>2</v>
      </c>
      <c r="O269">
        <v>15.32</v>
      </c>
      <c r="P269">
        <v>7.66</v>
      </c>
      <c r="Q269">
        <v>0</v>
      </c>
    </row>
    <row r="270" spans="1:17">
      <c r="A270" t="str">
        <f t="shared" si="11"/>
        <v>03_Mar</v>
      </c>
      <c r="B270">
        <v>380</v>
      </c>
      <c r="C270" t="s">
        <v>127</v>
      </c>
      <c r="F270">
        <v>395430420</v>
      </c>
      <c r="G270" t="s">
        <v>470</v>
      </c>
      <c r="H270" t="s">
        <v>478</v>
      </c>
      <c r="I270" t="s">
        <v>479</v>
      </c>
      <c r="J270" t="s">
        <v>474</v>
      </c>
      <c r="K270">
        <v>201903</v>
      </c>
      <c r="L270" t="s">
        <v>127</v>
      </c>
      <c r="N270">
        <v>0</v>
      </c>
      <c r="O270">
        <v>0</v>
      </c>
      <c r="P270">
        <v>0</v>
      </c>
    </row>
    <row r="271" spans="1:17">
      <c r="A271" t="str">
        <f t="shared" si="11"/>
        <v>06_Jun</v>
      </c>
      <c r="B271">
        <v>380</v>
      </c>
      <c r="C271" t="s">
        <v>127</v>
      </c>
      <c r="F271">
        <v>395570674</v>
      </c>
      <c r="G271" t="s">
        <v>470</v>
      </c>
      <c r="H271" t="s">
        <v>478</v>
      </c>
      <c r="I271" t="s">
        <v>479</v>
      </c>
      <c r="J271" t="s">
        <v>473</v>
      </c>
      <c r="K271">
        <v>201906</v>
      </c>
      <c r="L271" t="s">
        <v>127</v>
      </c>
      <c r="N271">
        <v>2</v>
      </c>
      <c r="O271">
        <v>43.98</v>
      </c>
      <c r="P271">
        <v>21.99</v>
      </c>
      <c r="Q271">
        <v>0</v>
      </c>
    </row>
    <row r="272" spans="1:17">
      <c r="A272" t="str">
        <f t="shared" si="11"/>
        <v>10_Oct</v>
      </c>
      <c r="B272">
        <v>380</v>
      </c>
      <c r="C272" t="s">
        <v>127</v>
      </c>
      <c r="F272">
        <v>395570674</v>
      </c>
      <c r="G272" t="s">
        <v>470</v>
      </c>
      <c r="H272" t="s">
        <v>478</v>
      </c>
      <c r="I272" t="s">
        <v>479</v>
      </c>
      <c r="J272" t="s">
        <v>473</v>
      </c>
      <c r="K272">
        <v>201910</v>
      </c>
      <c r="L272" t="s">
        <v>127</v>
      </c>
      <c r="N272">
        <v>2</v>
      </c>
      <c r="O272">
        <v>971.83</v>
      </c>
      <c r="P272">
        <v>485.91500000000002</v>
      </c>
      <c r="Q272">
        <v>0</v>
      </c>
    </row>
    <row r="273" spans="1:17">
      <c r="A273" t="str">
        <f t="shared" si="11"/>
        <v>12_Dec</v>
      </c>
      <c r="B273">
        <v>380</v>
      </c>
      <c r="C273" t="s">
        <v>127</v>
      </c>
      <c r="F273">
        <v>395570638</v>
      </c>
      <c r="G273" t="s">
        <v>470</v>
      </c>
      <c r="H273" t="s">
        <v>478</v>
      </c>
      <c r="I273" t="s">
        <v>479</v>
      </c>
      <c r="J273" t="s">
        <v>473</v>
      </c>
      <c r="K273">
        <v>201912</v>
      </c>
      <c r="L273" t="s">
        <v>127</v>
      </c>
      <c r="N273">
        <v>2</v>
      </c>
      <c r="O273">
        <v>661.53</v>
      </c>
      <c r="P273">
        <v>330.76499999999999</v>
      </c>
      <c r="Q273">
        <v>0</v>
      </c>
    </row>
    <row r="274" spans="1:17">
      <c r="A274" t="str">
        <f t="shared" si="11"/>
        <v>09_Sep</v>
      </c>
      <c r="B274">
        <v>380</v>
      </c>
      <c r="C274" t="s">
        <v>127</v>
      </c>
      <c r="F274">
        <v>395570620</v>
      </c>
      <c r="G274" t="s">
        <v>470</v>
      </c>
      <c r="H274" t="s">
        <v>478</v>
      </c>
      <c r="I274" t="s">
        <v>479</v>
      </c>
      <c r="J274" t="s">
        <v>473</v>
      </c>
      <c r="K274">
        <v>201909</v>
      </c>
      <c r="L274" t="s">
        <v>127</v>
      </c>
      <c r="N274">
        <v>2</v>
      </c>
      <c r="O274">
        <v>346.58</v>
      </c>
      <c r="P274">
        <v>173.29</v>
      </c>
      <c r="Q274">
        <v>0</v>
      </c>
    </row>
    <row r="275" spans="1:17">
      <c r="A275" t="str">
        <f t="shared" si="11"/>
        <v>11_Nov</v>
      </c>
      <c r="B275">
        <v>380</v>
      </c>
      <c r="C275" t="s">
        <v>127</v>
      </c>
      <c r="F275">
        <v>395570620</v>
      </c>
      <c r="G275" t="s">
        <v>470</v>
      </c>
      <c r="H275" t="s">
        <v>478</v>
      </c>
      <c r="I275" t="s">
        <v>479</v>
      </c>
      <c r="J275" t="s">
        <v>473</v>
      </c>
      <c r="K275">
        <v>201911</v>
      </c>
      <c r="L275" t="s">
        <v>127</v>
      </c>
      <c r="N275">
        <v>2</v>
      </c>
      <c r="O275">
        <v>830.89</v>
      </c>
      <c r="P275">
        <v>415.44499999999999</v>
      </c>
      <c r="Q275">
        <v>0</v>
      </c>
    </row>
    <row r="276" spans="1:17">
      <c r="A276" t="str">
        <f t="shared" si="11"/>
        <v>03_Mar</v>
      </c>
      <c r="B276">
        <v>380</v>
      </c>
      <c r="C276" t="s">
        <v>127</v>
      </c>
      <c r="F276">
        <v>279416673</v>
      </c>
      <c r="G276" t="s">
        <v>470</v>
      </c>
      <c r="H276" t="s">
        <v>478</v>
      </c>
      <c r="I276" t="s">
        <v>479</v>
      </c>
      <c r="J276" t="s">
        <v>473</v>
      </c>
      <c r="K276">
        <v>201903</v>
      </c>
      <c r="L276" t="s">
        <v>127</v>
      </c>
      <c r="N276">
        <v>0</v>
      </c>
      <c r="O276">
        <v>0</v>
      </c>
      <c r="P276">
        <v>0</v>
      </c>
    </row>
    <row r="277" spans="1:17">
      <c r="A277" t="str">
        <f t="shared" si="11"/>
        <v>02_Feb</v>
      </c>
      <c r="B277">
        <v>380</v>
      </c>
      <c r="C277" t="s">
        <v>127</v>
      </c>
      <c r="F277">
        <v>395570665</v>
      </c>
      <c r="G277" t="s">
        <v>470</v>
      </c>
      <c r="H277" t="s">
        <v>478</v>
      </c>
      <c r="I277" t="s">
        <v>479</v>
      </c>
      <c r="J277" t="s">
        <v>473</v>
      </c>
      <c r="K277">
        <v>201902</v>
      </c>
      <c r="L277" t="s">
        <v>127</v>
      </c>
      <c r="N277">
        <v>1</v>
      </c>
      <c r="O277">
        <v>81.099999999999994</v>
      </c>
      <c r="P277">
        <v>81.099999999999994</v>
      </c>
      <c r="Q277">
        <v>0</v>
      </c>
    </row>
    <row r="278" spans="1:17">
      <c r="A278" t="str">
        <f t="shared" si="11"/>
        <v>06_Jun</v>
      </c>
      <c r="B278">
        <v>380</v>
      </c>
      <c r="C278" t="s">
        <v>127</v>
      </c>
      <c r="F278">
        <v>395570665</v>
      </c>
      <c r="G278" t="s">
        <v>470</v>
      </c>
      <c r="H278" t="s">
        <v>478</v>
      </c>
      <c r="I278" t="s">
        <v>479</v>
      </c>
      <c r="J278" t="s">
        <v>473</v>
      </c>
      <c r="K278">
        <v>201906</v>
      </c>
      <c r="L278" t="s">
        <v>127</v>
      </c>
      <c r="N278">
        <v>2</v>
      </c>
      <c r="O278">
        <v>43.98</v>
      </c>
      <c r="P278">
        <v>21.99</v>
      </c>
      <c r="Q278">
        <v>0</v>
      </c>
    </row>
    <row r="279" spans="1:17">
      <c r="A279" t="str">
        <f t="shared" si="11"/>
        <v>11_Nov</v>
      </c>
      <c r="B279">
        <v>380</v>
      </c>
      <c r="C279" t="s">
        <v>127</v>
      </c>
      <c r="F279">
        <v>395570665</v>
      </c>
      <c r="G279" t="s">
        <v>470</v>
      </c>
      <c r="H279" t="s">
        <v>478</v>
      </c>
      <c r="I279" t="s">
        <v>479</v>
      </c>
      <c r="J279" t="s">
        <v>473</v>
      </c>
      <c r="K279">
        <v>201911</v>
      </c>
      <c r="L279" t="s">
        <v>127</v>
      </c>
      <c r="N279">
        <v>2</v>
      </c>
      <c r="O279">
        <v>830.88</v>
      </c>
      <c r="P279">
        <v>415.44</v>
      </c>
      <c r="Q279">
        <v>0</v>
      </c>
    </row>
    <row r="280" spans="1:17">
      <c r="A280" t="str">
        <f t="shared" si="11"/>
        <v>11_Nov</v>
      </c>
      <c r="B280">
        <v>380</v>
      </c>
      <c r="C280" t="s">
        <v>127</v>
      </c>
      <c r="F280">
        <v>395570638</v>
      </c>
      <c r="G280" t="s">
        <v>470</v>
      </c>
      <c r="H280" t="s">
        <v>478</v>
      </c>
      <c r="I280" t="s">
        <v>479</v>
      </c>
      <c r="J280" t="s">
        <v>473</v>
      </c>
      <c r="K280">
        <v>201911</v>
      </c>
      <c r="L280" t="s">
        <v>127</v>
      </c>
      <c r="N280">
        <v>2</v>
      </c>
      <c r="O280">
        <v>830.88</v>
      </c>
      <c r="P280">
        <v>415.44</v>
      </c>
      <c r="Q280">
        <v>0</v>
      </c>
    </row>
    <row r="281" spans="1:17">
      <c r="A281" t="str">
        <f t="shared" si="11"/>
        <v>06_Jun</v>
      </c>
      <c r="B281">
        <v>380</v>
      </c>
      <c r="C281" t="s">
        <v>127</v>
      </c>
      <c r="F281">
        <v>395570620</v>
      </c>
      <c r="G281" t="s">
        <v>470</v>
      </c>
      <c r="H281" t="s">
        <v>478</v>
      </c>
      <c r="I281" t="s">
        <v>479</v>
      </c>
      <c r="J281" t="s">
        <v>473</v>
      </c>
      <c r="K281">
        <v>201906</v>
      </c>
      <c r="L281" t="s">
        <v>127</v>
      </c>
      <c r="N281">
        <v>2</v>
      </c>
      <c r="O281">
        <v>43.98</v>
      </c>
      <c r="P281">
        <v>21.99</v>
      </c>
      <c r="Q281">
        <v>0</v>
      </c>
    </row>
    <row r="282" spans="1:17">
      <c r="A282" t="str">
        <f t="shared" si="11"/>
        <v>10_Oct</v>
      </c>
      <c r="B282">
        <v>380</v>
      </c>
      <c r="C282" t="s">
        <v>127</v>
      </c>
      <c r="F282">
        <v>395570620</v>
      </c>
      <c r="G282" t="s">
        <v>470</v>
      </c>
      <c r="H282" t="s">
        <v>478</v>
      </c>
      <c r="I282" t="s">
        <v>479</v>
      </c>
      <c r="J282" t="s">
        <v>473</v>
      </c>
      <c r="K282">
        <v>201910</v>
      </c>
      <c r="L282" t="s">
        <v>127</v>
      </c>
      <c r="N282">
        <v>2</v>
      </c>
      <c r="O282">
        <v>971.84</v>
      </c>
      <c r="P282">
        <v>485.92</v>
      </c>
      <c r="Q282">
        <v>0</v>
      </c>
    </row>
    <row r="283" spans="1:17">
      <c r="A283" t="str">
        <f t="shared" si="11"/>
        <v>09_Sep</v>
      </c>
      <c r="B283">
        <v>380</v>
      </c>
      <c r="C283" t="s">
        <v>127</v>
      </c>
      <c r="F283">
        <v>397871557</v>
      </c>
      <c r="G283" t="s">
        <v>470</v>
      </c>
      <c r="H283" t="s">
        <v>478</v>
      </c>
      <c r="I283" t="s">
        <v>479</v>
      </c>
      <c r="J283" t="s">
        <v>473</v>
      </c>
      <c r="K283">
        <v>201909</v>
      </c>
      <c r="L283" t="s">
        <v>127</v>
      </c>
      <c r="N283">
        <v>2</v>
      </c>
      <c r="O283">
        <v>338.98</v>
      </c>
      <c r="P283">
        <v>169.49</v>
      </c>
      <c r="Q283">
        <v>0</v>
      </c>
    </row>
    <row r="284" spans="1:17">
      <c r="A284" t="str">
        <f t="shared" si="11"/>
        <v>03_Mar</v>
      </c>
      <c r="B284">
        <v>380</v>
      </c>
      <c r="C284" t="s">
        <v>127</v>
      </c>
      <c r="F284">
        <v>395430567</v>
      </c>
      <c r="G284" t="s">
        <v>470</v>
      </c>
      <c r="H284" t="s">
        <v>478</v>
      </c>
      <c r="I284" t="s">
        <v>479</v>
      </c>
      <c r="J284" t="s">
        <v>474</v>
      </c>
      <c r="K284">
        <v>201903</v>
      </c>
      <c r="L284" t="s">
        <v>127</v>
      </c>
      <c r="N284">
        <v>0</v>
      </c>
      <c r="O284">
        <v>0</v>
      </c>
      <c r="P284">
        <v>0</v>
      </c>
    </row>
    <row r="285" spans="1:17">
      <c r="A285" t="str">
        <f t="shared" si="11"/>
        <v>03_Mar</v>
      </c>
      <c r="B285">
        <v>380</v>
      </c>
      <c r="C285" t="s">
        <v>127</v>
      </c>
      <c r="F285">
        <v>395430558</v>
      </c>
      <c r="G285" t="s">
        <v>470</v>
      </c>
      <c r="H285" t="s">
        <v>478</v>
      </c>
      <c r="I285" t="s">
        <v>479</v>
      </c>
      <c r="J285" t="s">
        <v>474</v>
      </c>
      <c r="K285">
        <v>201903</v>
      </c>
      <c r="L285" t="s">
        <v>127</v>
      </c>
      <c r="N285">
        <v>0</v>
      </c>
      <c r="O285">
        <v>0</v>
      </c>
      <c r="P285">
        <v>0</v>
      </c>
    </row>
    <row r="286" spans="1:17">
      <c r="A286" t="str">
        <f t="shared" si="11"/>
        <v>08_Aug</v>
      </c>
      <c r="B286">
        <v>380</v>
      </c>
      <c r="C286" t="s">
        <v>127</v>
      </c>
      <c r="F286">
        <v>395570665</v>
      </c>
      <c r="G286" t="s">
        <v>470</v>
      </c>
      <c r="H286" t="s">
        <v>478</v>
      </c>
      <c r="I286" t="s">
        <v>479</v>
      </c>
      <c r="J286" t="s">
        <v>473</v>
      </c>
      <c r="K286">
        <v>201908</v>
      </c>
      <c r="L286" t="s">
        <v>127</v>
      </c>
      <c r="N286">
        <v>2</v>
      </c>
      <c r="O286">
        <v>207.52</v>
      </c>
      <c r="P286">
        <v>103.76</v>
      </c>
      <c r="Q286">
        <v>0</v>
      </c>
    </row>
    <row r="287" spans="1:17">
      <c r="A287" t="str">
        <f t="shared" si="11"/>
        <v>09_Sep</v>
      </c>
      <c r="B287">
        <v>380</v>
      </c>
      <c r="C287" t="s">
        <v>127</v>
      </c>
      <c r="F287">
        <v>395570665</v>
      </c>
      <c r="G287" t="s">
        <v>470</v>
      </c>
      <c r="H287" t="s">
        <v>478</v>
      </c>
      <c r="I287" t="s">
        <v>479</v>
      </c>
      <c r="J287" t="s">
        <v>473</v>
      </c>
      <c r="K287">
        <v>201909</v>
      </c>
      <c r="L287" t="s">
        <v>127</v>
      </c>
      <c r="N287">
        <v>2</v>
      </c>
      <c r="O287">
        <v>346.58</v>
      </c>
      <c r="P287">
        <v>173.29</v>
      </c>
      <c r="Q287">
        <v>0</v>
      </c>
    </row>
    <row r="288" spans="1:17">
      <c r="A288" t="str">
        <f t="shared" si="11"/>
        <v>02_Feb</v>
      </c>
      <c r="B288">
        <v>380</v>
      </c>
      <c r="C288" t="s">
        <v>127</v>
      </c>
      <c r="F288">
        <v>395570638</v>
      </c>
      <c r="G288" t="s">
        <v>470</v>
      </c>
      <c r="H288" t="s">
        <v>478</v>
      </c>
      <c r="I288" t="s">
        <v>479</v>
      </c>
      <c r="J288" t="s">
        <v>473</v>
      </c>
      <c r="K288">
        <v>201902</v>
      </c>
      <c r="L288" t="s">
        <v>127</v>
      </c>
      <c r="N288">
        <v>1</v>
      </c>
      <c r="O288">
        <v>81.099999999999994</v>
      </c>
      <c r="P288">
        <v>81.099999999999994</v>
      </c>
      <c r="Q288">
        <v>0</v>
      </c>
    </row>
    <row r="289" spans="1:17">
      <c r="A289" t="str">
        <f t="shared" si="11"/>
        <v>03_Mar</v>
      </c>
      <c r="B289">
        <v>380</v>
      </c>
      <c r="C289" t="s">
        <v>127</v>
      </c>
      <c r="F289">
        <v>395570638</v>
      </c>
      <c r="G289" t="s">
        <v>470</v>
      </c>
      <c r="H289" t="s">
        <v>478</v>
      </c>
      <c r="I289" t="s">
        <v>479</v>
      </c>
      <c r="J289" t="s">
        <v>473</v>
      </c>
      <c r="K289">
        <v>201903</v>
      </c>
      <c r="L289" t="s">
        <v>127</v>
      </c>
      <c r="N289">
        <v>0</v>
      </c>
      <c r="O289">
        <v>0</v>
      </c>
      <c r="P289">
        <v>0</v>
      </c>
    </row>
    <row r="290" spans="1:17">
      <c r="A290" t="str">
        <f t="shared" si="11"/>
        <v>08_Aug</v>
      </c>
      <c r="B290">
        <v>380</v>
      </c>
      <c r="C290" t="s">
        <v>127</v>
      </c>
      <c r="F290">
        <v>395570638</v>
      </c>
      <c r="G290" t="s">
        <v>470</v>
      </c>
      <c r="H290" t="s">
        <v>478</v>
      </c>
      <c r="I290" t="s">
        <v>479</v>
      </c>
      <c r="J290" t="s">
        <v>473</v>
      </c>
      <c r="K290">
        <v>201908</v>
      </c>
      <c r="L290" t="s">
        <v>127</v>
      </c>
      <c r="N290">
        <v>2</v>
      </c>
      <c r="O290">
        <v>207.52</v>
      </c>
      <c r="P290">
        <v>103.76</v>
      </c>
      <c r="Q290">
        <v>0</v>
      </c>
    </row>
    <row r="291" spans="1:17">
      <c r="A291" t="str">
        <f t="shared" si="11"/>
        <v>09_Sep</v>
      </c>
      <c r="B291">
        <v>380</v>
      </c>
      <c r="C291" t="s">
        <v>127</v>
      </c>
      <c r="F291">
        <v>395570638</v>
      </c>
      <c r="G291" t="s">
        <v>470</v>
      </c>
      <c r="H291" t="s">
        <v>478</v>
      </c>
      <c r="I291" t="s">
        <v>479</v>
      </c>
      <c r="J291" t="s">
        <v>473</v>
      </c>
      <c r="K291">
        <v>201909</v>
      </c>
      <c r="L291" t="s">
        <v>127</v>
      </c>
      <c r="N291">
        <v>2</v>
      </c>
      <c r="O291">
        <v>346.58</v>
      </c>
      <c r="P291">
        <v>173.29</v>
      </c>
      <c r="Q291">
        <v>0</v>
      </c>
    </row>
    <row r="292" spans="1:17">
      <c r="A292" t="str">
        <f t="shared" si="11"/>
        <v>12_Dec</v>
      </c>
      <c r="B292">
        <v>380</v>
      </c>
      <c r="C292" t="s">
        <v>127</v>
      </c>
      <c r="F292">
        <v>395570620</v>
      </c>
      <c r="G292" t="s">
        <v>470</v>
      </c>
      <c r="H292" t="s">
        <v>478</v>
      </c>
      <c r="I292" t="s">
        <v>479</v>
      </c>
      <c r="J292" t="s">
        <v>473</v>
      </c>
      <c r="K292">
        <v>201912</v>
      </c>
      <c r="L292" t="s">
        <v>127</v>
      </c>
      <c r="N292">
        <v>2</v>
      </c>
      <c r="O292">
        <v>661.54</v>
      </c>
      <c r="P292">
        <v>330.77</v>
      </c>
      <c r="Q292">
        <v>0</v>
      </c>
    </row>
    <row r="293" spans="1:17">
      <c r="A293" t="str">
        <f t="shared" si="11"/>
        <v>02_Feb</v>
      </c>
      <c r="B293">
        <v>380</v>
      </c>
      <c r="C293" t="s">
        <v>127</v>
      </c>
      <c r="F293">
        <v>397871557</v>
      </c>
      <c r="G293" t="s">
        <v>470</v>
      </c>
      <c r="H293" t="s">
        <v>478</v>
      </c>
      <c r="I293" t="s">
        <v>479</v>
      </c>
      <c r="J293" t="s">
        <v>473</v>
      </c>
      <c r="K293">
        <v>201902</v>
      </c>
      <c r="L293" t="s">
        <v>127</v>
      </c>
      <c r="N293">
        <v>1</v>
      </c>
      <c r="O293">
        <v>0</v>
      </c>
      <c r="P293">
        <v>0</v>
      </c>
      <c r="Q293">
        <v>0</v>
      </c>
    </row>
    <row r="294" spans="1:17">
      <c r="A294" t="str">
        <f t="shared" si="11"/>
        <v>11_Nov</v>
      </c>
      <c r="B294">
        <v>380</v>
      </c>
      <c r="C294" t="s">
        <v>127</v>
      </c>
      <c r="F294">
        <v>395570674</v>
      </c>
      <c r="G294" t="s">
        <v>470</v>
      </c>
      <c r="H294" t="s">
        <v>478</v>
      </c>
      <c r="I294" t="s">
        <v>479</v>
      </c>
      <c r="J294" t="s">
        <v>473</v>
      </c>
      <c r="K294">
        <v>201911</v>
      </c>
      <c r="L294" t="s">
        <v>127</v>
      </c>
      <c r="N294">
        <v>2</v>
      </c>
      <c r="O294">
        <v>830.88</v>
      </c>
      <c r="P294">
        <v>415.44</v>
      </c>
      <c r="Q294">
        <v>0</v>
      </c>
    </row>
    <row r="295" spans="1:17">
      <c r="A295" t="str">
        <f t="shared" si="11"/>
        <v>10_Oct</v>
      </c>
      <c r="B295">
        <v>380</v>
      </c>
      <c r="C295" t="s">
        <v>127</v>
      </c>
      <c r="F295">
        <v>395570665</v>
      </c>
      <c r="G295" t="s">
        <v>470</v>
      </c>
      <c r="H295" t="s">
        <v>478</v>
      </c>
      <c r="I295" t="s">
        <v>479</v>
      </c>
      <c r="J295" t="s">
        <v>473</v>
      </c>
      <c r="K295">
        <v>201910</v>
      </c>
      <c r="L295" t="s">
        <v>127</v>
      </c>
      <c r="N295">
        <v>2</v>
      </c>
      <c r="O295">
        <v>971.83</v>
      </c>
      <c r="P295">
        <v>485.91500000000002</v>
      </c>
      <c r="Q295">
        <v>0</v>
      </c>
    </row>
    <row r="296" spans="1:17">
      <c r="A296" t="str">
        <f t="shared" si="11"/>
        <v>12_Dec</v>
      </c>
      <c r="B296">
        <v>380</v>
      </c>
      <c r="C296" t="s">
        <v>127</v>
      </c>
      <c r="F296">
        <v>395570665</v>
      </c>
      <c r="G296" t="s">
        <v>470</v>
      </c>
      <c r="H296" t="s">
        <v>478</v>
      </c>
      <c r="I296" t="s">
        <v>479</v>
      </c>
      <c r="J296" t="s">
        <v>473</v>
      </c>
      <c r="K296">
        <v>201912</v>
      </c>
      <c r="L296" t="s">
        <v>127</v>
      </c>
      <c r="N296">
        <v>2</v>
      </c>
      <c r="O296">
        <v>661.53</v>
      </c>
      <c r="P296">
        <v>330.76499999999999</v>
      </c>
      <c r="Q296">
        <v>0</v>
      </c>
    </row>
    <row r="297" spans="1:17">
      <c r="A297" t="str">
        <f t="shared" si="11"/>
        <v>06_Jun</v>
      </c>
      <c r="B297">
        <v>380</v>
      </c>
      <c r="C297" t="s">
        <v>127</v>
      </c>
      <c r="F297">
        <v>395570638</v>
      </c>
      <c r="G297" t="s">
        <v>470</v>
      </c>
      <c r="H297" t="s">
        <v>478</v>
      </c>
      <c r="I297" t="s">
        <v>479</v>
      </c>
      <c r="J297" t="s">
        <v>473</v>
      </c>
      <c r="K297">
        <v>201906</v>
      </c>
      <c r="L297" t="s">
        <v>127</v>
      </c>
      <c r="N297">
        <v>2</v>
      </c>
      <c r="O297">
        <v>43.98</v>
      </c>
      <c r="P297">
        <v>21.99</v>
      </c>
      <c r="Q297">
        <v>0</v>
      </c>
    </row>
    <row r="298" spans="1:17">
      <c r="A298" t="str">
        <f t="shared" si="11"/>
        <v>02_Feb</v>
      </c>
      <c r="B298">
        <v>380</v>
      </c>
      <c r="C298" t="s">
        <v>127</v>
      </c>
      <c r="F298">
        <v>395570620</v>
      </c>
      <c r="G298" t="s">
        <v>470</v>
      </c>
      <c r="H298" t="s">
        <v>478</v>
      </c>
      <c r="I298" t="s">
        <v>479</v>
      </c>
      <c r="J298" t="s">
        <v>473</v>
      </c>
      <c r="K298">
        <v>201902</v>
      </c>
      <c r="L298" t="s">
        <v>127</v>
      </c>
      <c r="N298">
        <v>1</v>
      </c>
      <c r="O298">
        <v>81.099999999999994</v>
      </c>
      <c r="P298">
        <v>81.099999999999994</v>
      </c>
      <c r="Q298">
        <v>0</v>
      </c>
    </row>
    <row r="299" spans="1:17">
      <c r="A299" t="str">
        <f t="shared" si="11"/>
        <v>03_Mar</v>
      </c>
      <c r="B299">
        <v>380</v>
      </c>
      <c r="C299" t="s">
        <v>127</v>
      </c>
      <c r="F299">
        <v>395570620</v>
      </c>
      <c r="G299" t="s">
        <v>470</v>
      </c>
      <c r="H299" t="s">
        <v>478</v>
      </c>
      <c r="I299" t="s">
        <v>479</v>
      </c>
      <c r="J299" t="s">
        <v>473</v>
      </c>
      <c r="K299">
        <v>201903</v>
      </c>
      <c r="L299" t="s">
        <v>127</v>
      </c>
      <c r="N299">
        <v>0</v>
      </c>
      <c r="O299">
        <v>0</v>
      </c>
      <c r="P299">
        <v>0</v>
      </c>
    </row>
    <row r="300" spans="1:17">
      <c r="A300" t="str">
        <f t="shared" si="11"/>
        <v>10_Oct</v>
      </c>
      <c r="B300">
        <v>380</v>
      </c>
      <c r="C300" t="s">
        <v>127</v>
      </c>
      <c r="F300">
        <v>397871557</v>
      </c>
      <c r="G300" t="s">
        <v>470</v>
      </c>
      <c r="H300" t="s">
        <v>478</v>
      </c>
      <c r="I300" t="s">
        <v>479</v>
      </c>
      <c r="J300" t="s">
        <v>473</v>
      </c>
      <c r="K300">
        <v>201910</v>
      </c>
      <c r="L300" t="s">
        <v>127</v>
      </c>
      <c r="N300">
        <v>2</v>
      </c>
      <c r="O300">
        <v>22.56</v>
      </c>
      <c r="P300">
        <v>11.28</v>
      </c>
      <c r="Q300">
        <v>0</v>
      </c>
    </row>
    <row r="301" spans="1:17">
      <c r="A301" t="str">
        <f t="shared" si="11"/>
        <v>11_Nov</v>
      </c>
      <c r="B301">
        <v>380</v>
      </c>
      <c r="C301" t="s">
        <v>127</v>
      </c>
      <c r="F301">
        <v>397871557</v>
      </c>
      <c r="G301" t="s">
        <v>470</v>
      </c>
      <c r="H301" t="s">
        <v>478</v>
      </c>
      <c r="I301" t="s">
        <v>479</v>
      </c>
      <c r="J301" t="s">
        <v>473</v>
      </c>
      <c r="K301">
        <v>201911</v>
      </c>
      <c r="L301" t="s">
        <v>127</v>
      </c>
      <c r="N301">
        <v>2</v>
      </c>
      <c r="O301">
        <v>19.28</v>
      </c>
      <c r="P301">
        <v>9.64</v>
      </c>
      <c r="Q301">
        <v>0</v>
      </c>
    </row>
    <row r="302" spans="1:17">
      <c r="A302" t="str">
        <f t="shared" si="11"/>
        <v>03_Mar</v>
      </c>
      <c r="B302">
        <v>380</v>
      </c>
      <c r="C302" t="s">
        <v>127</v>
      </c>
      <c r="F302">
        <v>279416710</v>
      </c>
      <c r="G302" t="s">
        <v>470</v>
      </c>
      <c r="H302" t="s">
        <v>478</v>
      </c>
      <c r="I302" t="s">
        <v>479</v>
      </c>
      <c r="J302" t="s">
        <v>473</v>
      </c>
      <c r="K302">
        <v>201903</v>
      </c>
      <c r="L302" t="s">
        <v>127</v>
      </c>
      <c r="N302">
        <v>0</v>
      </c>
      <c r="O302">
        <v>0</v>
      </c>
      <c r="P302">
        <v>0</v>
      </c>
    </row>
    <row r="303" spans="1:17">
      <c r="A303" t="str">
        <f t="shared" si="11"/>
        <v>03_Mar</v>
      </c>
      <c r="B303">
        <v>380</v>
      </c>
      <c r="C303" t="s">
        <v>127</v>
      </c>
      <c r="F303">
        <v>395430576</v>
      </c>
      <c r="G303" t="s">
        <v>470</v>
      </c>
      <c r="H303" t="s">
        <v>478</v>
      </c>
      <c r="I303" t="s">
        <v>479</v>
      </c>
      <c r="J303" t="s">
        <v>474</v>
      </c>
      <c r="K303">
        <v>201903</v>
      </c>
      <c r="L303" t="s">
        <v>127</v>
      </c>
      <c r="N303">
        <v>0</v>
      </c>
      <c r="O303">
        <v>0</v>
      </c>
      <c r="P303">
        <v>0</v>
      </c>
    </row>
    <row r="304" spans="1:17">
      <c r="A304" t="str">
        <f t="shared" si="11"/>
        <v>08_Aug</v>
      </c>
      <c r="B304">
        <v>380</v>
      </c>
      <c r="C304" t="s">
        <v>127</v>
      </c>
      <c r="F304">
        <v>395570674</v>
      </c>
      <c r="G304" t="s">
        <v>470</v>
      </c>
      <c r="H304" t="s">
        <v>478</v>
      </c>
      <c r="I304" t="s">
        <v>479</v>
      </c>
      <c r="J304" t="s">
        <v>473</v>
      </c>
      <c r="K304">
        <v>201908</v>
      </c>
      <c r="L304" t="s">
        <v>127</v>
      </c>
      <c r="N304">
        <v>2</v>
      </c>
      <c r="O304">
        <v>207.52</v>
      </c>
      <c r="P304">
        <v>103.76</v>
      </c>
      <c r="Q304">
        <v>0</v>
      </c>
    </row>
    <row r="305" spans="1:17">
      <c r="A305" t="str">
        <f t="shared" si="11"/>
        <v>03_Mar</v>
      </c>
      <c r="B305">
        <v>380</v>
      </c>
      <c r="C305" t="s">
        <v>127</v>
      </c>
      <c r="F305">
        <v>395570665</v>
      </c>
      <c r="G305" t="s">
        <v>470</v>
      </c>
      <c r="H305" t="s">
        <v>478</v>
      </c>
      <c r="I305" t="s">
        <v>479</v>
      </c>
      <c r="J305" t="s">
        <v>473</v>
      </c>
      <c r="K305">
        <v>201903</v>
      </c>
      <c r="L305" t="s">
        <v>127</v>
      </c>
      <c r="N305">
        <v>0</v>
      </c>
      <c r="O305">
        <v>0</v>
      </c>
      <c r="P305">
        <v>0</v>
      </c>
    </row>
    <row r="306" spans="1:17">
      <c r="A306" t="str">
        <f t="shared" si="11"/>
        <v>03_Mar</v>
      </c>
      <c r="B306">
        <v>380</v>
      </c>
      <c r="C306" t="s">
        <v>127</v>
      </c>
      <c r="F306">
        <v>397871557</v>
      </c>
      <c r="G306" t="s">
        <v>470</v>
      </c>
      <c r="H306" t="s">
        <v>478</v>
      </c>
      <c r="I306" t="s">
        <v>479</v>
      </c>
      <c r="J306" t="s">
        <v>473</v>
      </c>
      <c r="K306">
        <v>201903</v>
      </c>
      <c r="L306" t="s">
        <v>127</v>
      </c>
      <c r="N306">
        <v>0</v>
      </c>
      <c r="O306">
        <v>0</v>
      </c>
      <c r="P306">
        <v>0</v>
      </c>
    </row>
    <row r="307" spans="1:17">
      <c r="A307" t="str">
        <f t="shared" si="11"/>
        <v>08_Aug</v>
      </c>
      <c r="B307">
        <v>380</v>
      </c>
      <c r="C307" t="s">
        <v>127</v>
      </c>
      <c r="F307">
        <v>397871557</v>
      </c>
      <c r="G307" t="s">
        <v>470</v>
      </c>
      <c r="H307" t="s">
        <v>478</v>
      </c>
      <c r="I307" t="s">
        <v>479</v>
      </c>
      <c r="J307" t="s">
        <v>473</v>
      </c>
      <c r="K307">
        <v>201908</v>
      </c>
      <c r="L307" t="s">
        <v>127</v>
      </c>
      <c r="N307">
        <v>2</v>
      </c>
      <c r="O307">
        <v>0</v>
      </c>
      <c r="P307">
        <v>0</v>
      </c>
      <c r="Q307">
        <v>0</v>
      </c>
    </row>
    <row r="308" spans="1:17">
      <c r="A308" t="str">
        <f t="shared" si="11"/>
        <v>03_Mar</v>
      </c>
      <c r="B308">
        <v>380</v>
      </c>
      <c r="C308" t="s">
        <v>127</v>
      </c>
      <c r="F308">
        <v>279416636</v>
      </c>
      <c r="G308" t="s">
        <v>470</v>
      </c>
      <c r="H308" t="s">
        <v>478</v>
      </c>
      <c r="I308" t="s">
        <v>479</v>
      </c>
      <c r="J308" t="s">
        <v>473</v>
      </c>
      <c r="K308">
        <v>201903</v>
      </c>
      <c r="L308" t="s">
        <v>127</v>
      </c>
      <c r="N308">
        <v>0</v>
      </c>
      <c r="O308">
        <v>0</v>
      </c>
      <c r="P308">
        <v>0</v>
      </c>
    </row>
    <row r="309" spans="1:17">
      <c r="A309" t="str">
        <f t="shared" si="11"/>
        <v>09_Sep</v>
      </c>
      <c r="B309">
        <v>380</v>
      </c>
      <c r="C309" t="s">
        <v>127</v>
      </c>
      <c r="F309">
        <v>395570674</v>
      </c>
      <c r="G309" t="s">
        <v>470</v>
      </c>
      <c r="H309" t="s">
        <v>478</v>
      </c>
      <c r="I309" t="s">
        <v>479</v>
      </c>
      <c r="J309" t="s">
        <v>473</v>
      </c>
      <c r="K309">
        <v>201909</v>
      </c>
      <c r="L309" t="s">
        <v>127</v>
      </c>
      <c r="N309">
        <v>2</v>
      </c>
      <c r="O309">
        <v>346.58</v>
      </c>
      <c r="P309">
        <v>173.29</v>
      </c>
      <c r="Q309">
        <v>0</v>
      </c>
    </row>
    <row r="310" spans="1:17">
      <c r="A310" t="str">
        <f t="shared" si="11"/>
        <v>08_Aug</v>
      </c>
      <c r="B310">
        <v>380</v>
      </c>
      <c r="C310" t="s">
        <v>127</v>
      </c>
      <c r="F310">
        <v>395570620</v>
      </c>
      <c r="G310" t="s">
        <v>470</v>
      </c>
      <c r="H310" t="s">
        <v>478</v>
      </c>
      <c r="I310" t="s">
        <v>479</v>
      </c>
      <c r="J310" t="s">
        <v>473</v>
      </c>
      <c r="K310">
        <v>201908</v>
      </c>
      <c r="L310" t="s">
        <v>127</v>
      </c>
      <c r="N310">
        <v>2</v>
      </c>
      <c r="O310">
        <v>207.53</v>
      </c>
      <c r="P310">
        <v>103.765</v>
      </c>
      <c r="Q310">
        <v>0</v>
      </c>
    </row>
    <row r="311" spans="1:17">
      <c r="A311" t="str">
        <f t="shared" ref="A311:A339" si="12">IF(ISERROR(VLOOKUP(K311,$T$55:$U$66,2,FALSE)),"",VLOOKUP(K311,$T$55:$U$66,2,FALSE))</f>
        <v>06_Jun</v>
      </c>
      <c r="B311">
        <v>380</v>
      </c>
      <c r="C311" t="s">
        <v>127</v>
      </c>
      <c r="F311">
        <v>397871557</v>
      </c>
      <c r="G311" t="s">
        <v>470</v>
      </c>
      <c r="H311" t="s">
        <v>478</v>
      </c>
      <c r="I311" t="s">
        <v>479</v>
      </c>
      <c r="J311" t="s">
        <v>473</v>
      </c>
      <c r="K311">
        <v>201906</v>
      </c>
      <c r="L311" t="s">
        <v>127</v>
      </c>
      <c r="N311">
        <v>2</v>
      </c>
      <c r="O311">
        <v>0</v>
      </c>
      <c r="P311">
        <v>0</v>
      </c>
      <c r="Q311">
        <v>0</v>
      </c>
    </row>
    <row r="312" spans="1:17">
      <c r="A312" t="str">
        <f t="shared" si="12"/>
        <v>03_Mar</v>
      </c>
      <c r="B312">
        <v>380</v>
      </c>
      <c r="C312" t="s">
        <v>127</v>
      </c>
      <c r="F312">
        <v>279416599</v>
      </c>
      <c r="G312" t="s">
        <v>470</v>
      </c>
      <c r="H312" t="s">
        <v>478</v>
      </c>
      <c r="I312" t="s">
        <v>479</v>
      </c>
      <c r="J312" t="s">
        <v>473</v>
      </c>
      <c r="K312">
        <v>201903</v>
      </c>
      <c r="L312" t="s">
        <v>127</v>
      </c>
      <c r="N312">
        <v>0</v>
      </c>
      <c r="O312">
        <v>0</v>
      </c>
      <c r="P312">
        <v>0</v>
      </c>
    </row>
    <row r="313" spans="1:17">
      <c r="A313" t="str">
        <f t="shared" si="12"/>
        <v>03_Mar</v>
      </c>
      <c r="B313">
        <v>380</v>
      </c>
      <c r="C313" t="s">
        <v>127</v>
      </c>
      <c r="F313">
        <v>395430549</v>
      </c>
      <c r="G313" t="s">
        <v>470</v>
      </c>
      <c r="H313" t="s">
        <v>478</v>
      </c>
      <c r="I313" t="s">
        <v>479</v>
      </c>
      <c r="J313" t="s">
        <v>474</v>
      </c>
      <c r="K313">
        <v>201903</v>
      </c>
      <c r="L313" t="s">
        <v>127</v>
      </c>
      <c r="N313">
        <v>0</v>
      </c>
      <c r="O313">
        <v>0</v>
      </c>
      <c r="P313">
        <v>0</v>
      </c>
    </row>
    <row r="314" spans="1:17">
      <c r="A314" t="str">
        <f t="shared" si="12"/>
        <v>03_Mar</v>
      </c>
      <c r="B314">
        <v>380</v>
      </c>
      <c r="C314" t="s">
        <v>127</v>
      </c>
      <c r="F314">
        <v>395570674</v>
      </c>
      <c r="G314" t="s">
        <v>470</v>
      </c>
      <c r="H314" t="s">
        <v>478</v>
      </c>
      <c r="I314" t="s">
        <v>479</v>
      </c>
      <c r="J314" t="s">
        <v>473</v>
      </c>
      <c r="K314">
        <v>201903</v>
      </c>
      <c r="L314" t="s">
        <v>127</v>
      </c>
      <c r="N314">
        <v>0</v>
      </c>
      <c r="O314">
        <v>0</v>
      </c>
      <c r="P314">
        <v>0</v>
      </c>
    </row>
    <row r="315" spans="1:17">
      <c r="A315" t="str">
        <f t="shared" si="12"/>
        <v>12_Dec</v>
      </c>
      <c r="B315">
        <v>380</v>
      </c>
      <c r="C315" t="s">
        <v>127</v>
      </c>
      <c r="F315">
        <v>395570674</v>
      </c>
      <c r="G315" t="s">
        <v>470</v>
      </c>
      <c r="H315" t="s">
        <v>478</v>
      </c>
      <c r="I315" t="s">
        <v>479</v>
      </c>
      <c r="J315" t="s">
        <v>473</v>
      </c>
      <c r="K315">
        <v>201912</v>
      </c>
      <c r="L315" t="s">
        <v>127</v>
      </c>
      <c r="N315">
        <v>2</v>
      </c>
      <c r="O315">
        <v>661.53</v>
      </c>
      <c r="P315">
        <v>330.76499999999999</v>
      </c>
      <c r="Q315">
        <v>0</v>
      </c>
    </row>
    <row r="316" spans="1:17">
      <c r="A316" t="str">
        <f t="shared" si="12"/>
        <v>10_Oct</v>
      </c>
      <c r="B316">
        <v>380</v>
      </c>
      <c r="C316" t="s">
        <v>127</v>
      </c>
      <c r="F316">
        <v>395570638</v>
      </c>
      <c r="G316" t="s">
        <v>470</v>
      </c>
      <c r="H316" t="s">
        <v>478</v>
      </c>
      <c r="I316" t="s">
        <v>479</v>
      </c>
      <c r="J316" t="s">
        <v>473</v>
      </c>
      <c r="K316">
        <v>201910</v>
      </c>
      <c r="L316" t="s">
        <v>127</v>
      </c>
      <c r="N316">
        <v>2</v>
      </c>
      <c r="O316">
        <v>971.83</v>
      </c>
      <c r="P316">
        <v>485.91500000000002</v>
      </c>
      <c r="Q316">
        <v>0</v>
      </c>
    </row>
    <row r="317" spans="1:17">
      <c r="A317" t="str">
        <f t="shared" si="12"/>
        <v>08_Aug</v>
      </c>
      <c r="B317">
        <v>380</v>
      </c>
      <c r="C317" t="s">
        <v>127</v>
      </c>
      <c r="F317">
        <v>452732085</v>
      </c>
      <c r="G317" t="s">
        <v>470</v>
      </c>
      <c r="H317" t="s">
        <v>478</v>
      </c>
      <c r="I317" t="s">
        <v>479</v>
      </c>
      <c r="J317" t="s">
        <v>474</v>
      </c>
      <c r="K317">
        <v>201908</v>
      </c>
      <c r="L317" t="s">
        <v>488</v>
      </c>
      <c r="N317">
        <v>191</v>
      </c>
      <c r="O317">
        <v>1678220.67</v>
      </c>
      <c r="P317">
        <v>8786.4956544502602</v>
      </c>
      <c r="Q317">
        <v>0</v>
      </c>
    </row>
    <row r="318" spans="1:17">
      <c r="A318" t="str">
        <f t="shared" si="12"/>
        <v>12_Dec</v>
      </c>
      <c r="B318">
        <v>380</v>
      </c>
      <c r="C318" t="s">
        <v>127</v>
      </c>
      <c r="F318">
        <v>405404720</v>
      </c>
      <c r="G318" t="s">
        <v>470</v>
      </c>
      <c r="H318" t="s">
        <v>478</v>
      </c>
      <c r="I318" t="s">
        <v>479</v>
      </c>
      <c r="J318" t="s">
        <v>473</v>
      </c>
      <c r="K318">
        <v>201912</v>
      </c>
      <c r="L318" t="s">
        <v>488</v>
      </c>
      <c r="N318">
        <v>2</v>
      </c>
      <c r="O318">
        <v>236217.06</v>
      </c>
      <c r="P318">
        <v>118108.53</v>
      </c>
      <c r="Q318">
        <v>0</v>
      </c>
    </row>
    <row r="319" spans="1:17">
      <c r="A319" t="str">
        <f t="shared" si="12"/>
        <v>08_Aug</v>
      </c>
      <c r="B319">
        <v>380</v>
      </c>
      <c r="C319" t="s">
        <v>127</v>
      </c>
      <c r="F319">
        <v>452732110</v>
      </c>
      <c r="G319" t="s">
        <v>470</v>
      </c>
      <c r="H319" t="s">
        <v>478</v>
      </c>
      <c r="I319" t="s">
        <v>479</v>
      </c>
      <c r="J319" t="s">
        <v>474</v>
      </c>
      <c r="K319">
        <v>201908</v>
      </c>
      <c r="L319" t="s">
        <v>488</v>
      </c>
      <c r="N319">
        <v>38</v>
      </c>
      <c r="O319">
        <v>470383.1</v>
      </c>
      <c r="P319">
        <v>12378.5026315789</v>
      </c>
      <c r="Q319">
        <v>0</v>
      </c>
    </row>
    <row r="320" spans="1:17">
      <c r="A320" t="str">
        <f t="shared" si="12"/>
        <v>07_Jul</v>
      </c>
      <c r="B320">
        <v>380</v>
      </c>
      <c r="C320" t="s">
        <v>127</v>
      </c>
      <c r="F320">
        <v>405404720</v>
      </c>
      <c r="G320" t="s">
        <v>470</v>
      </c>
      <c r="H320" t="s">
        <v>478</v>
      </c>
      <c r="I320" t="s">
        <v>479</v>
      </c>
      <c r="J320" t="s">
        <v>473</v>
      </c>
      <c r="K320">
        <v>201907</v>
      </c>
      <c r="L320" t="s">
        <v>488</v>
      </c>
      <c r="N320">
        <v>2</v>
      </c>
      <c r="O320">
        <v>284864.46000000002</v>
      </c>
      <c r="P320">
        <v>142432.23000000001</v>
      </c>
      <c r="Q320">
        <v>0</v>
      </c>
    </row>
    <row r="321" spans="1:17">
      <c r="A321" t="str">
        <f t="shared" si="12"/>
        <v>09_Sep</v>
      </c>
      <c r="B321">
        <v>380</v>
      </c>
      <c r="C321" t="s">
        <v>127</v>
      </c>
      <c r="F321">
        <v>405404720</v>
      </c>
      <c r="G321" t="s">
        <v>470</v>
      </c>
      <c r="H321" t="s">
        <v>478</v>
      </c>
      <c r="I321" t="s">
        <v>479</v>
      </c>
      <c r="J321" t="s">
        <v>473</v>
      </c>
      <c r="K321">
        <v>201909</v>
      </c>
      <c r="L321" t="s">
        <v>488</v>
      </c>
      <c r="N321">
        <v>2</v>
      </c>
      <c r="O321">
        <v>306430.38</v>
      </c>
      <c r="P321">
        <v>153215.19</v>
      </c>
      <c r="Q321">
        <v>0</v>
      </c>
    </row>
    <row r="322" spans="1:17">
      <c r="A322" t="str">
        <f t="shared" si="12"/>
        <v>11_Nov</v>
      </c>
      <c r="B322">
        <v>380</v>
      </c>
      <c r="C322" t="s">
        <v>127</v>
      </c>
      <c r="F322">
        <v>405404720</v>
      </c>
      <c r="G322" t="s">
        <v>470</v>
      </c>
      <c r="H322" t="s">
        <v>478</v>
      </c>
      <c r="I322" t="s">
        <v>479</v>
      </c>
      <c r="J322" t="s">
        <v>473</v>
      </c>
      <c r="K322">
        <v>201911</v>
      </c>
      <c r="L322" t="s">
        <v>488</v>
      </c>
      <c r="N322">
        <v>2</v>
      </c>
      <c r="O322">
        <v>165140.07</v>
      </c>
      <c r="P322">
        <v>82570.035000000003</v>
      </c>
      <c r="Q322">
        <v>0</v>
      </c>
    </row>
    <row r="323" spans="1:17">
      <c r="A323" t="str">
        <f t="shared" si="12"/>
        <v>05_May</v>
      </c>
      <c r="B323">
        <v>380</v>
      </c>
      <c r="C323" t="s">
        <v>127</v>
      </c>
      <c r="F323">
        <v>405404720</v>
      </c>
      <c r="G323" t="s">
        <v>470</v>
      </c>
      <c r="H323" t="s">
        <v>478</v>
      </c>
      <c r="I323" t="s">
        <v>479</v>
      </c>
      <c r="J323" t="s">
        <v>473</v>
      </c>
      <c r="K323">
        <v>201905</v>
      </c>
      <c r="L323" t="s">
        <v>488</v>
      </c>
      <c r="N323">
        <v>2</v>
      </c>
      <c r="O323">
        <v>333182.82</v>
      </c>
      <c r="P323">
        <v>166591.41</v>
      </c>
      <c r="Q323">
        <v>0</v>
      </c>
    </row>
    <row r="324" spans="1:17">
      <c r="A324" t="str">
        <f t="shared" si="12"/>
        <v>08_Aug</v>
      </c>
      <c r="B324">
        <v>380</v>
      </c>
      <c r="C324" t="s">
        <v>127</v>
      </c>
      <c r="F324">
        <v>405404720</v>
      </c>
      <c r="G324" t="s">
        <v>470</v>
      </c>
      <c r="H324" t="s">
        <v>478</v>
      </c>
      <c r="I324" t="s">
        <v>479</v>
      </c>
      <c r="J324" t="s">
        <v>473</v>
      </c>
      <c r="K324">
        <v>201908</v>
      </c>
      <c r="L324" t="s">
        <v>488</v>
      </c>
      <c r="N324">
        <v>-10</v>
      </c>
      <c r="O324">
        <v>-2026569.41</v>
      </c>
      <c r="P324">
        <v>202656.94099999999</v>
      </c>
      <c r="Q324">
        <v>0</v>
      </c>
    </row>
    <row r="325" spans="1:17">
      <c r="A325" t="str">
        <f t="shared" si="12"/>
        <v>02_Feb</v>
      </c>
      <c r="B325">
        <v>380</v>
      </c>
      <c r="C325" t="s">
        <v>127</v>
      </c>
      <c r="F325">
        <v>405404720</v>
      </c>
      <c r="G325" t="s">
        <v>470</v>
      </c>
      <c r="H325" t="s">
        <v>478</v>
      </c>
      <c r="I325" t="s">
        <v>479</v>
      </c>
      <c r="J325" t="s">
        <v>473</v>
      </c>
      <c r="K325">
        <v>201902</v>
      </c>
      <c r="L325" t="s">
        <v>488</v>
      </c>
      <c r="N325">
        <v>2</v>
      </c>
      <c r="O325">
        <v>199510.45</v>
      </c>
      <c r="P325">
        <v>99755.225000000006</v>
      </c>
      <c r="Q325">
        <v>0</v>
      </c>
    </row>
    <row r="326" spans="1:17">
      <c r="A326" t="str">
        <f t="shared" si="12"/>
        <v>08_Aug</v>
      </c>
      <c r="B326">
        <v>380</v>
      </c>
      <c r="C326" t="s">
        <v>127</v>
      </c>
      <c r="F326">
        <v>395570701</v>
      </c>
      <c r="G326" t="s">
        <v>470</v>
      </c>
      <c r="H326" t="s">
        <v>478</v>
      </c>
      <c r="I326" t="s">
        <v>479</v>
      </c>
      <c r="J326" t="s">
        <v>473</v>
      </c>
      <c r="K326">
        <v>201908</v>
      </c>
      <c r="L326" t="s">
        <v>488</v>
      </c>
      <c r="N326">
        <v>-2</v>
      </c>
      <c r="O326">
        <v>-197410.8</v>
      </c>
      <c r="P326">
        <v>98705.4</v>
      </c>
      <c r="Q326">
        <v>0</v>
      </c>
    </row>
    <row r="327" spans="1:17">
      <c r="A327" t="str">
        <f t="shared" si="12"/>
        <v>04_Apr</v>
      </c>
      <c r="B327">
        <v>380</v>
      </c>
      <c r="C327" t="s">
        <v>127</v>
      </c>
      <c r="F327">
        <v>405404720</v>
      </c>
      <c r="G327" t="s">
        <v>470</v>
      </c>
      <c r="H327" t="s">
        <v>478</v>
      </c>
      <c r="I327" t="s">
        <v>479</v>
      </c>
      <c r="J327" t="s">
        <v>473</v>
      </c>
      <c r="K327">
        <v>201904</v>
      </c>
      <c r="L327" t="s">
        <v>488</v>
      </c>
      <c r="N327">
        <v>2</v>
      </c>
      <c r="O327">
        <v>528130.11</v>
      </c>
      <c r="P327">
        <v>264065.05499999999</v>
      </c>
      <c r="Q327">
        <v>0</v>
      </c>
    </row>
    <row r="328" spans="1:17">
      <c r="A328" t="str">
        <f t="shared" si="12"/>
        <v>06_Jun</v>
      </c>
      <c r="B328">
        <v>380</v>
      </c>
      <c r="C328" t="s">
        <v>127</v>
      </c>
      <c r="F328">
        <v>405404720</v>
      </c>
      <c r="G328" t="s">
        <v>470</v>
      </c>
      <c r="H328" t="s">
        <v>478</v>
      </c>
      <c r="I328" t="s">
        <v>479</v>
      </c>
      <c r="J328" t="s">
        <v>473</v>
      </c>
      <c r="K328">
        <v>201906</v>
      </c>
      <c r="L328" t="s">
        <v>488</v>
      </c>
      <c r="N328">
        <v>2</v>
      </c>
      <c r="O328">
        <v>302892.89</v>
      </c>
      <c r="P328">
        <v>151446.44500000001</v>
      </c>
      <c r="Q328">
        <v>0</v>
      </c>
    </row>
    <row r="329" spans="1:17">
      <c r="A329" t="str">
        <f t="shared" si="12"/>
        <v>01_Jan</v>
      </c>
      <c r="B329">
        <v>380</v>
      </c>
      <c r="C329" t="s">
        <v>127</v>
      </c>
      <c r="F329">
        <v>405404720</v>
      </c>
      <c r="G329" t="s">
        <v>470</v>
      </c>
      <c r="H329" t="s">
        <v>478</v>
      </c>
      <c r="I329" t="s">
        <v>479</v>
      </c>
      <c r="J329" t="s">
        <v>473</v>
      </c>
      <c r="K329">
        <v>201901</v>
      </c>
      <c r="L329" t="s">
        <v>488</v>
      </c>
      <c r="N329">
        <v>2</v>
      </c>
      <c r="O329">
        <v>516934.82</v>
      </c>
      <c r="P329">
        <v>258467.41</v>
      </c>
      <c r="Q329">
        <v>0</v>
      </c>
    </row>
    <row r="330" spans="1:17">
      <c r="A330" t="str">
        <f t="shared" si="12"/>
        <v>10_Oct</v>
      </c>
      <c r="B330">
        <v>380</v>
      </c>
      <c r="C330" t="s">
        <v>127</v>
      </c>
      <c r="F330">
        <v>405404720</v>
      </c>
      <c r="G330" t="s">
        <v>470</v>
      </c>
      <c r="H330" t="s">
        <v>478</v>
      </c>
      <c r="I330" t="s">
        <v>479</v>
      </c>
      <c r="J330" t="s">
        <v>473</v>
      </c>
      <c r="K330">
        <v>201910</v>
      </c>
      <c r="L330" t="s">
        <v>488</v>
      </c>
      <c r="N330">
        <v>2</v>
      </c>
      <c r="O330">
        <v>196959.74</v>
      </c>
      <c r="P330">
        <v>98479.87</v>
      </c>
      <c r="Q330">
        <v>0</v>
      </c>
    </row>
    <row r="331" spans="1:17">
      <c r="A331" t="str">
        <f t="shared" si="12"/>
        <v>08_Aug</v>
      </c>
      <c r="B331">
        <v>380</v>
      </c>
      <c r="C331" t="s">
        <v>127</v>
      </c>
      <c r="F331">
        <v>452732128</v>
      </c>
      <c r="G331" t="s">
        <v>470</v>
      </c>
      <c r="H331" t="s">
        <v>478</v>
      </c>
      <c r="I331" t="s">
        <v>479</v>
      </c>
      <c r="J331" t="s">
        <v>474</v>
      </c>
      <c r="K331">
        <v>201908</v>
      </c>
      <c r="L331" t="s">
        <v>488</v>
      </c>
      <c r="N331">
        <v>12</v>
      </c>
      <c r="O331">
        <v>180148.04</v>
      </c>
      <c r="P331">
        <v>15012.336666666701</v>
      </c>
      <c r="Q331">
        <v>0</v>
      </c>
    </row>
    <row r="332" spans="1:17">
      <c r="A332" t="str">
        <f t="shared" si="12"/>
        <v>08_Aug</v>
      </c>
      <c r="B332">
        <v>380</v>
      </c>
      <c r="C332" t="s">
        <v>127</v>
      </c>
      <c r="F332">
        <v>452732119</v>
      </c>
      <c r="G332" t="s">
        <v>470</v>
      </c>
      <c r="H332" t="s">
        <v>478</v>
      </c>
      <c r="I332" t="s">
        <v>479</v>
      </c>
      <c r="J332" t="s">
        <v>474</v>
      </c>
      <c r="K332">
        <v>201908</v>
      </c>
      <c r="L332" t="s">
        <v>488</v>
      </c>
      <c r="N332">
        <v>6</v>
      </c>
      <c r="O332">
        <v>126807.52</v>
      </c>
      <c r="P332">
        <v>21134.586666666699</v>
      </c>
      <c r="Q332">
        <v>0</v>
      </c>
    </row>
    <row r="333" spans="1:17">
      <c r="A333" t="str">
        <f t="shared" si="12"/>
        <v>03_Mar</v>
      </c>
      <c r="B333">
        <v>380</v>
      </c>
      <c r="C333" t="s">
        <v>129</v>
      </c>
      <c r="F333">
        <v>395430719</v>
      </c>
      <c r="G333" t="s">
        <v>470</v>
      </c>
      <c r="H333" t="s">
        <v>478</v>
      </c>
      <c r="I333" t="s">
        <v>479</v>
      </c>
      <c r="J333" t="s">
        <v>474</v>
      </c>
      <c r="K333">
        <v>201903</v>
      </c>
      <c r="L333" t="s">
        <v>129</v>
      </c>
      <c r="N333">
        <v>0</v>
      </c>
      <c r="O333">
        <v>0</v>
      </c>
      <c r="P333">
        <v>0</v>
      </c>
    </row>
    <row r="334" spans="1:17">
      <c r="A334" t="str">
        <f t="shared" si="12"/>
        <v>03_Mar</v>
      </c>
      <c r="B334">
        <v>380</v>
      </c>
      <c r="C334" t="s">
        <v>129</v>
      </c>
      <c r="F334">
        <v>395430710</v>
      </c>
      <c r="G334" t="s">
        <v>470</v>
      </c>
      <c r="H334" t="s">
        <v>478</v>
      </c>
      <c r="I334" t="s">
        <v>479</v>
      </c>
      <c r="J334" t="s">
        <v>474</v>
      </c>
      <c r="K334">
        <v>201903</v>
      </c>
      <c r="L334" t="s">
        <v>129</v>
      </c>
      <c r="N334">
        <v>0</v>
      </c>
      <c r="O334">
        <v>0</v>
      </c>
      <c r="P334">
        <v>0</v>
      </c>
    </row>
    <row r="335" spans="1:17">
      <c r="A335" t="str">
        <f t="shared" si="12"/>
        <v>03_Mar</v>
      </c>
      <c r="B335">
        <v>380</v>
      </c>
      <c r="C335" t="s">
        <v>129</v>
      </c>
      <c r="F335">
        <v>395430693</v>
      </c>
      <c r="G335" t="s">
        <v>470</v>
      </c>
      <c r="H335" t="s">
        <v>478</v>
      </c>
      <c r="I335" t="s">
        <v>479</v>
      </c>
      <c r="J335" t="s">
        <v>474</v>
      </c>
      <c r="K335">
        <v>201903</v>
      </c>
      <c r="L335" t="s">
        <v>129</v>
      </c>
      <c r="N335">
        <v>0</v>
      </c>
      <c r="O335">
        <v>0</v>
      </c>
      <c r="P335">
        <v>0</v>
      </c>
    </row>
    <row r="336" spans="1:17">
      <c r="A336" t="str">
        <f t="shared" si="12"/>
        <v>05_May</v>
      </c>
      <c r="B336">
        <v>380</v>
      </c>
      <c r="C336" t="s">
        <v>129</v>
      </c>
      <c r="F336">
        <v>405404738</v>
      </c>
      <c r="G336" t="s">
        <v>470</v>
      </c>
      <c r="H336" t="s">
        <v>478</v>
      </c>
      <c r="I336" t="s">
        <v>479</v>
      </c>
      <c r="J336" t="s">
        <v>473</v>
      </c>
      <c r="K336">
        <v>201905</v>
      </c>
      <c r="L336" t="s">
        <v>489</v>
      </c>
      <c r="N336">
        <v>2</v>
      </c>
      <c r="O336">
        <v>930.88</v>
      </c>
      <c r="P336">
        <v>465.44</v>
      </c>
      <c r="Q336">
        <v>0</v>
      </c>
    </row>
    <row r="337" spans="1:17">
      <c r="A337" t="str">
        <f t="shared" si="12"/>
        <v>11_Nov</v>
      </c>
      <c r="B337">
        <v>380</v>
      </c>
      <c r="C337" t="s">
        <v>129</v>
      </c>
      <c r="F337">
        <v>405404738</v>
      </c>
      <c r="G337" t="s">
        <v>470</v>
      </c>
      <c r="H337" t="s">
        <v>478</v>
      </c>
      <c r="I337" t="s">
        <v>479</v>
      </c>
      <c r="J337" t="s">
        <v>473</v>
      </c>
      <c r="K337">
        <v>201911</v>
      </c>
      <c r="L337" t="s">
        <v>489</v>
      </c>
      <c r="N337">
        <v>1</v>
      </c>
      <c r="O337">
        <v>1579.31</v>
      </c>
      <c r="P337">
        <v>1579.31</v>
      </c>
      <c r="Q337">
        <v>0</v>
      </c>
    </row>
    <row r="338" spans="1:17">
      <c r="A338" t="str">
        <f t="shared" si="12"/>
        <v>12_Dec</v>
      </c>
      <c r="B338">
        <v>380</v>
      </c>
      <c r="C338" t="s">
        <v>129</v>
      </c>
      <c r="F338">
        <v>405404738</v>
      </c>
      <c r="G338" t="s">
        <v>470</v>
      </c>
      <c r="H338" t="s">
        <v>478</v>
      </c>
      <c r="I338" t="s">
        <v>479</v>
      </c>
      <c r="J338" t="s">
        <v>473</v>
      </c>
      <c r="K338">
        <v>201912</v>
      </c>
      <c r="L338" t="s">
        <v>489</v>
      </c>
      <c r="N338">
        <v>1</v>
      </c>
      <c r="O338">
        <v>503.52</v>
      </c>
      <c r="P338">
        <v>503.52</v>
      </c>
      <c r="Q338">
        <v>0</v>
      </c>
    </row>
    <row r="339" spans="1:17">
      <c r="A339" t="str">
        <f t="shared" si="12"/>
        <v>01_Jan</v>
      </c>
      <c r="B339">
        <v>380</v>
      </c>
      <c r="C339" t="s">
        <v>129</v>
      </c>
      <c r="F339">
        <v>405404738</v>
      </c>
      <c r="G339" t="s">
        <v>470</v>
      </c>
      <c r="H339" t="s">
        <v>478</v>
      </c>
      <c r="I339" t="s">
        <v>479</v>
      </c>
      <c r="J339" t="s">
        <v>473</v>
      </c>
      <c r="K339">
        <v>201901</v>
      </c>
      <c r="L339" t="s">
        <v>489</v>
      </c>
      <c r="N339">
        <v>1</v>
      </c>
      <c r="O339">
        <v>265.04000000000002</v>
      </c>
      <c r="P339">
        <v>265.04000000000002</v>
      </c>
      <c r="Q339">
        <v>0</v>
      </c>
    </row>
  </sheetData>
  <autoFilter ref="F54:L55" xr:uid="{EFB05FA6-18AA-4A90-A28D-DB0A292B3D4E}"/>
  <pageMargins left="0.7" right="0.7" top="0.75" bottom="0.75" header="0.3" footer="0.3"/>
  <pageSetup scale="57" orientation="landscape" r:id="rId1"/>
  <headerFooter>
    <oddFooter>&amp;L&amp;1#&amp;"Calibri"&amp;14&amp;K000000Business Use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D0D0C-B527-4E38-92A5-5B1920333664}">
  <sheetPr>
    <tabColor rgb="FFD8E4BC"/>
    <pageSetUpPr fitToPage="1"/>
  </sheetPr>
  <dimension ref="A1:J15"/>
  <sheetViews>
    <sheetView showGridLines="0" view="pageBreakPreview" zoomScaleNormal="100" zoomScaleSheetLayoutView="100" workbookViewId="0">
      <selection sqref="A1:G1"/>
    </sheetView>
  </sheetViews>
  <sheetFormatPr defaultColWidth="9.140625" defaultRowHeight="15.75"/>
  <cols>
    <col min="1" max="1" width="7.42578125" style="4" customWidth="1"/>
    <col min="2" max="2" width="21.28515625" style="4" customWidth="1"/>
    <col min="3" max="3" width="9.140625" style="4" bestFit="1" customWidth="1"/>
    <col min="4" max="5" width="14.28515625" style="4" customWidth="1"/>
    <col min="6" max="6" width="16" style="4" customWidth="1"/>
    <col min="7" max="7" width="11.7109375" style="4" customWidth="1"/>
    <col min="8" max="16384" width="9.140625" style="4"/>
  </cols>
  <sheetData>
    <row r="1" spans="1:10">
      <c r="A1" s="1564" t="s">
        <v>669</v>
      </c>
      <c r="B1" s="1564"/>
      <c r="C1" s="1564"/>
      <c r="D1" s="1564"/>
      <c r="E1" s="1564"/>
      <c r="F1" s="1564"/>
      <c r="G1" s="1564"/>
      <c r="J1" s="26"/>
    </row>
    <row r="2" spans="1:10">
      <c r="A2" s="1564" t="s">
        <v>961</v>
      </c>
      <c r="B2" s="1564"/>
      <c r="C2" s="1564"/>
      <c r="D2" s="1564"/>
      <c r="E2" s="1564"/>
      <c r="F2" s="1564"/>
      <c r="G2" s="1564"/>
    </row>
    <row r="3" spans="1:10">
      <c r="A3" s="1564" t="s">
        <v>56</v>
      </c>
      <c r="B3" s="1564"/>
      <c r="C3" s="1564"/>
      <c r="D3" s="1564"/>
      <c r="E3" s="1564"/>
      <c r="F3" s="1564"/>
      <c r="G3" s="1564"/>
    </row>
    <row r="5" spans="1:10">
      <c r="A5" s="66"/>
      <c r="B5" s="26"/>
      <c r="C5" s="26"/>
      <c r="D5" s="26"/>
      <c r="E5" s="26"/>
      <c r="F5" s="26"/>
    </row>
    <row r="6" spans="1:10">
      <c r="A6" s="1403" t="s">
        <v>4</v>
      </c>
      <c r="B6" s="26"/>
      <c r="C6" s="26"/>
      <c r="D6" s="26"/>
      <c r="E6" s="915" t="s">
        <v>46</v>
      </c>
      <c r="F6" s="915" t="s">
        <v>47</v>
      </c>
      <c r="G6" s="915" t="s">
        <v>935</v>
      </c>
    </row>
    <row r="7" spans="1:10">
      <c r="A7" s="189" t="s">
        <v>5</v>
      </c>
      <c r="B7" s="1407" t="s">
        <v>44</v>
      </c>
      <c r="C7" s="917" t="s">
        <v>45</v>
      </c>
      <c r="D7" s="917" t="s">
        <v>35</v>
      </c>
      <c r="E7" s="917" t="s">
        <v>35</v>
      </c>
      <c r="F7" s="916" t="s">
        <v>457</v>
      </c>
      <c r="G7" s="917" t="s">
        <v>934</v>
      </c>
    </row>
    <row r="8" spans="1:10" ht="6.75" customHeight="1">
      <c r="A8" s="66"/>
      <c r="B8" s="26"/>
      <c r="C8" s="26"/>
      <c r="D8" s="26"/>
      <c r="E8" s="26"/>
      <c r="F8" s="26"/>
      <c r="G8" s="26"/>
    </row>
    <row r="9" spans="1:10" s="1362" customFormat="1" ht="18" customHeight="1">
      <c r="A9" s="843">
        <v>1</v>
      </c>
      <c r="B9" s="841" t="s">
        <v>48</v>
      </c>
      <c r="C9" s="898">
        <f>'ROR 2023'!C9</f>
        <v>1.2622813021079897E-2</v>
      </c>
      <c r="D9" s="898">
        <f>'ROR 2023'!D9</f>
        <v>4.6002316569744824E-3</v>
      </c>
      <c r="E9" s="887">
        <f>C9*D9</f>
        <v>5.8067864059641441E-5</v>
      </c>
      <c r="F9" s="888"/>
      <c r="G9" s="888">
        <f>E9</f>
        <v>5.8067864059641441E-5</v>
      </c>
    </row>
    <row r="10" spans="1:10" s="1362" customFormat="1" ht="18" customHeight="1">
      <c r="A10" s="843">
        <v>2</v>
      </c>
      <c r="B10" s="847" t="s">
        <v>50</v>
      </c>
      <c r="C10" s="898">
        <f>'ROR 2023'!C10</f>
        <v>0.45547230700144359</v>
      </c>
      <c r="D10" s="898">
        <f>'ROR 2023'!D10</f>
        <v>4.0023828792907258E-2</v>
      </c>
      <c r="E10" s="887">
        <f>C10*D10</f>
        <v>1.8229745635336272E-2</v>
      </c>
      <c r="F10" s="888"/>
      <c r="G10" s="888">
        <f>E10</f>
        <v>1.8229745635336272E-2</v>
      </c>
    </row>
    <row r="11" spans="1:10" s="1362" customFormat="1" ht="18" customHeight="1">
      <c r="A11" s="889">
        <v>3</v>
      </c>
      <c r="B11" s="890" t="s">
        <v>49</v>
      </c>
      <c r="C11" s="849">
        <f>'ROR 2023'!C11</f>
        <v>0.53190487997747649</v>
      </c>
      <c r="D11" s="914">
        <f>'ROR 2023'!D11</f>
        <v>9.35E-2</v>
      </c>
      <c r="E11" s="891">
        <f>C11*D11</f>
        <v>4.9733106277894054E-2</v>
      </c>
      <c r="F11" s="892">
        <f>E11*(0.2495/(1-0.2495))</f>
        <v>1.6533524338886833E-2</v>
      </c>
      <c r="G11" s="892">
        <f>E11/(1-0.2495)</f>
        <v>6.6266630616780883E-2</v>
      </c>
    </row>
    <row r="12" spans="1:10" s="1362" customFormat="1" ht="18" customHeight="1">
      <c r="A12" s="843">
        <v>4</v>
      </c>
      <c r="B12" s="841" t="s">
        <v>3</v>
      </c>
      <c r="C12" s="888">
        <f>SUM(C9:C11)</f>
        <v>1</v>
      </c>
      <c r="D12" s="841"/>
      <c r="E12" s="888">
        <f>SUM(E9:E11)</f>
        <v>6.8020919777289968E-2</v>
      </c>
      <c r="F12" s="888">
        <f>SUM(F9:F11)</f>
        <v>1.6533524338886833E-2</v>
      </c>
      <c r="G12" s="1405">
        <f>ROUND(SUM(G9:G11),4)</f>
        <v>8.4599999999999995E-2</v>
      </c>
    </row>
    <row r="13" spans="1:10">
      <c r="A13" s="66"/>
      <c r="B13" s="26"/>
      <c r="C13" s="69"/>
      <c r="D13" s="26"/>
      <c r="E13" s="69"/>
      <c r="F13" s="69"/>
      <c r="G13" s="69"/>
    </row>
    <row r="14" spans="1:10">
      <c r="A14" s="66"/>
      <c r="B14" s="26"/>
      <c r="C14" s="26"/>
      <c r="D14" s="26"/>
      <c r="E14" s="26"/>
      <c r="F14" s="26"/>
      <c r="G14" s="26"/>
    </row>
    <row r="15" spans="1:10">
      <c r="A15" s="1406" t="s">
        <v>1051</v>
      </c>
      <c r="B15" s="190"/>
      <c r="C15" s="190"/>
      <c r="D15" s="190"/>
      <c r="E15" s="190"/>
      <c r="F15" s="190"/>
      <c r="G15" s="190"/>
      <c r="H15" s="190"/>
    </row>
  </sheetData>
  <mergeCells count="3">
    <mergeCell ref="A1:G1"/>
    <mergeCell ref="A2:G2"/>
    <mergeCell ref="A3:G3"/>
  </mergeCells>
  <printOptions horizontalCentered="1"/>
  <pageMargins left="0.7" right="0.7" top="0.75" bottom="0.75" header="0.3" footer="0.3"/>
  <pageSetup orientation="landscape" blackAndWhite="1" r:id="rId1"/>
  <headerFooter scaleWithDoc="0" alignWithMargins="0">
    <oddFooter>&amp;R&amp;"Times New Roman,Bold"Exhibit 4
Page 2 of 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39997558519241921"/>
    <pageSetUpPr fitToPage="1"/>
  </sheetPr>
  <dimension ref="A1:AJ1048576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15">
        <v>2017</v>
      </c>
      <c r="E6" s="95">
        <v>2018</v>
      </c>
      <c r="F6" s="95">
        <f>$E$6</f>
        <v>2018</v>
      </c>
      <c r="G6" s="95">
        <f>$E$6</f>
        <v>2018</v>
      </c>
      <c r="H6" s="95">
        <f>$E$6</f>
        <v>2018</v>
      </c>
      <c r="I6" s="95">
        <f>$E$6</f>
        <v>2018</v>
      </c>
      <c r="J6" s="95">
        <f>$E$6</f>
        <v>2018</v>
      </c>
      <c r="K6" s="95">
        <f t="shared" ref="K6:Q6" si="0">$E$6</f>
        <v>2018</v>
      </c>
      <c r="L6" s="95">
        <f t="shared" si="0"/>
        <v>2018</v>
      </c>
      <c r="M6" s="95">
        <f t="shared" si="0"/>
        <v>2018</v>
      </c>
      <c r="N6" s="95">
        <f t="shared" si="0"/>
        <v>2018</v>
      </c>
      <c r="O6" s="95">
        <f t="shared" si="0"/>
        <v>2018</v>
      </c>
      <c r="P6" s="95">
        <f t="shared" si="0"/>
        <v>2018</v>
      </c>
      <c r="Q6" s="133">
        <f t="shared" si="0"/>
        <v>2018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483"/>
      <c r="F10" s="483"/>
      <c r="G10" s="13"/>
      <c r="H10" s="13"/>
      <c r="I10" s="13"/>
      <c r="J10" s="13"/>
      <c r="K10" s="13"/>
      <c r="L10" s="13"/>
      <c r="M10" s="13"/>
      <c r="N10" s="13"/>
      <c r="O10" s="13"/>
      <c r="P10" s="28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412</v>
      </c>
      <c r="D11" s="284">
        <f>'Rev Req 2017-Distr'!P11</f>
        <v>17681979.870000001</v>
      </c>
      <c r="E11" s="285">
        <f>SUM('201801 Bk Depr'!R13,'201801 Bk Depr'!R14:R16,'201801 Bk Depr'!R20,'201801 Bk Depr'!R21:R22)</f>
        <v>18657393.580000002</v>
      </c>
      <c r="F11" s="285">
        <f>SUM('201802 Bk Depr'!R13,'201802 Bk Depr'!R14:R16,'201802 Bk Depr'!R20,'201802 Bk Depr'!R21:R22)</f>
        <v>19532187.210000001</v>
      </c>
      <c r="G11" s="285">
        <f>SUM('201803 Bk Depr'!R13,'201803 Bk Depr'!R14:R16,'201803 Bk Depr'!R20,'201803 Bk Depr'!R21:R22)</f>
        <v>20918278.960000001</v>
      </c>
      <c r="H11" s="285">
        <f>SUM('201804 Bk Depr'!R13,'201804 Bk Depr'!R14:R16,'201804 Bk Depr'!R20,'201804 Bk Depr'!R21:R22)</f>
        <v>22144715.750000004</v>
      </c>
      <c r="I11" s="285">
        <f>SUM('201805 Bk Depr'!R13,'201805 Bk Depr'!R14:R16,'201805 Bk Depr'!R20,'201805 Bk Depr'!R21:R22)</f>
        <v>23345252.420000002</v>
      </c>
      <c r="J11" s="285">
        <f>SUM('201806 Bk Depr'!R13,'201806 Bk Depr'!R14:R16,'201806 Bk Depr'!R20,'201806 Bk Depr'!R21:R22)</f>
        <v>24503751.040000003</v>
      </c>
      <c r="K11" s="285">
        <f>SUM('201807 Bk Depr'!R13,'201807 Bk Depr'!R14:R16,'201807 Bk Depr'!R20,'201807 Bk Depr'!R21:R22)</f>
        <v>26110670.130000003</v>
      </c>
      <c r="L11" s="285">
        <f>SUM('201808 Bk Depr'!R13,'201808 Bk Depr'!R14:R16,'201808 Bk Depr'!R20,'201808 Bk Depr'!R21:R22)</f>
        <v>27556767.710000001</v>
      </c>
      <c r="M11" s="285">
        <f>SUM('201809 Bk Depr'!R13,'201809 Bk Depr'!R14:R16,'201809 Bk Depr'!R20,'201809 Bk Depr'!R21:R22)</f>
        <v>29493675.960000001</v>
      </c>
      <c r="N11" s="285">
        <f>SUM('201810 Bk Depr'!R13,'201810 Bk Depr'!R14:R16,'201810 Bk Depr'!R20,'201810 Bk Depr'!R21:R22)</f>
        <v>30669507.590000007</v>
      </c>
      <c r="O11" s="285">
        <f>SUM('201811 Bk Depr'!R13,'201811 Bk Depr'!R14:R16,'201811 Bk Depr'!R20,'201811 Bk Depr'!R21:R22)</f>
        <v>33799338.99000001</v>
      </c>
      <c r="P11" s="285">
        <f>SUM('201812 Bk Depr'!R13,'201812 Bk Depr'!R14:R16,'201812 Bk Depr'!R20,'201812 Bk Depr'!R21:R22)</f>
        <v>35115997.550000004</v>
      </c>
      <c r="Q11" s="286">
        <f>AVERAGE(D11:P11)</f>
        <v>25348424.366153851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f>'201712 Bk Depr'!R31</f>
        <v>1643717.13</v>
      </c>
      <c r="E12" s="285">
        <f>SUM('201801 Bk Depr'!R28,'201801 Bk Depr'!R29:R30)</f>
        <v>1789207.19</v>
      </c>
      <c r="F12" s="285">
        <f>SUM('201802 Bk Depr'!R28,'201802 Bk Depr'!R29:R30)</f>
        <v>1970935.42</v>
      </c>
      <c r="G12" s="285">
        <f>SUM('201803 Bk Depr'!R28,'201803 Bk Depr'!R29:R30)</f>
        <v>2096194.0699999998</v>
      </c>
      <c r="H12" s="285">
        <f>SUM('201804 Bk Depr'!R28,'201804 Bk Depr'!R29:R30)</f>
        <v>2246271.6</v>
      </c>
      <c r="I12" s="285">
        <f>SUM('201805 Bk Depr'!R28,'201805 Bk Depr'!R29:R30)</f>
        <v>2398285.67</v>
      </c>
      <c r="J12" s="285">
        <f>SUM('201806 Bk Depr'!R28,'201806 Bk Depr'!R29:R30)</f>
        <v>2559902.92</v>
      </c>
      <c r="K12" s="285">
        <f>SUM('201807 Bk Depr'!R28,'201807 Bk Depr'!R29:R30)</f>
        <v>2671672.8400000003</v>
      </c>
      <c r="L12" s="285">
        <f>SUM('201808 Bk Depr'!R28,'201808 Bk Depr'!R29:R30)</f>
        <v>2802081.39</v>
      </c>
      <c r="M12" s="285">
        <f>SUM('201809 Bk Depr'!R28,'201809 Bk Depr'!R29:R30)</f>
        <v>2944074.83</v>
      </c>
      <c r="N12" s="285">
        <f>SUM('201810 Bk Depr'!R28,'201810 Bk Depr'!R29:R30)</f>
        <v>3132941.75</v>
      </c>
      <c r="O12" s="285">
        <f>SUM('201811 Bk Depr'!R28,'201811 Bk Depr'!R29:R30)</f>
        <v>3299122.11</v>
      </c>
      <c r="P12" s="285">
        <f>SUM('201812 Bk Depr'!R28,'201812 Bk Depr'!R29:R30)</f>
        <v>3466154.7800000003</v>
      </c>
      <c r="Q12" s="286">
        <f>AVERAGE(D12:P12)</f>
        <v>2540043.2076923079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92">
        <f>'Rev Req 2017-Distr'!P13</f>
        <v>-158385.19315550002</v>
      </c>
      <c r="E13" s="293">
        <f>-'Cap&amp;OpEx 2018'!C23-SUM('201801 Bk Depr'!P13,'201801 Bk Depr'!P14:P16)+D13</f>
        <v>-200411.63327525003</v>
      </c>
      <c r="F13" s="293">
        <f>-'Cap&amp;OpEx 2018'!C23-SUM('201802 Bk Depr'!P13,'201802 Bk Depr'!P14:P16)+E13</f>
        <v>-244781.05668800004</v>
      </c>
      <c r="G13" s="293">
        <f>-'Cap&amp;OpEx 2018'!C23-SUM('201803 Bk Depr'!P13,'201803 Bk Depr'!P14:P16)+F13</f>
        <v>-291894.05460425006</v>
      </c>
      <c r="H13" s="293">
        <f>-'Cap&amp;OpEx 2018'!C23-SUM('201804 Bk Depr'!P13,'201804 Bk Depr'!P14:P16)+G13</f>
        <v>-342074.76960425009</v>
      </c>
      <c r="I13" s="293">
        <f>-'Cap&amp;OpEx 2018'!C23-SUM('201805 Bk Depr'!P13,'201805 Bk Depr'!P14:P16)+H13</f>
        <v>-395196.01682450011</v>
      </c>
      <c r="J13" s="293">
        <f>-'Cap&amp;OpEx 2018'!C23-SUM('201806 Bk Depr'!P13,'201806 Bk Depr'!P14:P16)+I13</f>
        <v>-451154.29995950015</v>
      </c>
      <c r="K13" s="293">
        <f>-'Cap&amp;OpEx 2018'!C23-SUM('201807 Bk Depr'!P13,'201807 Bk Depr'!P14:P16)+J13</f>
        <v>-510355.08035825018</v>
      </c>
      <c r="L13" s="293">
        <f>-'Cap&amp;OpEx 2018'!C23-SUM('201808 Bk Depr'!P13,'201808 Bk Depr'!P14:P16)+K13</f>
        <v>-573213.4441542502</v>
      </c>
      <c r="M13" s="293">
        <f>-'Cap&amp;OpEx 2018'!C23-SUM('201809 Bk Depr'!P13,'201809 Bk Depr'!P14:P16)+L13</f>
        <v>-639977.64482525026</v>
      </c>
      <c r="N13" s="293">
        <f>-'Cap&amp;OpEx 2018'!C23-SUM('201810 Bk Depr'!P13,'201810 Bk Depr'!P14:P16)+M13</f>
        <v>-710854.95472925028</v>
      </c>
      <c r="O13" s="293">
        <f>-'Cap&amp;OpEx 2018'!C23-SUM('201811 Bk Depr'!P13,'201811 Bk Depr'!P14:P16)+N13</f>
        <v>-792210.87817575037</v>
      </c>
      <c r="P13" s="293">
        <f>-'Cap&amp;OpEx 2018'!C23-SUM('201812 Bk Depr'!P13,'201812 Bk Depr'!P14:P16)+O13</f>
        <v>-875631.05568375043</v>
      </c>
      <c r="Q13" s="291">
        <f>AVERAGE(D13:P13)</f>
        <v>-475856.92938751943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24">
        <f t="shared" ref="D14:J14" si="1">SUM(D11:D13)</f>
        <v>19167311.806844499</v>
      </c>
      <c r="E14" s="285">
        <f t="shared" si="1"/>
        <v>20246189.136724751</v>
      </c>
      <c r="F14" s="285">
        <f t="shared" si="1"/>
        <v>21258341.573312003</v>
      </c>
      <c r="G14" s="285">
        <f t="shared" si="1"/>
        <v>22722578.97539575</v>
      </c>
      <c r="H14" s="285">
        <f t="shared" si="1"/>
        <v>24048912.580395754</v>
      </c>
      <c r="I14" s="285">
        <f t="shared" si="1"/>
        <v>25348342.073175505</v>
      </c>
      <c r="J14" s="285">
        <f t="shared" si="1"/>
        <v>26612499.660040502</v>
      </c>
      <c r="K14" s="285">
        <f t="shared" ref="K14:Q14" si="2">SUM(K11:K13)</f>
        <v>28271987.889641751</v>
      </c>
      <c r="L14" s="285">
        <f t="shared" si="2"/>
        <v>29785635.65584575</v>
      </c>
      <c r="M14" s="285">
        <f t="shared" si="2"/>
        <v>31797773.145174749</v>
      </c>
      <c r="N14" s="285">
        <f t="shared" si="2"/>
        <v>33091594.385270752</v>
      </c>
      <c r="O14" s="285">
        <f t="shared" si="2"/>
        <v>36306250.221824259</v>
      </c>
      <c r="P14" s="285">
        <f t="shared" si="2"/>
        <v>37706521.274316259</v>
      </c>
      <c r="Q14" s="286">
        <f t="shared" si="2"/>
        <v>27412610.644458637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92">
        <f>'Rev Req 2017-Distr'!P16</f>
        <v>-4031690.8392467606</v>
      </c>
      <c r="E16" s="293">
        <f>-'Tax Depr 2018'!Q17</f>
        <v>-4201775.4373488929</v>
      </c>
      <c r="F16" s="293">
        <f>-'Tax Depr 2018'!Q18</f>
        <v>-4357385.9077706719</v>
      </c>
      <c r="G16" s="293">
        <f>-'Tax Depr 2018'!Q19</f>
        <v>-4504593.0676807025</v>
      </c>
      <c r="H16" s="293">
        <f>-'Tax Depr 2018'!Q20</f>
        <v>-4661988.3376405872</v>
      </c>
      <c r="I16" s="293">
        <f>-'Tax Depr 2018'!Q21</f>
        <v>-4835698.0075446442</v>
      </c>
      <c r="J16" s="293">
        <f>-'Tax Depr 2018'!Q22</f>
        <v>-4978201.0509247221</v>
      </c>
      <c r="K16" s="293">
        <f>-'Tax Depr 2018'!Q23</f>
        <v>-5141233.4396412438</v>
      </c>
      <c r="L16" s="293">
        <f>-'Tax Depr 2018'!Q24</f>
        <v>-5296915.2756687142</v>
      </c>
      <c r="M16" s="293">
        <f>-'Tax Depr 2018'!Q25</f>
        <v>-5475242.110343622</v>
      </c>
      <c r="N16" s="293">
        <f>-'Tax Depr 2018'!Q26</f>
        <v>-5628238.4510045843</v>
      </c>
      <c r="O16" s="293">
        <f>-'Tax Depr 2018'!Q27</f>
        <v>-5790099.8321988797</v>
      </c>
      <c r="P16" s="293">
        <f>-'Tax Depr 2018'!Q28</f>
        <v>-5841052.2488318319</v>
      </c>
      <c r="Q16" s="291">
        <f>AVERAGE(D16:P16)</f>
        <v>-4980316.4619881427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284">
        <f t="shared" ref="D18:J18" si="3">SUM(D14:D16)</f>
        <v>15135620.967597738</v>
      </c>
      <c r="E18" s="285">
        <f t="shared" si="3"/>
        <v>16044413.699375859</v>
      </c>
      <c r="F18" s="285">
        <f t="shared" si="3"/>
        <v>16900955.665541332</v>
      </c>
      <c r="G18" s="285">
        <f t="shared" si="3"/>
        <v>18217985.907715049</v>
      </c>
      <c r="H18" s="285">
        <f t="shared" si="3"/>
        <v>19386924.242755167</v>
      </c>
      <c r="I18" s="285">
        <f t="shared" si="3"/>
        <v>20512644.065630861</v>
      </c>
      <c r="J18" s="285">
        <f t="shared" si="3"/>
        <v>21634298.609115779</v>
      </c>
      <c r="K18" s="285">
        <f t="shared" ref="K18:P18" si="4">SUM(K14:K16)</f>
        <v>23130754.450000506</v>
      </c>
      <c r="L18" s="285">
        <f t="shared" si="4"/>
        <v>24488720.380177036</v>
      </c>
      <c r="M18" s="285">
        <f t="shared" si="4"/>
        <v>26322531.034831129</v>
      </c>
      <c r="N18" s="285">
        <f t="shared" si="4"/>
        <v>27463355.934266169</v>
      </c>
      <c r="O18" s="285">
        <f t="shared" si="4"/>
        <v>30516150.389625378</v>
      </c>
      <c r="P18" s="285">
        <f t="shared" si="4"/>
        <v>31865469.025484428</v>
      </c>
      <c r="Q18" s="286">
        <f>SUM(Q14:Q16)</f>
        <v>22432294.182470493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8.5431530257663712E-3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v>7.2333333333333338E-3</v>
      </c>
      <c r="J20" s="37">
        <v>7.2333333333333338E-3</v>
      </c>
      <c r="K20" s="37">
        <v>7.2333333333333338E-3</v>
      </c>
      <c r="L20" s="37">
        <v>7.2333333333333338E-3</v>
      </c>
      <c r="M20" s="37">
        <v>7.2333333333333338E-3</v>
      </c>
      <c r="N20" s="37">
        <v>7.2333333333333338E-3</v>
      </c>
      <c r="O20" s="37">
        <v>7.2333333333333338E-3</v>
      </c>
      <c r="P20" s="37">
        <v>7.2333333333333338E-3</v>
      </c>
      <c r="Q20" s="127">
        <f>SUM(E20:P20)</f>
        <v>8.6799999999999988E-2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15">
        <f t="shared" ref="D22:J22" si="5">D18*D20</f>
        <v>129305.92606618555</v>
      </c>
      <c r="E22" s="316">
        <f t="shared" si="5"/>
        <v>116054.59242548539</v>
      </c>
      <c r="F22" s="316">
        <f t="shared" si="5"/>
        <v>122250.24598074898</v>
      </c>
      <c r="G22" s="316">
        <f t="shared" si="5"/>
        <v>131776.76473247219</v>
      </c>
      <c r="H22" s="316">
        <f t="shared" si="5"/>
        <v>140232.08535592904</v>
      </c>
      <c r="I22" s="316">
        <f t="shared" si="5"/>
        <v>148374.79207472989</v>
      </c>
      <c r="J22" s="316">
        <f t="shared" si="5"/>
        <v>156488.09327260414</v>
      </c>
      <c r="K22" s="316">
        <f t="shared" ref="K22:Q22" si="6">K18*K20</f>
        <v>167312.45718833699</v>
      </c>
      <c r="L22" s="316">
        <f t="shared" si="6"/>
        <v>177135.0774166139</v>
      </c>
      <c r="M22" s="316">
        <f t="shared" si="6"/>
        <v>190399.64115194516</v>
      </c>
      <c r="N22" s="316">
        <f t="shared" si="6"/>
        <v>198651.60792452531</v>
      </c>
      <c r="O22" s="316">
        <f t="shared" si="6"/>
        <v>220733.48781829025</v>
      </c>
      <c r="P22" s="316">
        <f t="shared" si="6"/>
        <v>230493.55928433739</v>
      </c>
      <c r="Q22" s="317">
        <f t="shared" si="6"/>
        <v>1947123.1350384385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284">
        <f>'Rev Req 2017-Distr'!P25</f>
        <v>38707.618675500009</v>
      </c>
      <c r="E25" s="285">
        <f>'201801 Bk Depr'!P25</f>
        <v>42026.440119750012</v>
      </c>
      <c r="F25" s="285">
        <f>'201802 Bk Depr'!P25</f>
        <v>44369.423412750009</v>
      </c>
      <c r="G25" s="285">
        <f>'201803 Bk Depr'!P25</f>
        <v>47112.997916250017</v>
      </c>
      <c r="H25" s="285">
        <f>'201804 Bk Depr'!P25</f>
        <v>50180.715000000011</v>
      </c>
      <c r="I25" s="285">
        <f>'201805 Bk Depr'!P25</f>
        <v>53121.247220250021</v>
      </c>
      <c r="J25" s="285">
        <f>'201806 Bk Depr'!P25</f>
        <v>55958.28313500002</v>
      </c>
      <c r="K25" s="285">
        <f>'201807 Bk Depr'!P25</f>
        <v>59200.780398750023</v>
      </c>
      <c r="L25" s="285">
        <f>'201808 Bk Depr'!P25</f>
        <v>62858.36379600002</v>
      </c>
      <c r="M25" s="285">
        <f>'201809 Bk Depr'!P25</f>
        <v>66764.200671000028</v>
      </c>
      <c r="N25" s="285">
        <f>'201810 Bk Depr'!P25</f>
        <v>70877.309904000023</v>
      </c>
      <c r="O25" s="285">
        <f>'201811 Bk Depr'!P25</f>
        <v>81355.923446500034</v>
      </c>
      <c r="P25" s="285">
        <f>'201812 Bk Depr'!P25</f>
        <v>83420.177508000022</v>
      </c>
      <c r="Q25" s="286">
        <f>SUM(E25:P25)</f>
        <v>717245.86252825032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284">
        <f>'Rev Req 2017-Distr'!P26</f>
        <v>88839.3</v>
      </c>
      <c r="E26" s="285">
        <f>'Cap&amp;OpEx 2018'!C31</f>
        <v>116637.37</v>
      </c>
      <c r="F26" s="285">
        <f>'Cap&amp;OpEx 2018'!D31</f>
        <v>-32468.410000000011</v>
      </c>
      <c r="G26" s="285">
        <f>'Cap&amp;OpEx 2018'!E31</f>
        <v>-13517.44999999999</v>
      </c>
      <c r="H26" s="285">
        <f>'Cap&amp;OpEx 2018'!F31</f>
        <v>-106295.09</v>
      </c>
      <c r="I26" s="285">
        <f>'Cap&amp;OpEx 2018'!G31</f>
        <v>74792.559999999983</v>
      </c>
      <c r="J26" s="285">
        <f>'Cap&amp;OpEx 2018'!H31</f>
        <v>59565.02</v>
      </c>
      <c r="K26" s="285">
        <f>'Cap&amp;OpEx 2018'!I31</f>
        <v>71171.619999999981</v>
      </c>
      <c r="L26" s="285">
        <f>'Cap&amp;OpEx 2018'!J31</f>
        <v>101207.37999999998</v>
      </c>
      <c r="M26" s="285">
        <f>'Cap&amp;OpEx 2018'!K31</f>
        <v>63358.099999999991</v>
      </c>
      <c r="N26" s="285">
        <f>'Cap&amp;OpEx 2018'!L31</f>
        <v>120155.35</v>
      </c>
      <c r="O26" s="285">
        <f>'Cap&amp;OpEx 2018'!M31</f>
        <v>48892.760000000009</v>
      </c>
      <c r="P26" s="285">
        <f>'Cap&amp;OpEx 2018'!N31</f>
        <v>177111.56000000003</v>
      </c>
      <c r="Q26" s="286">
        <f>SUM(E26:P26)</f>
        <v>680610.77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284">
        <f>'Rev Req 2017-Distr'!P27</f>
        <v>0</v>
      </c>
      <c r="E27" s="285">
        <f>'Cap&amp;OpEx 2018'!C32</f>
        <v>20784</v>
      </c>
      <c r="F27" s="285">
        <f>'Cap&amp;OpEx 2018'!D32</f>
        <v>20784</v>
      </c>
      <c r="G27" s="285">
        <f>'Cap&amp;OpEx 2018'!E32</f>
        <v>20784</v>
      </c>
      <c r="H27" s="285">
        <f>'Cap&amp;OpEx 2018'!F32</f>
        <v>20784</v>
      </c>
      <c r="I27" s="285">
        <f>'Cap&amp;OpEx 2018'!G32</f>
        <v>20784</v>
      </c>
      <c r="J27" s="285">
        <f>'Cap&amp;OpEx 2018'!H32</f>
        <v>20784</v>
      </c>
      <c r="K27" s="285">
        <f>'Cap&amp;OpEx 2018'!I32</f>
        <v>20784</v>
      </c>
      <c r="L27" s="285">
        <f>'Cap&amp;OpEx 2018'!J32</f>
        <v>20784</v>
      </c>
      <c r="M27" s="285">
        <f>'Cap&amp;OpEx 2018'!K32</f>
        <v>20784</v>
      </c>
      <c r="N27" s="285">
        <f>'Cap&amp;OpEx 2018'!L32</f>
        <v>20784</v>
      </c>
      <c r="O27" s="285">
        <f>'Cap&amp;OpEx 2018'!M32</f>
        <v>20784</v>
      </c>
      <c r="P27" s="285">
        <f>'Cap&amp;OpEx 2018'!N32</f>
        <v>20784</v>
      </c>
      <c r="Q27" s="286">
        <f t="shared" ref="Q27" si="7">SUM(E27:P27)</f>
        <v>249408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284">
        <f t="shared" ref="D29:K29" si="8">SUM(D25:D28)</f>
        <v>127546.91867550001</v>
      </c>
      <c r="E29" s="285">
        <f t="shared" si="8"/>
        <v>179447.81011975001</v>
      </c>
      <c r="F29" s="285">
        <f t="shared" si="8"/>
        <v>32685.013412749999</v>
      </c>
      <c r="G29" s="285">
        <f t="shared" si="8"/>
        <v>54379.547916250027</v>
      </c>
      <c r="H29" s="285">
        <f t="shared" si="8"/>
        <v>-35330.374999999985</v>
      </c>
      <c r="I29" s="285">
        <f t="shared" si="8"/>
        <v>148697.80722025002</v>
      </c>
      <c r="J29" s="285">
        <f t="shared" si="8"/>
        <v>136307.30313500002</v>
      </c>
      <c r="K29" s="285">
        <f t="shared" si="8"/>
        <v>151156.40039875</v>
      </c>
      <c r="L29" s="285">
        <f t="shared" ref="L29:P29" si="9">SUM(L25:L28)</f>
        <v>184849.743796</v>
      </c>
      <c r="M29" s="285">
        <f t="shared" si="9"/>
        <v>150906.30067100003</v>
      </c>
      <c r="N29" s="285">
        <f t="shared" si="9"/>
        <v>211816.65990400003</v>
      </c>
      <c r="O29" s="285">
        <f t="shared" si="9"/>
        <v>151032.68344650004</v>
      </c>
      <c r="P29" s="285">
        <f t="shared" si="9"/>
        <v>281315.73750800005</v>
      </c>
      <c r="Q29" s="286">
        <f>SUM(Q25:Q28)</f>
        <v>1647264.6325282503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321">
        <f t="shared" ref="D31:J31" si="10">D22+D29</f>
        <v>256852.84474168555</v>
      </c>
      <c r="E31" s="322">
        <f>E22+E29</f>
        <v>295502.40254523541</v>
      </c>
      <c r="F31" s="322">
        <f t="shared" si="10"/>
        <v>154935.25939349897</v>
      </c>
      <c r="G31" s="322">
        <f t="shared" si="10"/>
        <v>186156.3126487222</v>
      </c>
      <c r="H31" s="322">
        <f t="shared" si="10"/>
        <v>104901.71035592906</v>
      </c>
      <c r="I31" s="322">
        <f t="shared" si="10"/>
        <v>297072.59929497994</v>
      </c>
      <c r="J31" s="322">
        <f t="shared" si="10"/>
        <v>292795.39640760416</v>
      </c>
      <c r="K31" s="322">
        <f t="shared" ref="K31:Q31" si="11">K22+K29</f>
        <v>318468.85758708697</v>
      </c>
      <c r="L31" s="322">
        <f t="shared" si="11"/>
        <v>361984.8212126139</v>
      </c>
      <c r="M31" s="322">
        <f t="shared" si="11"/>
        <v>341305.9418229452</v>
      </c>
      <c r="N31" s="322">
        <f t="shared" si="11"/>
        <v>410468.26782852534</v>
      </c>
      <c r="O31" s="322">
        <f t="shared" si="11"/>
        <v>371766.17126479029</v>
      </c>
      <c r="P31" s="322">
        <f t="shared" si="11"/>
        <v>511809.29679233744</v>
      </c>
      <c r="Q31" s="323">
        <f t="shared" si="11"/>
        <v>3594387.7675666888</v>
      </c>
      <c r="R31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2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R34"/>
    </row>
    <row r="35" spans="1:28" s="31" customFormat="1">
      <c r="B35" s="30" t="s">
        <v>458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S52" s="23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S53" s="2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S54" s="23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34" spans="14:19">
      <c r="N134"/>
      <c r="O134"/>
      <c r="P134"/>
      <c r="Q134"/>
      <c r="S134"/>
    </row>
    <row r="1048576" spans="19:19">
      <c r="S1048576" s="80">
        <f>SUM(D1048576:P1048576)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1 of 17&amp;L&amp;1#&amp;"Calibri"&amp;14&amp;K000000Business Use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39997558519241921"/>
    <pageSetUpPr fitToPage="1"/>
  </sheetPr>
  <dimension ref="A1:AJ1048492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31">
        <v>2017</v>
      </c>
      <c r="E6" s="132">
        <v>2018</v>
      </c>
      <c r="F6" s="132">
        <f>$E$6</f>
        <v>2018</v>
      </c>
      <c r="G6" s="132">
        <f>$E$6</f>
        <v>2018</v>
      </c>
      <c r="H6" s="132">
        <f>$E$6</f>
        <v>2018</v>
      </c>
      <c r="I6" s="132">
        <f>$E$6</f>
        <v>2018</v>
      </c>
      <c r="J6" s="132">
        <f>$E$6</f>
        <v>2018</v>
      </c>
      <c r="K6" s="132">
        <f t="shared" ref="K6:Q6" si="0">$E$6</f>
        <v>2018</v>
      </c>
      <c r="L6" s="132">
        <f t="shared" si="0"/>
        <v>2018</v>
      </c>
      <c r="M6" s="132">
        <f t="shared" si="0"/>
        <v>2018</v>
      </c>
      <c r="N6" s="132">
        <f t="shared" si="0"/>
        <v>2018</v>
      </c>
      <c r="O6" s="132">
        <f t="shared" si="0"/>
        <v>2018</v>
      </c>
      <c r="P6" s="132">
        <f t="shared" si="0"/>
        <v>2018</v>
      </c>
      <c r="Q6" s="133">
        <f t="shared" si="0"/>
        <v>2018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28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419</v>
      </c>
      <c r="D11" s="284">
        <f>'Rev Req 2017-Trans'!P11</f>
        <v>3062641.21</v>
      </c>
      <c r="E11" s="285">
        <f>'Cap&amp;OpEx 2018'!C11+D11</f>
        <v>3370480.97</v>
      </c>
      <c r="F11" s="285">
        <f>'Cap&amp;OpEx 2018'!D11+E11</f>
        <v>4342215.1900000004</v>
      </c>
      <c r="G11" s="285">
        <f>'Cap&amp;OpEx 2018'!E11+F11</f>
        <v>5166106.24</v>
      </c>
      <c r="H11" s="285">
        <f>'Cap&amp;OpEx 2018'!F11+G11</f>
        <v>6250879.4800000004</v>
      </c>
      <c r="I11" s="285">
        <f>'Cap&amp;OpEx 2018'!G11+H11</f>
        <v>6515328.0999999996</v>
      </c>
      <c r="J11" s="285">
        <f>'Cap&amp;OpEx 2018'!H11+I11</f>
        <v>6722508.1899999995</v>
      </c>
      <c r="K11" s="285">
        <f>'Cap&amp;OpEx 2018'!I11+J11</f>
        <v>6758536.7399999993</v>
      </c>
      <c r="L11" s="285">
        <f>'Cap&amp;OpEx 2018'!J11+K11</f>
        <v>7338384.1799999997</v>
      </c>
      <c r="M11" s="285">
        <f>'Cap&amp;OpEx 2018'!K11+L11</f>
        <v>9347877.8699999992</v>
      </c>
      <c r="N11" s="285">
        <f>'Cap&amp;OpEx 2018'!L11+M11</f>
        <v>9803648.7100000009</v>
      </c>
      <c r="O11" s="285">
        <f>'Cap&amp;OpEx 2018'!M11+N11</f>
        <v>10436606.98</v>
      </c>
      <c r="P11" s="285">
        <f>'Cap&amp;OpEx 2018'!N11+O11</f>
        <v>11207438.539999999</v>
      </c>
      <c r="Q11" s="286">
        <f>AVERAGE(D11:P11)</f>
        <v>6947896.3384615388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v>0</v>
      </c>
      <c r="E12" s="285">
        <f>'Cap&amp;OpEx 2018'!C26+D12</f>
        <v>0</v>
      </c>
      <c r="F12" s="285">
        <f>'Cap&amp;OpEx 2018'!D26+E12</f>
        <v>0</v>
      </c>
      <c r="G12" s="285">
        <f>'Cap&amp;OpEx 2018'!E26+F12</f>
        <v>0</v>
      </c>
      <c r="H12" s="285">
        <f>'Cap&amp;OpEx 2018'!F26+G12</f>
        <v>0</v>
      </c>
      <c r="I12" s="285">
        <f>'Cap&amp;OpEx 2018'!G26+H12</f>
        <v>0</v>
      </c>
      <c r="J12" s="285">
        <f>'Cap&amp;OpEx 2018'!H26+I12</f>
        <v>0</v>
      </c>
      <c r="K12" s="285">
        <f>'Cap&amp;OpEx 2018'!I26+J12</f>
        <v>0</v>
      </c>
      <c r="L12" s="285">
        <f>'Cap&amp;OpEx 2018'!J26+K12</f>
        <v>0</v>
      </c>
      <c r="M12" s="285">
        <f>'Cap&amp;OpEx 2018'!K26+L12</f>
        <v>0</v>
      </c>
      <c r="N12" s="285">
        <f>'Cap&amp;OpEx 2018'!L26+M12</f>
        <v>0</v>
      </c>
      <c r="O12" s="285">
        <f>'Cap&amp;OpEx 2018'!M26+N12</f>
        <v>0</v>
      </c>
      <c r="P12" s="285">
        <f>'Cap&amp;OpEx 2018'!N26+O12</f>
        <v>0</v>
      </c>
      <c r="Q12" s="286">
        <f t="shared" ref="Q12:Q13" si="1">AVERAGE(D12:P12)</f>
        <v>0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89">
        <v>0</v>
      </c>
      <c r="E13" s="290">
        <v>0</v>
      </c>
      <c r="F13" s="290">
        <v>0</v>
      </c>
      <c r="G13" s="290">
        <v>0</v>
      </c>
      <c r="H13" s="290">
        <v>0</v>
      </c>
      <c r="I13" s="290">
        <v>0</v>
      </c>
      <c r="J13" s="290">
        <v>0</v>
      </c>
      <c r="K13" s="290">
        <v>0</v>
      </c>
      <c r="L13" s="290">
        <v>0</v>
      </c>
      <c r="M13" s="290">
        <v>0</v>
      </c>
      <c r="N13" s="290">
        <v>0</v>
      </c>
      <c r="O13" s="290">
        <v>0</v>
      </c>
      <c r="P13" s="290">
        <v>0</v>
      </c>
      <c r="Q13" s="291">
        <f t="shared" si="1"/>
        <v>0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284">
        <f>SUM(D11:D13)</f>
        <v>3062641.21</v>
      </c>
      <c r="E14" s="285">
        <f t="shared" ref="E14:J14" si="2">SUM(E11:E13)</f>
        <v>3370480.97</v>
      </c>
      <c r="F14" s="285">
        <f t="shared" si="2"/>
        <v>4342215.1900000004</v>
      </c>
      <c r="G14" s="285">
        <f t="shared" si="2"/>
        <v>5166106.24</v>
      </c>
      <c r="H14" s="285">
        <f t="shared" si="2"/>
        <v>6250879.4800000004</v>
      </c>
      <c r="I14" s="285">
        <f t="shared" si="2"/>
        <v>6515328.0999999996</v>
      </c>
      <c r="J14" s="285">
        <f t="shared" si="2"/>
        <v>6722508.1899999995</v>
      </c>
      <c r="K14" s="285">
        <f t="shared" ref="K14:Q14" si="3">SUM(K11:K13)</f>
        <v>6758536.7399999993</v>
      </c>
      <c r="L14" s="285">
        <f t="shared" si="3"/>
        <v>7338384.1799999997</v>
      </c>
      <c r="M14" s="285">
        <f t="shared" si="3"/>
        <v>9347877.8699999992</v>
      </c>
      <c r="N14" s="285">
        <f t="shared" si="3"/>
        <v>9803648.7100000009</v>
      </c>
      <c r="O14" s="285">
        <f t="shared" si="3"/>
        <v>10436606.98</v>
      </c>
      <c r="P14" s="285">
        <f t="shared" si="3"/>
        <v>11207438.539999999</v>
      </c>
      <c r="Q14" s="286">
        <f t="shared" si="3"/>
        <v>6947896.3384615388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89">
        <v>0</v>
      </c>
      <c r="E16" s="290">
        <v>0</v>
      </c>
      <c r="F16" s="290">
        <v>0</v>
      </c>
      <c r="G16" s="290">
        <v>0</v>
      </c>
      <c r="H16" s="290">
        <v>0</v>
      </c>
      <c r="I16" s="290">
        <v>0</v>
      </c>
      <c r="J16" s="290">
        <v>0</v>
      </c>
      <c r="K16" s="290">
        <v>0</v>
      </c>
      <c r="L16" s="290">
        <v>0</v>
      </c>
      <c r="M16" s="290">
        <v>0</v>
      </c>
      <c r="N16" s="290">
        <v>0</v>
      </c>
      <c r="O16" s="290">
        <v>0</v>
      </c>
      <c r="P16" s="290">
        <v>0</v>
      </c>
      <c r="Q16" s="291">
        <f>AVERAGE(D16:P16)</f>
        <v>0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284">
        <f>SUM(D14:D16)</f>
        <v>3062641.21</v>
      </c>
      <c r="E18" s="285">
        <f t="shared" ref="E18:J18" si="4">SUM(E14:E16)</f>
        <v>3370480.97</v>
      </c>
      <c r="F18" s="285">
        <f t="shared" si="4"/>
        <v>4342215.1900000004</v>
      </c>
      <c r="G18" s="285">
        <f t="shared" si="4"/>
        <v>5166106.24</v>
      </c>
      <c r="H18" s="285">
        <f t="shared" si="4"/>
        <v>6250879.4800000004</v>
      </c>
      <c r="I18" s="285">
        <f t="shared" si="4"/>
        <v>6515328.0999999996</v>
      </c>
      <c r="J18" s="285">
        <f t="shared" si="4"/>
        <v>6722508.1899999995</v>
      </c>
      <c r="K18" s="285">
        <f t="shared" ref="K18:P18" si="5">SUM(K14:K16)</f>
        <v>6758536.7399999993</v>
      </c>
      <c r="L18" s="285">
        <f t="shared" si="5"/>
        <v>7338384.1799999997</v>
      </c>
      <c r="M18" s="285">
        <f t="shared" si="5"/>
        <v>9347877.8699999992</v>
      </c>
      <c r="N18" s="285">
        <f t="shared" si="5"/>
        <v>9803648.7100000009</v>
      </c>
      <c r="O18" s="285">
        <f t="shared" si="5"/>
        <v>10436606.98</v>
      </c>
      <c r="P18" s="285">
        <f t="shared" si="5"/>
        <v>11207438.539999999</v>
      </c>
      <c r="Q18" s="286">
        <f>SUM(Q14:Q16)</f>
        <v>6947896.3384615388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8.5431530257663712E-3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v>7.2333333333333338E-3</v>
      </c>
      <c r="J20" s="37">
        <v>7.2333333333333338E-3</v>
      </c>
      <c r="K20" s="37">
        <v>7.2333333333333338E-3</v>
      </c>
      <c r="L20" s="37">
        <v>7.2333333333333338E-3</v>
      </c>
      <c r="M20" s="37">
        <v>7.2333333333333338E-3</v>
      </c>
      <c r="N20" s="37">
        <v>7.2333333333333338E-3</v>
      </c>
      <c r="O20" s="37">
        <v>7.2333333333333338E-3</v>
      </c>
      <c r="P20" s="37">
        <v>7.2333333333333338E-3</v>
      </c>
      <c r="Q20" s="127">
        <f>SUM(E20:P20)</f>
        <v>8.6799999999999988E-2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15">
        <f t="shared" ref="D22:J22" si="6">D18*D20</f>
        <v>26164.612520048278</v>
      </c>
      <c r="E22" s="316">
        <f>E18*E20</f>
        <v>24379.81234966667</v>
      </c>
      <c r="F22" s="316">
        <f t="shared" si="6"/>
        <v>31408.689874333337</v>
      </c>
      <c r="G22" s="316">
        <f t="shared" si="6"/>
        <v>37368.168469333337</v>
      </c>
      <c r="H22" s="316">
        <f t="shared" si="6"/>
        <v>45214.694905333337</v>
      </c>
      <c r="I22" s="316">
        <f t="shared" si="6"/>
        <v>47127.53992333333</v>
      </c>
      <c r="J22" s="316">
        <f t="shared" si="6"/>
        <v>48626.142574333331</v>
      </c>
      <c r="K22" s="316">
        <f t="shared" ref="K22:Q22" si="7">K18*K20</f>
        <v>48886.749085999996</v>
      </c>
      <c r="L22" s="316">
        <f t="shared" si="7"/>
        <v>53080.978902000003</v>
      </c>
      <c r="M22" s="316">
        <f t="shared" si="7"/>
        <v>67616.316592999996</v>
      </c>
      <c r="N22" s="316">
        <f t="shared" si="7"/>
        <v>70913.05900233335</v>
      </c>
      <c r="O22" s="316">
        <f t="shared" si="7"/>
        <v>75491.457155333337</v>
      </c>
      <c r="P22" s="316">
        <f t="shared" si="7"/>
        <v>81067.138772666673</v>
      </c>
      <c r="Q22" s="317">
        <f t="shared" si="7"/>
        <v>603077.40217846143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287">
        <v>0</v>
      </c>
      <c r="E25" s="288">
        <v>0</v>
      </c>
      <c r="F25" s="288">
        <v>0</v>
      </c>
      <c r="G25" s="288">
        <v>0</v>
      </c>
      <c r="H25" s="288">
        <v>0</v>
      </c>
      <c r="I25" s="288">
        <v>0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287">
        <v>0</v>
      </c>
      <c r="E26" s="288">
        <v>0</v>
      </c>
      <c r="F26" s="288">
        <v>0</v>
      </c>
      <c r="G26" s="288">
        <v>0</v>
      </c>
      <c r="H26" s="288">
        <v>0</v>
      </c>
      <c r="I26" s="288">
        <v>0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287">
        <v>0</v>
      </c>
      <c r="E27" s="285">
        <f>'Cap&amp;OpEx 2018'!C33</f>
        <v>440.78</v>
      </c>
      <c r="F27" s="285">
        <f>'Cap&amp;OpEx 2018'!D33</f>
        <v>440.78</v>
      </c>
      <c r="G27" s="285">
        <f>'Cap&amp;OpEx 2018'!E33</f>
        <v>440.78</v>
      </c>
      <c r="H27" s="285">
        <f>'Cap&amp;OpEx 2018'!F33</f>
        <v>440.78</v>
      </c>
      <c r="I27" s="285">
        <f>'Cap&amp;OpEx 2018'!G33</f>
        <v>440.78</v>
      </c>
      <c r="J27" s="285">
        <f>'Cap&amp;OpEx 2018'!H33</f>
        <v>440.78</v>
      </c>
      <c r="K27" s="285">
        <f>'Cap&amp;OpEx 2018'!I33</f>
        <v>440.78</v>
      </c>
      <c r="L27" s="285">
        <f>'Cap&amp;OpEx 2018'!J33</f>
        <v>440.78</v>
      </c>
      <c r="M27" s="285">
        <f>'Cap&amp;OpEx 2018'!K33</f>
        <v>440.78</v>
      </c>
      <c r="N27" s="285">
        <f>'Cap&amp;OpEx 2018'!L33</f>
        <v>440.78</v>
      </c>
      <c r="O27" s="285">
        <f>'Cap&amp;OpEx 2018'!M33</f>
        <v>440.78</v>
      </c>
      <c r="P27" s="285">
        <f>'Cap&amp;OpEx 2018'!N33</f>
        <v>440.78</v>
      </c>
      <c r="Q27" s="286">
        <f>SUM(E27:P27)</f>
        <v>5289.3599999999979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284">
        <f>SUM(D25:D28)</f>
        <v>0</v>
      </c>
      <c r="E29" s="285">
        <f t="shared" ref="E29:J29" si="8">SUM(E25:E28)</f>
        <v>440.78</v>
      </c>
      <c r="F29" s="285">
        <f t="shared" si="8"/>
        <v>440.78</v>
      </c>
      <c r="G29" s="285">
        <f t="shared" si="8"/>
        <v>440.78</v>
      </c>
      <c r="H29" s="285">
        <f t="shared" si="8"/>
        <v>440.78</v>
      </c>
      <c r="I29" s="285">
        <f t="shared" si="8"/>
        <v>440.78</v>
      </c>
      <c r="J29" s="285">
        <f t="shared" si="8"/>
        <v>440.78</v>
      </c>
      <c r="K29" s="285">
        <f t="shared" ref="K29:Q29" si="9">SUM(K25:K28)</f>
        <v>440.78</v>
      </c>
      <c r="L29" s="285">
        <f t="shared" si="9"/>
        <v>440.78</v>
      </c>
      <c r="M29" s="285">
        <f t="shared" si="9"/>
        <v>440.78</v>
      </c>
      <c r="N29" s="285">
        <f t="shared" si="9"/>
        <v>440.78</v>
      </c>
      <c r="O29" s="285">
        <f t="shared" si="9"/>
        <v>440.78</v>
      </c>
      <c r="P29" s="285">
        <f t="shared" si="9"/>
        <v>440.78</v>
      </c>
      <c r="Q29" s="286">
        <f t="shared" si="9"/>
        <v>5289.3599999999979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321">
        <f>D22+D29</f>
        <v>26164.612520048278</v>
      </c>
      <c r="E31" s="322">
        <f t="shared" ref="E31:J31" si="10">E22+E29</f>
        <v>24820.592349666669</v>
      </c>
      <c r="F31" s="322">
        <f t="shared" si="10"/>
        <v>31849.469874333336</v>
      </c>
      <c r="G31" s="322">
        <f t="shared" si="10"/>
        <v>37808.948469333336</v>
      </c>
      <c r="H31" s="322">
        <f t="shared" si="10"/>
        <v>45655.474905333336</v>
      </c>
      <c r="I31" s="322">
        <f t="shared" si="10"/>
        <v>47568.319923333329</v>
      </c>
      <c r="J31" s="322">
        <f t="shared" si="10"/>
        <v>49066.92257433333</v>
      </c>
      <c r="K31" s="322">
        <f t="shared" ref="K31:Q31" si="11">K22+K29</f>
        <v>49327.529085999995</v>
      </c>
      <c r="L31" s="322">
        <f t="shared" si="11"/>
        <v>53521.758902000001</v>
      </c>
      <c r="M31" s="322">
        <f t="shared" si="11"/>
        <v>68057.096592999995</v>
      </c>
      <c r="N31" s="322">
        <f t="shared" si="11"/>
        <v>71353.839002333349</v>
      </c>
      <c r="O31" s="322">
        <f t="shared" si="11"/>
        <v>75932.237155333336</v>
      </c>
      <c r="P31" s="322">
        <f t="shared" si="11"/>
        <v>81507.918772666671</v>
      </c>
      <c r="Q31" s="323">
        <f t="shared" si="11"/>
        <v>608366.76217846142</v>
      </c>
      <c r="R31"/>
    </row>
    <row r="32" spans="1:19" s="31" customFormat="1">
      <c r="A32" s="32"/>
      <c r="B32" s="32"/>
      <c r="D32" s="80"/>
      <c r="P32" s="80"/>
      <c r="R32"/>
    </row>
    <row r="33" spans="1:18" customFormat="1" ht="21" customHeight="1"/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/>
    </row>
    <row r="35" spans="1:18" s="31" customFormat="1">
      <c r="A35" s="79"/>
      <c r="B35" s="30" t="s">
        <v>458</v>
      </c>
      <c r="Q35" s="80"/>
      <c r="R35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2 of 17&amp;L&amp;1#&amp;"Calibri"&amp;14&amp;K000000Business Use</oddFooter>
  </headerFooter>
  <rowBreaks count="1" manualBreakCount="1">
    <brk id="3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39997558519241921"/>
    <pageSetUpPr fitToPage="1"/>
  </sheetPr>
  <dimension ref="A1:AD50"/>
  <sheetViews>
    <sheetView workbookViewId="0"/>
  </sheetViews>
  <sheetFormatPr defaultColWidth="9.140625" defaultRowHeight="15.75"/>
  <cols>
    <col min="1" max="1" width="9.140625" style="28"/>
    <col min="2" max="2" width="38.85546875" style="26" bestFit="1" customWidth="1"/>
    <col min="3" max="15" width="15.85546875" style="26" customWidth="1"/>
    <col min="16" max="16" width="12.140625" style="28" bestFit="1" customWidth="1"/>
    <col min="17" max="17" width="16.140625" style="28" bestFit="1" customWidth="1"/>
    <col min="18" max="30" width="14.85546875" style="28" customWidth="1"/>
    <col min="31" max="31" width="9.140625" style="28"/>
    <col min="32" max="32" width="10.5703125" style="28" bestFit="1" customWidth="1"/>
    <col min="33" max="16384" width="9.140625" style="28"/>
  </cols>
  <sheetData>
    <row r="1" spans="1:30" ht="18.75">
      <c r="A1" s="191" t="s">
        <v>65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0"/>
      <c r="Y1" s="40"/>
      <c r="Z1" s="40"/>
      <c r="AA1" s="40"/>
      <c r="AB1" s="40"/>
      <c r="AC1" s="40"/>
      <c r="AD1" s="40"/>
    </row>
    <row r="2" spans="1:30" ht="18.75">
      <c r="A2" s="191" t="s">
        <v>251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0"/>
      <c r="Y2" s="40"/>
      <c r="Z2" s="40"/>
      <c r="AA2" s="40"/>
      <c r="AB2" s="40"/>
      <c r="AC2" s="40"/>
      <c r="AD2" s="40"/>
    </row>
    <row r="3" spans="1:30" ht="18.75">
      <c r="A3" s="191" t="s">
        <v>158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0"/>
      <c r="Y3" s="40"/>
      <c r="Z3" s="40"/>
      <c r="AA3" s="40"/>
      <c r="AB3" s="40"/>
      <c r="AC3" s="40"/>
      <c r="AD3" s="40"/>
    </row>
    <row r="4" spans="1:30">
      <c r="Q4" s="40"/>
      <c r="R4" s="40"/>
      <c r="S4" s="40"/>
      <c r="T4" s="40"/>
      <c r="U4" s="40"/>
      <c r="V4" s="40"/>
      <c r="X4" s="40"/>
      <c r="Y4" s="40"/>
      <c r="Z4" s="40"/>
      <c r="AA4" s="40"/>
      <c r="AB4" s="40"/>
      <c r="AC4" s="40"/>
      <c r="AD4" s="40"/>
    </row>
    <row r="5" spans="1:30">
      <c r="Q5" s="40"/>
      <c r="R5" s="40"/>
      <c r="S5" s="40"/>
      <c r="T5" s="40"/>
      <c r="U5" s="40"/>
      <c r="V5" s="40"/>
      <c r="X5" s="40"/>
      <c r="Y5" s="40"/>
      <c r="Z5" s="40"/>
      <c r="AA5" s="40"/>
      <c r="AB5" s="40"/>
      <c r="AC5" s="40"/>
      <c r="AD5" s="40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67</v>
      </c>
      <c r="Q6" s="28"/>
      <c r="R6" s="28"/>
      <c r="S6" s="28"/>
      <c r="T6" s="28"/>
      <c r="U6" s="28"/>
      <c r="V6" s="28"/>
      <c r="W6" s="28"/>
    </row>
    <row r="7" spans="1:30" ht="16.5" thickBot="1">
      <c r="A7" s="44" t="s">
        <v>5</v>
      </c>
      <c r="B7" s="44" t="s">
        <v>6</v>
      </c>
      <c r="C7" s="44" t="s">
        <v>83</v>
      </c>
      <c r="D7" s="44" t="s">
        <v>84</v>
      </c>
      <c r="E7" s="44" t="s">
        <v>253</v>
      </c>
      <c r="F7" s="44" t="s">
        <v>254</v>
      </c>
      <c r="G7" s="44" t="s">
        <v>85</v>
      </c>
      <c r="H7" s="44" t="s">
        <v>255</v>
      </c>
      <c r="I7" s="44" t="s">
        <v>86</v>
      </c>
      <c r="J7" s="44" t="s">
        <v>87</v>
      </c>
      <c r="K7" s="44" t="s">
        <v>88</v>
      </c>
      <c r="L7" s="44" t="s">
        <v>89</v>
      </c>
      <c r="M7" s="44" t="s">
        <v>90</v>
      </c>
      <c r="N7" s="44" t="s">
        <v>91</v>
      </c>
      <c r="O7" s="44">
        <v>2018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38">
        <v>1</v>
      </c>
      <c r="B10" s="26" t="s">
        <v>246</v>
      </c>
      <c r="C10" s="35">
        <f>'2018 Capital Budget'!F8+'2018 Capital Budget'!F22+'2018 Capital Budget'!F25+'2018 Capital Budget'!F27+'2018 Capital Budget'!F28+'2018 Capital Budget'!F38</f>
        <v>110475.37</v>
      </c>
      <c r="D10" s="35">
        <f>'2018 Capital Budget'!G8+'2018 Capital Budget'!G22+'2018 Capital Budget'!G25+'2018 Capital Budget'!G27+'2018 Capital Budget'!G28+'2018 Capital Budget'!G38</f>
        <v>118852.95</v>
      </c>
      <c r="E10" s="35">
        <f>'2018 Capital Budget'!H8+'2018 Capital Budget'!H22+'2018 Capital Budget'!H25+'2018 Capital Budget'!H27+'2018 Capital Budget'!H28+'2018 Capital Budget'!H38</f>
        <v>338362.99</v>
      </c>
      <c r="F10" s="35">
        <f>'2018 Capital Budget'!I8+'2018 Capital Budget'!I22+'2018 Capital Budget'!I25+'2018 Capital Budget'!I27+'2018 Capital Budget'!I28+'2018 Capital Budget'!I38</f>
        <v>341928.04</v>
      </c>
      <c r="G10" s="35">
        <f>'2018 Capital Budget'!J8+'2018 Capital Budget'!J22+'2018 Capital Budget'!J25+'2018 Capital Budget'!J27+'2018 Capital Budget'!J28+'2018 Capital Budget'!J38</f>
        <v>155674.85</v>
      </c>
      <c r="H10" s="35">
        <f>'2018 Capital Budget'!K8+'2018 Capital Budget'!K22+'2018 Capital Budget'!K25+'2018 Capital Budget'!K27+'2018 Capital Budget'!K28+'2018 Capital Budget'!K38</f>
        <v>359379.56</v>
      </c>
      <c r="I10" s="35">
        <f>'2018 Capital Budget'!L8+'2018 Capital Budget'!L22+'2018 Capital Budget'!L25+'2018 Capital Budget'!L27+'2018 Capital Budget'!L28+'2018 Capital Budget'!L38</f>
        <v>367756.20999999996</v>
      </c>
      <c r="J10" s="35">
        <f>'2018 Capital Budget'!M8+'2018 Capital Budget'!M22+'2018 Capital Budget'!M25+'2018 Capital Budget'!M27+'2018 Capital Budget'!M28+'2018 Capital Budget'!M38</f>
        <v>319635.06</v>
      </c>
      <c r="K10" s="35">
        <f>'2018 Capital Budget'!N8+'2018 Capital Budget'!N22+'2018 Capital Budget'!N25+'2018 Capital Budget'!N27+'2018 Capital Budget'!N28+'2018 Capital Budget'!N38</f>
        <v>659951.6</v>
      </c>
      <c r="L10" s="35">
        <f>'2018 Capital Budget'!O8+'2018 Capital Budget'!O22+'2018 Capital Budget'!O25+'2018 Capital Budget'!O27+'2018 Capital Budget'!O28+'2018 Capital Budget'!O38</f>
        <v>-527966.99999999942</v>
      </c>
      <c r="M10" s="35">
        <f>'2018 Capital Budget'!P8+'2018 Capital Budget'!P22+'2018 Capital Budget'!P25+'2018 Capital Budget'!P27+'2018 Capital Budget'!P28+'2018 Capital Budget'!P38</f>
        <v>-341364.04</v>
      </c>
      <c r="N10" s="35">
        <f>'2018 Capital Budget'!Q8+'2018 Capital Budget'!Q22+'2018 Capital Budget'!Q25+'2018 Capital Budget'!Q27+'2018 Capital Budget'!Q28+'2018 Capital Budget'!Q38</f>
        <v>132974.97999999992</v>
      </c>
      <c r="O10" s="35">
        <f>SUM(C10:N10)</f>
        <v>2035660.5700000008</v>
      </c>
      <c r="P10" s="46"/>
    </row>
    <row r="11" spans="1:30">
      <c r="A11" s="38">
        <f>A10+1</f>
        <v>2</v>
      </c>
      <c r="B11" s="26" t="s">
        <v>247</v>
      </c>
      <c r="C11" s="35">
        <f>'2018 Capital Budget'!F61</f>
        <v>307839.76000000024</v>
      </c>
      <c r="D11" s="35">
        <f>'2018 Capital Budget'!G61</f>
        <v>971734.2200000002</v>
      </c>
      <c r="E11" s="35">
        <f>'2018 Capital Budget'!H61</f>
        <v>823891.04999999981</v>
      </c>
      <c r="F11" s="35">
        <f>'2018 Capital Budget'!I61</f>
        <v>1084773.2400000002</v>
      </c>
      <c r="G11" s="35">
        <f>'2018 Capital Budget'!J61</f>
        <v>264448.61999999918</v>
      </c>
      <c r="H11" s="35">
        <f>'2018 Capital Budget'!K61</f>
        <v>207180.08999999985</v>
      </c>
      <c r="I11" s="35">
        <f>'2018 Capital Budget'!L61</f>
        <v>36028.549999999814</v>
      </c>
      <c r="J11" s="35">
        <f>'2018 Capital Budget'!M61</f>
        <v>579847.44000000041</v>
      </c>
      <c r="K11" s="35">
        <f>'2018 Capital Budget'!N61</f>
        <v>2009493.6899999995</v>
      </c>
      <c r="L11" s="35">
        <f>'2018 Capital Budget'!O61</f>
        <v>455770.84000000171</v>
      </c>
      <c r="M11" s="35">
        <f>'2018 Capital Budget'!P61</f>
        <v>632958.26999999955</v>
      </c>
      <c r="N11" s="35">
        <f>'2018 Capital Budget'!Q61</f>
        <v>770831.55999999866</v>
      </c>
      <c r="O11" s="35">
        <f t="shared" ref="O11:O14" si="0">SUM(C11:N11)</f>
        <v>8144797.3299999991</v>
      </c>
      <c r="P11" s="46"/>
    </row>
    <row r="12" spans="1:30">
      <c r="A12" s="38">
        <f>A11+1</f>
        <v>3</v>
      </c>
      <c r="B12" s="26" t="s">
        <v>77</v>
      </c>
      <c r="C12" s="35">
        <f>SUM('2018 Capital Budget'!F23,'2018 Capital Budget'!F29:F31,'2018 Capital Budget'!F37)</f>
        <v>214241.25999999998</v>
      </c>
      <c r="D12" s="35">
        <f>SUM('2018 Capital Budget'!G23,'2018 Capital Budget'!G29:G31,'2018 Capital Budget'!G37)</f>
        <v>118957.40999999999</v>
      </c>
      <c r="E12" s="35">
        <f>SUM('2018 Capital Budget'!H23,'2018 Capital Budget'!H29:H31,'2018 Capital Budget'!H37)</f>
        <v>145647.47999999998</v>
      </c>
      <c r="F12" s="35">
        <f>SUM('2018 Capital Budget'!I23,'2018 Capital Budget'!I29:I31,'2018 Capital Budget'!I37)</f>
        <v>182229.53</v>
      </c>
      <c r="G12" s="35">
        <f>SUM('2018 Capital Budget'!J23,'2018 Capital Budget'!J29:J31,'2018 Capital Budget'!J37)</f>
        <v>185738.66</v>
      </c>
      <c r="H12" s="35">
        <f>SUM('2018 Capital Budget'!K23,'2018 Capital Budget'!K29:K31,'2018 Capital Budget'!K37)</f>
        <v>155681.91</v>
      </c>
      <c r="I12" s="35">
        <f>SUM('2018 Capital Budget'!L23,'2018 Capital Budget'!L29:L31,'2018 Capital Budget'!L37)</f>
        <v>212446.9</v>
      </c>
      <c r="J12" s="35">
        <f>SUM('2018 Capital Budget'!M23,'2018 Capital Budget'!M29:M31,'2018 Capital Budget'!M37)</f>
        <v>190760.71999999997</v>
      </c>
      <c r="K12" s="35">
        <f>SUM('2018 Capital Budget'!N23,'2018 Capital Budget'!N29:N31,'2018 Capital Budget'!N37)</f>
        <v>219448.24</v>
      </c>
      <c r="L12" s="35">
        <f>SUM('2018 Capital Budget'!O23,'2018 Capital Budget'!O29:O31,'2018 Capital Budget'!O37)</f>
        <v>579899.66</v>
      </c>
      <c r="M12" s="35">
        <f>SUM('2018 Capital Budget'!P23,'2018 Capital Budget'!P29:P31,'2018 Capital Budget'!P37)</f>
        <v>886834.86000000022</v>
      </c>
      <c r="N12" s="35">
        <f>SUM('2018 Capital Budget'!Q23,'2018 Capital Budget'!Q29:Q31,'2018 Capital Budget'!Q37)</f>
        <v>316.39</v>
      </c>
      <c r="O12" s="35">
        <f t="shared" si="0"/>
        <v>3092203.0200000005</v>
      </c>
      <c r="P12" s="46"/>
    </row>
    <row r="13" spans="1:30">
      <c r="A13" s="38">
        <f>A12+1</f>
        <v>4</v>
      </c>
      <c r="B13" s="26" t="s">
        <v>78</v>
      </c>
      <c r="C13" s="35">
        <f>'2018 Capital Budget'!F24+'2018 Capital Budget'!F26+'2018 Capital Budget'!F32</f>
        <v>84429.82</v>
      </c>
      <c r="D13" s="35">
        <f>'2018 Capital Budget'!G24+'2018 Capital Budget'!G26+'2018 Capital Budget'!G32</f>
        <v>10382.83</v>
      </c>
      <c r="E13" s="35">
        <f>'2018 Capital Budget'!H24+'2018 Capital Budget'!H26+'2018 Capital Budget'!H32</f>
        <v>9001.0099999997765</v>
      </c>
      <c r="F13" s="35">
        <f>'2018 Capital Budget'!I24+'2018 Capital Budget'!I26+'2018 Capital Budget'!I32</f>
        <v>1263.3699999999999</v>
      </c>
      <c r="G13" s="35">
        <f>'2018 Capital Budget'!J24+'2018 Capital Budget'!J26+'2018 Capital Budget'!J32</f>
        <v>1265.82</v>
      </c>
      <c r="H13" s="35">
        <f>'2018 Capital Budget'!K24+'2018 Capital Budget'!K26+'2018 Capital Budget'!K32</f>
        <v>2.44</v>
      </c>
      <c r="I13" s="35">
        <f>'2018 Capital Budget'!L24+'2018 Capital Budget'!L26+'2018 Capital Budget'!L32</f>
        <v>0</v>
      </c>
      <c r="J13" s="35">
        <f>'2018 Capital Budget'!M24+'2018 Capital Budget'!M26+'2018 Capital Budget'!M32</f>
        <v>0</v>
      </c>
      <c r="K13" s="35">
        <f>'2018 Capital Budget'!N24+'2018 Capital Budget'!N26+'2018 Capital Budget'!N32</f>
        <v>0</v>
      </c>
      <c r="L13" s="35">
        <f>'2018 Capital Budget'!O24+'2018 Capital Budget'!O26+'2018 Capital Budget'!O32</f>
        <v>0</v>
      </c>
      <c r="M13" s="35">
        <f>'2018 Capital Budget'!P24+'2018 Capital Budget'!P26+'2018 Capital Budget'!P32</f>
        <v>7187.22</v>
      </c>
      <c r="N13" s="35">
        <f>'2018 Capital Budget'!Q24+'2018 Capital Budget'!Q26+'2018 Capital Budget'!Q32</f>
        <v>0</v>
      </c>
      <c r="O13" s="35">
        <f t="shared" si="0"/>
        <v>113532.50999999979</v>
      </c>
      <c r="P13" s="46"/>
    </row>
    <row r="14" spans="1:30">
      <c r="A14" s="38">
        <f>A13+1</f>
        <v>5</v>
      </c>
      <c r="B14" s="26" t="s">
        <v>159</v>
      </c>
      <c r="C14" s="34">
        <f>SUM('2018 Capital Budget'!F9:F21)</f>
        <v>566267.26000000013</v>
      </c>
      <c r="D14" s="34">
        <f>SUM('2018 Capital Budget'!G9:G21)</f>
        <v>626600.44000000006</v>
      </c>
      <c r="E14" s="34">
        <f>SUM('2018 Capital Budget'!H9:H21)</f>
        <v>893080.27000000025</v>
      </c>
      <c r="F14" s="34">
        <f>SUM('2018 Capital Budget'!I9:I21)</f>
        <v>701015.85000000009</v>
      </c>
      <c r="G14" s="34">
        <f>SUM('2018 Capital Budget'!J9:J21)</f>
        <v>857857.34</v>
      </c>
      <c r="H14" s="34">
        <f>SUM('2018 Capital Budget'!K9:K21)</f>
        <v>643434.71</v>
      </c>
      <c r="I14" s="34">
        <f>SUM('2018 Capital Budget'!L9:L21)</f>
        <v>1026715.98</v>
      </c>
      <c r="J14" s="34">
        <f>SUM('2018 Capital Budget'!M9:M21)</f>
        <v>935701.8</v>
      </c>
      <c r="K14" s="34">
        <f>SUM('2018 Capital Budget'!N9:N21)</f>
        <v>1057508.4100000001</v>
      </c>
      <c r="L14" s="34">
        <f>SUM('2018 Capital Budget'!O9:O21)</f>
        <v>1123898.9699999997</v>
      </c>
      <c r="M14" s="34">
        <f>SUM('2018 Capital Budget'!P9:P21)</f>
        <v>2577173.36</v>
      </c>
      <c r="N14" s="34">
        <f>SUM('2018 Capital Budget'!Q9:Q21)</f>
        <v>1183367.19</v>
      </c>
      <c r="O14" s="34">
        <f t="shared" si="0"/>
        <v>12192621.579999998</v>
      </c>
      <c r="P14" s="86"/>
    </row>
    <row r="15" spans="1:30">
      <c r="A15" s="38">
        <f>A14+1</f>
        <v>6</v>
      </c>
      <c r="B15" s="26" t="s">
        <v>79</v>
      </c>
      <c r="C15" s="33">
        <f t="shared" ref="C15:H15" si="1">SUM(C10:C14)</f>
        <v>1283253.4700000002</v>
      </c>
      <c r="D15" s="33">
        <f t="shared" si="1"/>
        <v>1846527.85</v>
      </c>
      <c r="E15" s="33">
        <f t="shared" si="1"/>
        <v>2209982.7999999998</v>
      </c>
      <c r="F15" s="33">
        <f t="shared" si="1"/>
        <v>2311210.0300000003</v>
      </c>
      <c r="G15" s="33">
        <f t="shared" si="1"/>
        <v>1464985.2899999991</v>
      </c>
      <c r="H15" s="33">
        <f t="shared" si="1"/>
        <v>1365678.71</v>
      </c>
      <c r="I15" s="33">
        <f t="shared" ref="I15:N15" si="2">SUM(I10:I14)</f>
        <v>1642947.6399999997</v>
      </c>
      <c r="J15" s="33">
        <f t="shared" si="2"/>
        <v>2025945.0200000005</v>
      </c>
      <c r="K15" s="33">
        <f t="shared" si="2"/>
        <v>3946401.9399999995</v>
      </c>
      <c r="L15" s="33">
        <f t="shared" si="2"/>
        <v>1631602.4700000021</v>
      </c>
      <c r="M15" s="33">
        <f t="shared" si="2"/>
        <v>3762789.67</v>
      </c>
      <c r="N15" s="33">
        <f t="shared" si="2"/>
        <v>2087490.1199999987</v>
      </c>
      <c r="O15" s="33">
        <f>SUM(O10:O14)</f>
        <v>25578815.009999998</v>
      </c>
      <c r="P15" s="46"/>
    </row>
    <row r="16" spans="1:30">
      <c r="I16" s="33"/>
      <c r="J16" s="33"/>
      <c r="K16" s="33"/>
      <c r="L16" s="33"/>
      <c r="M16" s="33"/>
      <c r="N16" s="33"/>
      <c r="O16" s="33"/>
      <c r="P16" s="46"/>
    </row>
    <row r="17" spans="1:16">
      <c r="A17" s="38">
        <f>A15+1</f>
        <v>7</v>
      </c>
      <c r="B17" s="26" t="s">
        <v>248</v>
      </c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0</v>
      </c>
      <c r="I17" s="282">
        <v>0</v>
      </c>
      <c r="J17" s="282">
        <v>0</v>
      </c>
      <c r="K17" s="282">
        <v>0</v>
      </c>
      <c r="L17" s="282">
        <v>0</v>
      </c>
      <c r="M17" s="282">
        <v>0</v>
      </c>
      <c r="N17" s="282">
        <v>0</v>
      </c>
      <c r="O17" s="35">
        <f>SUM(C17:N17)</f>
        <v>0</v>
      </c>
      <c r="P17" s="46"/>
    </row>
    <row r="18" spans="1:16">
      <c r="A18" s="38">
        <f t="shared" ref="A18:A19" si="3">A17+1</f>
        <v>8</v>
      </c>
      <c r="B18" s="26" t="s">
        <v>323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0</v>
      </c>
      <c r="I18" s="282">
        <v>0</v>
      </c>
      <c r="J18" s="282">
        <v>0</v>
      </c>
      <c r="K18" s="282">
        <v>0</v>
      </c>
      <c r="L18" s="282">
        <v>0</v>
      </c>
      <c r="M18" s="282">
        <v>0</v>
      </c>
      <c r="N18" s="282">
        <v>0</v>
      </c>
      <c r="O18" s="35">
        <f>SUM(C18:N18)</f>
        <v>0</v>
      </c>
      <c r="P18" s="46"/>
    </row>
    <row r="19" spans="1:16">
      <c r="A19" s="38">
        <f t="shared" si="3"/>
        <v>9</v>
      </c>
      <c r="B19" s="26" t="s">
        <v>70</v>
      </c>
      <c r="C19" s="282">
        <v>0</v>
      </c>
      <c r="D19" s="282">
        <v>0</v>
      </c>
      <c r="E19" s="282">
        <v>0</v>
      </c>
      <c r="F19" s="282">
        <v>0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2">
        <v>0</v>
      </c>
      <c r="M19" s="282">
        <v>0</v>
      </c>
      <c r="N19" s="282">
        <v>0</v>
      </c>
      <c r="O19" s="35">
        <f t="shared" ref="O19:O20" si="4">SUM(C19:N19)</f>
        <v>0</v>
      </c>
      <c r="P19" s="46"/>
    </row>
    <row r="20" spans="1:16">
      <c r="A20" s="38">
        <f>A19+1</f>
        <v>10</v>
      </c>
      <c r="B20" s="26" t="s">
        <v>71</v>
      </c>
      <c r="C20" s="273">
        <v>0</v>
      </c>
      <c r="D20" s="273">
        <v>0</v>
      </c>
      <c r="E20" s="273">
        <v>0</v>
      </c>
      <c r="F20" s="273">
        <v>0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34">
        <f t="shared" si="4"/>
        <v>0</v>
      </c>
      <c r="P20" s="46"/>
    </row>
    <row r="21" spans="1:16">
      <c r="A21" s="38">
        <f>A20+1</f>
        <v>11</v>
      </c>
      <c r="B21" s="26" t="s">
        <v>177</v>
      </c>
      <c r="C21" s="35">
        <f t="shared" ref="C21:H21" si="5">SUM(C17:C20)</f>
        <v>0</v>
      </c>
      <c r="D21" s="35">
        <f t="shared" si="5"/>
        <v>0</v>
      </c>
      <c r="E21" s="35">
        <f t="shared" si="5"/>
        <v>0</v>
      </c>
      <c r="F21" s="35">
        <f t="shared" si="5"/>
        <v>0</v>
      </c>
      <c r="G21" s="35">
        <f t="shared" si="5"/>
        <v>0</v>
      </c>
      <c r="H21" s="35">
        <f t="shared" si="5"/>
        <v>0</v>
      </c>
      <c r="I21" s="35">
        <f t="shared" ref="I21:O21" si="6">SUM(I17:I20)</f>
        <v>0</v>
      </c>
      <c r="J21" s="35">
        <f t="shared" si="6"/>
        <v>0</v>
      </c>
      <c r="K21" s="35">
        <f t="shared" si="6"/>
        <v>0</v>
      </c>
      <c r="L21" s="35">
        <f t="shared" si="6"/>
        <v>0</v>
      </c>
      <c r="M21" s="35">
        <f t="shared" si="6"/>
        <v>0</v>
      </c>
      <c r="N21" s="35">
        <f t="shared" si="6"/>
        <v>0</v>
      </c>
      <c r="O21" s="35">
        <f t="shared" si="6"/>
        <v>0</v>
      </c>
      <c r="P21" s="46"/>
    </row>
    <row r="22" spans="1:16">
      <c r="A22" s="38"/>
      <c r="I22" s="35"/>
      <c r="J22" s="35"/>
      <c r="K22" s="35"/>
      <c r="L22" s="35"/>
      <c r="M22" s="35"/>
      <c r="N22" s="35"/>
      <c r="O22" s="35"/>
      <c r="P22" s="46"/>
    </row>
    <row r="23" spans="1:16">
      <c r="A23" s="38">
        <f>A21+1</f>
        <v>12</v>
      </c>
      <c r="B23" s="26" t="s">
        <v>176</v>
      </c>
      <c r="C23" s="283">
        <v>0</v>
      </c>
      <c r="D23" s="283">
        <v>0</v>
      </c>
      <c r="E23" s="283">
        <v>0</v>
      </c>
      <c r="F23" s="283">
        <v>0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0</v>
      </c>
      <c r="M23" s="283">
        <v>0</v>
      </c>
      <c r="N23" s="283">
        <v>0</v>
      </c>
      <c r="O23" s="33">
        <f>SUM(C23:N23)</f>
        <v>0</v>
      </c>
      <c r="P23" s="46"/>
    </row>
    <row r="24" spans="1:16">
      <c r="A24" s="38"/>
      <c r="I24" s="33"/>
      <c r="J24" s="33"/>
      <c r="K24" s="33"/>
      <c r="L24" s="33"/>
      <c r="M24" s="33"/>
      <c r="N24" s="33"/>
      <c r="O24" s="33"/>
      <c r="P24" s="46"/>
    </row>
    <row r="25" spans="1:16" ht="16.5" customHeight="1">
      <c r="A25" s="38">
        <f>A23+1</f>
        <v>13</v>
      </c>
      <c r="B25" s="26" t="s">
        <v>249</v>
      </c>
      <c r="C25" s="33">
        <f>SUM('2018 Capital Budget'!F42,'2018 Capital Budget'!F44:F46,'2018 Capital Budget'!F52)</f>
        <v>134112.02000000002</v>
      </c>
      <c r="D25" s="33">
        <f>SUM('2018 Capital Budget'!G42,'2018 Capital Budget'!G44:G46,'2018 Capital Budget'!G52)</f>
        <v>150788.72</v>
      </c>
      <c r="E25" s="33">
        <f>SUM('2018 Capital Budget'!H42,'2018 Capital Budget'!H44:H46,'2018 Capital Budget'!H52)</f>
        <v>73614.989999999991</v>
      </c>
      <c r="F25" s="33">
        <f>SUM('2018 Capital Budget'!I42,'2018 Capital Budget'!I44:I46,'2018 Capital Budget'!I52)</f>
        <v>26727.34</v>
      </c>
      <c r="G25" s="33">
        <f>SUM('2018 Capital Budget'!J42,'2018 Capital Budget'!J44:J46,'2018 Capital Budget'!J52)</f>
        <v>80314.19</v>
      </c>
      <c r="H25" s="33">
        <f>SUM('2018 Capital Budget'!K42,'2018 Capital Budget'!K44:K46,'2018 Capital Budget'!K52)</f>
        <v>825.37</v>
      </c>
      <c r="I25" s="33">
        <f>SUM('2018 Capital Budget'!L42,'2018 Capital Budget'!L44:L46,'2018 Capital Budget'!L52)</f>
        <v>0</v>
      </c>
      <c r="J25" s="33">
        <f>SUM('2018 Capital Budget'!M42,'2018 Capital Budget'!M44:M46,'2018 Capital Budget'!M52)</f>
        <v>82.15</v>
      </c>
      <c r="K25" s="33">
        <f>SUM('2018 Capital Budget'!N42,'2018 Capital Budget'!N44:N46,'2018 Capital Budget'!N52)</f>
        <v>320.45</v>
      </c>
      <c r="L25" s="33">
        <f>SUM('2018 Capital Budget'!O42,'2018 Capital Budget'!O44:O46,'2018 Capital Budget'!O52)</f>
        <v>0</v>
      </c>
      <c r="M25" s="33">
        <f>SUM('2018 Capital Budget'!P42,'2018 Capital Budget'!P44:P46,'2018 Capital Budget'!P52)</f>
        <v>2387.9699999999998</v>
      </c>
      <c r="N25" s="33">
        <f>SUM('2018 Capital Budget'!Q42,'2018 Capital Budget'!Q44:Q46,'2018 Capital Budget'!Q52)</f>
        <v>178.61</v>
      </c>
      <c r="O25" s="35">
        <f>SUM(C25:N25)</f>
        <v>469351.81</v>
      </c>
      <c r="P25" s="46"/>
    </row>
    <row r="26" spans="1:16" ht="16.5" customHeight="1">
      <c r="A26" s="38">
        <f>A25+1</f>
        <v>14</v>
      </c>
      <c r="B26" s="26" t="s">
        <v>322</v>
      </c>
      <c r="C26" s="33">
        <f>SUM('2018 Capital Budget'!F49:F51)</f>
        <v>0</v>
      </c>
      <c r="D26" s="33">
        <f>SUM('2018 Capital Budget'!G49:G51)</f>
        <v>0</v>
      </c>
      <c r="E26" s="33">
        <f>SUM('2018 Capital Budget'!H49:H51)</f>
        <v>0</v>
      </c>
      <c r="F26" s="33">
        <f>SUM('2018 Capital Budget'!I49:I51)</f>
        <v>0</v>
      </c>
      <c r="G26" s="33">
        <f>SUM('2018 Capital Budget'!J49:J51)</f>
        <v>0</v>
      </c>
      <c r="H26" s="33">
        <f>SUM('2018 Capital Budget'!K49:K51)</f>
        <v>0</v>
      </c>
      <c r="I26" s="33">
        <f>SUM('2018 Capital Budget'!L49:L51)</f>
        <v>0</v>
      </c>
      <c r="J26" s="33">
        <f>SUM('2018 Capital Budget'!M49:M51)</f>
        <v>0</v>
      </c>
      <c r="K26" s="33">
        <f>SUM('2018 Capital Budget'!N49:N51)</f>
        <v>0</v>
      </c>
      <c r="L26" s="33">
        <f>SUM('2018 Capital Budget'!O49:O51)</f>
        <v>0</v>
      </c>
      <c r="M26" s="33">
        <f>SUM('2018 Capital Budget'!P49:P51)</f>
        <v>0</v>
      </c>
      <c r="N26" s="33">
        <f>SUM('2018 Capital Budget'!Q49:Q51)</f>
        <v>0</v>
      </c>
      <c r="O26" s="35">
        <f>SUM(C26:N26)</f>
        <v>0</v>
      </c>
      <c r="P26" s="46"/>
    </row>
    <row r="27" spans="1:16">
      <c r="A27" s="38">
        <f t="shared" ref="A27:A29" si="7">A26+1</f>
        <v>15</v>
      </c>
      <c r="B27" s="26" t="s">
        <v>80</v>
      </c>
      <c r="C27" s="33">
        <f>SUM('2018 Capital Budget'!F43,'2018 Capital Budget'!F47:F48)</f>
        <v>11378.04</v>
      </c>
      <c r="D27" s="33">
        <f>SUM('2018 Capital Budget'!G43,'2018 Capital Budget'!G47:G48)</f>
        <v>30939.510000000002</v>
      </c>
      <c r="E27" s="33">
        <f>SUM('2018 Capital Budget'!H43,'2018 Capital Budget'!H47:H48)</f>
        <v>51643.659999999996</v>
      </c>
      <c r="F27" s="33">
        <f>SUM('2018 Capital Budget'!I43,'2018 Capital Budget'!I47:I48)</f>
        <v>123350.19</v>
      </c>
      <c r="G27" s="33">
        <f>SUM('2018 Capital Budget'!J43,'2018 Capital Budget'!J47:J48)</f>
        <v>71699.88</v>
      </c>
      <c r="H27" s="33">
        <f>SUM('2018 Capital Budget'!K43,'2018 Capital Budget'!K47:K48)</f>
        <v>160791.88</v>
      </c>
      <c r="I27" s="33">
        <f>SUM('2018 Capital Budget'!L43,'2018 Capital Budget'!L47:L48)</f>
        <v>111769.92</v>
      </c>
      <c r="J27" s="33">
        <f>SUM('2018 Capital Budget'!M43,'2018 Capital Budget'!M47:M48)</f>
        <v>130326.40000000001</v>
      </c>
      <c r="K27" s="33">
        <f>SUM('2018 Capital Budget'!N43,'2018 Capital Budget'!N47:N48)</f>
        <v>141672.99</v>
      </c>
      <c r="L27" s="33">
        <f>SUM('2018 Capital Budget'!O43,'2018 Capital Budget'!O47:O48)</f>
        <v>188866.91999999998</v>
      </c>
      <c r="M27" s="33">
        <f>SUM('2018 Capital Budget'!P43,'2018 Capital Budget'!P47:P48)</f>
        <v>163792.39000000001</v>
      </c>
      <c r="N27" s="33">
        <f>SUM('2018 Capital Budget'!Q43,'2018 Capital Budget'!Q47:Q48)</f>
        <v>166854.06000000003</v>
      </c>
      <c r="O27" s="35">
        <f t="shared" ref="O27:O28" si="8">SUM(C27:N27)</f>
        <v>1353085.8400000003</v>
      </c>
      <c r="P27" s="46"/>
    </row>
    <row r="28" spans="1:16">
      <c r="A28" s="38">
        <f t="shared" si="7"/>
        <v>16</v>
      </c>
      <c r="B28" s="26" t="s">
        <v>81</v>
      </c>
      <c r="C28" s="273">
        <v>0</v>
      </c>
      <c r="D28" s="273">
        <v>0</v>
      </c>
      <c r="E28" s="273">
        <v>0</v>
      </c>
      <c r="F28" s="273">
        <v>0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34">
        <f t="shared" si="8"/>
        <v>0</v>
      </c>
      <c r="P28" s="86"/>
    </row>
    <row r="29" spans="1:16">
      <c r="A29" s="38">
        <f t="shared" si="7"/>
        <v>17</v>
      </c>
      <c r="B29" s="26" t="s">
        <v>82</v>
      </c>
      <c r="C29" s="33">
        <f t="shared" ref="C29:H29" si="9">SUM(C25:C28)</f>
        <v>145490.06000000003</v>
      </c>
      <c r="D29" s="33">
        <f t="shared" si="9"/>
        <v>181728.23</v>
      </c>
      <c r="E29" s="33">
        <f t="shared" si="9"/>
        <v>125258.65</v>
      </c>
      <c r="F29" s="33">
        <f t="shared" si="9"/>
        <v>150077.53</v>
      </c>
      <c r="G29" s="33">
        <f t="shared" si="9"/>
        <v>152014.07</v>
      </c>
      <c r="H29" s="33">
        <f t="shared" si="9"/>
        <v>161617.25</v>
      </c>
      <c r="I29" s="33">
        <f t="shared" ref="I29:O29" si="10">SUM(I25:I28)</f>
        <v>111769.92</v>
      </c>
      <c r="J29" s="33">
        <f t="shared" si="10"/>
        <v>130408.55</v>
      </c>
      <c r="K29" s="33">
        <f t="shared" si="10"/>
        <v>141993.44</v>
      </c>
      <c r="L29" s="33">
        <f t="shared" si="10"/>
        <v>188866.91999999998</v>
      </c>
      <c r="M29" s="33">
        <f t="shared" si="10"/>
        <v>166180.36000000002</v>
      </c>
      <c r="N29" s="33">
        <f t="shared" si="10"/>
        <v>167032.67000000001</v>
      </c>
      <c r="O29" s="33">
        <f t="shared" si="10"/>
        <v>1822437.6500000004</v>
      </c>
      <c r="P29" s="46"/>
    </row>
    <row r="30" spans="1:16">
      <c r="A30" s="38"/>
      <c r="I30" s="33"/>
      <c r="J30" s="33"/>
      <c r="K30" s="33"/>
      <c r="L30" s="33"/>
      <c r="M30" s="33"/>
      <c r="N30" s="33"/>
      <c r="O30" s="33"/>
      <c r="P30" s="46"/>
    </row>
    <row r="31" spans="1:16">
      <c r="A31" s="38">
        <f>A29+1</f>
        <v>18</v>
      </c>
      <c r="B31" s="26" t="s">
        <v>59</v>
      </c>
      <c r="C31" s="283">
        <v>116637.37</v>
      </c>
      <c r="D31" s="283">
        <v>-32468.410000000011</v>
      </c>
      <c r="E31" s="283">
        <v>-13517.44999999999</v>
      </c>
      <c r="F31" s="283">
        <v>-106295.09</v>
      </c>
      <c r="G31" s="283">
        <v>74792.559999999983</v>
      </c>
      <c r="H31" s="283">
        <v>59565.02</v>
      </c>
      <c r="I31" s="283">
        <v>71171.619999999981</v>
      </c>
      <c r="J31" s="283">
        <v>101207.37999999998</v>
      </c>
      <c r="K31" s="283">
        <v>63358.099999999991</v>
      </c>
      <c r="L31" s="283">
        <v>120155.35</v>
      </c>
      <c r="M31" s="283">
        <v>48892.760000000009</v>
      </c>
      <c r="N31" s="283">
        <v>177111.56000000003</v>
      </c>
      <c r="O31" s="33">
        <f>SUM(C31:N31)</f>
        <v>680610.77</v>
      </c>
      <c r="P31" s="46"/>
    </row>
    <row r="32" spans="1:16">
      <c r="A32" s="38">
        <f>A31+1</f>
        <v>19</v>
      </c>
      <c r="B32" s="26" t="s">
        <v>417</v>
      </c>
      <c r="C32" s="283">
        <v>20784</v>
      </c>
      <c r="D32" s="283">
        <v>20784</v>
      </c>
      <c r="E32" s="283">
        <v>20784</v>
      </c>
      <c r="F32" s="283">
        <v>20784</v>
      </c>
      <c r="G32" s="283">
        <v>20784</v>
      </c>
      <c r="H32" s="283">
        <v>20784</v>
      </c>
      <c r="I32" s="283">
        <v>20784</v>
      </c>
      <c r="J32" s="283">
        <v>20784</v>
      </c>
      <c r="K32" s="283">
        <v>20784</v>
      </c>
      <c r="L32" s="283">
        <v>20784</v>
      </c>
      <c r="M32" s="283">
        <v>20784</v>
      </c>
      <c r="N32" s="283">
        <v>20784</v>
      </c>
      <c r="O32" s="33">
        <f>SUM(C32:N32)</f>
        <v>249408</v>
      </c>
      <c r="P32" s="46"/>
    </row>
    <row r="33" spans="1:30">
      <c r="A33" s="38">
        <v>20</v>
      </c>
      <c r="B33" s="26" t="s">
        <v>418</v>
      </c>
      <c r="C33" s="283">
        <v>440.78</v>
      </c>
      <c r="D33" s="283">
        <v>440.78</v>
      </c>
      <c r="E33" s="283">
        <v>440.78</v>
      </c>
      <c r="F33" s="283">
        <v>440.78</v>
      </c>
      <c r="G33" s="283">
        <v>440.78</v>
      </c>
      <c r="H33" s="283">
        <v>440.78</v>
      </c>
      <c r="I33" s="283">
        <v>440.78</v>
      </c>
      <c r="J33" s="283">
        <v>440.78</v>
      </c>
      <c r="K33" s="283">
        <v>440.78</v>
      </c>
      <c r="L33" s="283">
        <v>440.78</v>
      </c>
      <c r="M33" s="283">
        <v>440.78</v>
      </c>
      <c r="N33" s="283">
        <v>440.78</v>
      </c>
      <c r="O33" s="33">
        <f>SUM(C33:N33)</f>
        <v>5289.3599999999979</v>
      </c>
    </row>
    <row r="34" spans="1:30">
      <c r="L34" s="63"/>
      <c r="M34" s="33"/>
    </row>
    <row r="36" spans="1:30" s="26" customFormat="1">
      <c r="A36" s="28"/>
      <c r="M36" s="28"/>
      <c r="N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s="26" customFormat="1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s="26" customFormat="1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s="26" customFormat="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s="26" customFormat="1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s="26" customForma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s="26" customForma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s="26" customForma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s="26" customForma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s="26" customForma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s="26" customForma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s="26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s="26" customForma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s="26" customForma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s="26" customForma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</sheetData>
  <pageMargins left="0.7" right="0.7" top="0.75" bottom="0.75" header="0.3" footer="0.3"/>
  <pageSetup scale="49" orientation="landscape" r:id="rId1"/>
  <headerFooter>
    <oddFooter>&amp;R&amp;"Times New Roman,Bold"&amp;18Exhibit 4
Page 4 of 17&amp;L&amp;1#&amp;"Calibri"&amp;14&amp;K000000Business Use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'201712 Bk Depr'!R13</f>
        <v>5153439.38</v>
      </c>
      <c r="H13" s="1">
        <f>1.62%/12</f>
        <v>1.3500000000000003E-3</v>
      </c>
      <c r="J13" s="278">
        <f>F13*H13</f>
        <v>6957.1431630000016</v>
      </c>
      <c r="L13" s="279">
        <f>'Cap&amp;OpEx 2018'!C10</f>
        <v>110475.37</v>
      </c>
      <c r="N13" s="278">
        <f>H13*L13*0.5</f>
        <v>74.570874750000016</v>
      </c>
      <c r="P13" s="278">
        <f>J13+N13</f>
        <v>7031.7140377500018</v>
      </c>
      <c r="R13" s="278">
        <f>L13+F13</f>
        <v>5263914.75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'201712 Bk Depr'!R14</f>
        <v>1617149.82</v>
      </c>
      <c r="H14" s="1">
        <f>3.24%/12</f>
        <v>2.7000000000000006E-3</v>
      </c>
      <c r="J14" s="278">
        <f>F14*H14</f>
        <v>4366.3045140000013</v>
      </c>
      <c r="L14" s="279">
        <f>'Cap&amp;OpEx 2018'!C12</f>
        <v>214241.25999999998</v>
      </c>
      <c r="N14" s="278">
        <f>H14*L14*0.5</f>
        <v>289.22570100000002</v>
      </c>
      <c r="P14" s="278">
        <f>J14+N14</f>
        <v>4655.5302150000016</v>
      </c>
      <c r="R14" s="278">
        <f>L14+F14</f>
        <v>1831391.08</v>
      </c>
    </row>
    <row r="15" spans="1:18">
      <c r="A15" s="6">
        <f t="shared" ref="A15" si="0">A14+1</f>
        <v>3</v>
      </c>
      <c r="B15" s="4"/>
      <c r="C15" s="9" t="s">
        <v>63</v>
      </c>
      <c r="D15" s="6">
        <v>380</v>
      </c>
      <c r="F15" s="274">
        <f>'201712 Bk Depr'!R15</f>
        <v>7103847.7300000004</v>
      </c>
      <c r="H15" s="1">
        <f t="shared" ref="H15:H16" si="1">3.24%/12</f>
        <v>2.7000000000000006E-3</v>
      </c>
      <c r="J15" s="278">
        <f>F15*H15</f>
        <v>19180.388871000006</v>
      </c>
      <c r="L15" s="279">
        <f>'Cap&amp;OpEx 2018'!C13</f>
        <v>84429.82</v>
      </c>
      <c r="N15" s="278">
        <f>H15*L15*0.5</f>
        <v>113.98025700000004</v>
      </c>
      <c r="P15" s="278">
        <f>J15+N15</f>
        <v>19294.369128000006</v>
      </c>
      <c r="R15" s="278">
        <f>L15+F15</f>
        <v>7188277.5500000007</v>
      </c>
    </row>
    <row r="16" spans="1:18">
      <c r="A16" s="6">
        <f>A15+1</f>
        <v>4</v>
      </c>
      <c r="B16" s="4"/>
      <c r="C16" s="4" t="s">
        <v>160</v>
      </c>
      <c r="D16" s="6">
        <v>380</v>
      </c>
      <c r="F16" s="275">
        <f>'201712 Bk Depr'!R16</f>
        <v>3807542.94</v>
      </c>
      <c r="H16" s="1">
        <f t="shared" si="1"/>
        <v>2.7000000000000006E-3</v>
      </c>
      <c r="J16" s="278">
        <f>F16*H16</f>
        <v>10280.365938000003</v>
      </c>
      <c r="L16" s="280">
        <f>'Cap&amp;OpEx 2018'!C14</f>
        <v>566267.26000000013</v>
      </c>
      <c r="N16" s="278">
        <f>H16*L16*0.5</f>
        <v>764.46080100000029</v>
      </c>
      <c r="P16" s="278">
        <f>J16+N16</f>
        <v>11044.826739000004</v>
      </c>
      <c r="R16" s="278">
        <f>L16+F16</f>
        <v>4373810.2</v>
      </c>
    </row>
    <row r="17" spans="1:18">
      <c r="A17" s="6">
        <f>A16+1</f>
        <v>5</v>
      </c>
      <c r="B17" s="4"/>
      <c r="C17" s="4" t="s">
        <v>21</v>
      </c>
      <c r="F17" s="276">
        <f>SUM(F13:F16)</f>
        <v>17681979.870000001</v>
      </c>
      <c r="J17" s="276">
        <f>SUM(J13:J16)</f>
        <v>40784.202486000009</v>
      </c>
      <c r="L17" s="276">
        <f>SUM(L13:L16)</f>
        <v>975413.7100000002</v>
      </c>
      <c r="N17" s="276">
        <f>SUM(N13:N16)</f>
        <v>1242.2376337500004</v>
      </c>
      <c r="P17" s="276">
        <f>SUM(P13:P16)</f>
        <v>42026.440119750012</v>
      </c>
      <c r="R17" s="276">
        <f>SUM(R13:R16)</f>
        <v>18657393.580000002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'201712 Bk Depr'!R20</f>
        <v>0</v>
      </c>
      <c r="H20" s="1">
        <f>1.62%/12</f>
        <v>1.3500000000000003E-3</v>
      </c>
      <c r="J20" s="278">
        <f>F20*H20</f>
        <v>0</v>
      </c>
      <c r="L20" s="279">
        <f>'Cap&amp;OpEx 2018'!C17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'201712 Bk Depr'!R21</f>
        <v>0</v>
      </c>
      <c r="H21" s="1">
        <f>3.24%/12</f>
        <v>2.7000000000000006E-3</v>
      </c>
      <c r="J21" s="278">
        <f t="shared" ref="J21:J22" si="2">F21*H21</f>
        <v>0</v>
      </c>
      <c r="L21" s="279">
        <f>'Cap&amp;OpEx 2018'!C19</f>
        <v>0</v>
      </c>
      <c r="N21" s="278">
        <f t="shared" ref="N21:N22" si="3">H21*L21*0.5</f>
        <v>0</v>
      </c>
      <c r="P21" s="278">
        <f t="shared" ref="P21:P22" si="4">J21+N21</f>
        <v>0</v>
      </c>
      <c r="R21" s="278">
        <f t="shared" ref="R21:R22" si="5"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275">
        <f>'201712 Bk Depr'!R22</f>
        <v>0</v>
      </c>
      <c r="H22" s="1">
        <f>3.24%/12</f>
        <v>2.7000000000000006E-3</v>
      </c>
      <c r="J22" s="278">
        <f t="shared" si="2"/>
        <v>0</v>
      </c>
      <c r="L22" s="280">
        <f>'Cap&amp;OpEx 2018'!C20</f>
        <v>0</v>
      </c>
      <c r="N22" s="278">
        <f t="shared" si="3"/>
        <v>0</v>
      </c>
      <c r="P22" s="278">
        <f t="shared" si="4"/>
        <v>0</v>
      </c>
      <c r="R22" s="278">
        <f t="shared" si="5"/>
        <v>0</v>
      </c>
    </row>
    <row r="23" spans="1:18">
      <c r="A23" s="6">
        <f t="shared" si="6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17681979.870000001</v>
      </c>
      <c r="J25" s="277">
        <f>J17+J23</f>
        <v>40784.202486000009</v>
      </c>
      <c r="L25" s="277">
        <f>L17+L23</f>
        <v>975413.7100000002</v>
      </c>
      <c r="N25" s="277">
        <f>N17+N23</f>
        <v>1242.2376337500004</v>
      </c>
      <c r="P25" s="277">
        <f>P17+P23</f>
        <v>42026.440119750012</v>
      </c>
      <c r="R25" s="277">
        <f>R17+R23</f>
        <v>18657393.580000002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'201712 Bk Depr'!R28</f>
        <v>1456620.7</v>
      </c>
      <c r="J28" s="278"/>
      <c r="L28" s="279">
        <f>'Cap&amp;OpEx 2018'!C25</f>
        <v>134112.02000000002</v>
      </c>
      <c r="N28" s="278"/>
      <c r="P28" s="278"/>
      <c r="R28" s="278">
        <f>L28+F28</f>
        <v>1590732.72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'201712 Bk Depr'!R29</f>
        <v>187096.43000000002</v>
      </c>
      <c r="J29" s="278"/>
      <c r="L29" s="279">
        <f>'Cap&amp;OpEx 2018'!C27</f>
        <v>11378.04</v>
      </c>
      <c r="N29" s="278"/>
      <c r="P29" s="278"/>
      <c r="R29" s="278">
        <f>L29+F29</f>
        <v>198474.47000000003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275">
        <f>'201712 Bk Depr'!R30</f>
        <v>0</v>
      </c>
      <c r="J30" s="278"/>
      <c r="L30" s="280">
        <f>'Cap&amp;OpEx 2018'!C28</f>
        <v>0</v>
      </c>
      <c r="N30" s="278"/>
      <c r="P30" s="278"/>
      <c r="R30" s="278">
        <f>L30+F30</f>
        <v>0</v>
      </c>
    </row>
    <row r="31" spans="1:18">
      <c r="A31" s="6">
        <f t="shared" si="7"/>
        <v>14</v>
      </c>
      <c r="B31" s="4"/>
      <c r="C31" s="4" t="s">
        <v>23</v>
      </c>
      <c r="F31" s="276">
        <f>SUM(F28:F30)</f>
        <v>1643717.13</v>
      </c>
      <c r="J31" s="276">
        <f>SUM(J28:J30)</f>
        <v>0</v>
      </c>
      <c r="L31" s="276">
        <f>SUM(L28:L30)</f>
        <v>145490.06000000003</v>
      </c>
      <c r="N31" s="276">
        <f>SUM(N28:N30)</f>
        <v>0</v>
      </c>
      <c r="P31" s="276">
        <f>SUM(P28:P30)</f>
        <v>0</v>
      </c>
      <c r="R31" s="276">
        <f>SUM(R28:R30)</f>
        <v>1789207.19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5 of 17&amp;L&amp;1#&amp;"Calibri"&amp;14&amp;K000000Business Use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'201801 Bk Depr'!R13</f>
        <v>5263914.75</v>
      </c>
      <c r="H13" s="1">
        <f>1.62%/12</f>
        <v>1.3500000000000003E-3</v>
      </c>
      <c r="J13" s="278">
        <f>F13*H13</f>
        <v>7106.2849125000012</v>
      </c>
      <c r="L13" s="279">
        <f>'Cap&amp;OpEx 2018'!D10</f>
        <v>118852.95</v>
      </c>
      <c r="N13" s="278">
        <f>H13*L13*0.5</f>
        <v>80.225741250000013</v>
      </c>
      <c r="P13" s="278">
        <f>J13+N13</f>
        <v>7186.5106537500014</v>
      </c>
      <c r="R13" s="278">
        <f>L13+F13</f>
        <v>5382767.7000000002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'201801 Bk Depr'!R14</f>
        <v>1831391.08</v>
      </c>
      <c r="H14" s="1">
        <f>3.24%/12</f>
        <v>2.7000000000000006E-3</v>
      </c>
      <c r="J14" s="278">
        <f>F14*H14</f>
        <v>4944.755916000001</v>
      </c>
      <c r="L14" s="279">
        <f>'Cap&amp;OpEx 2018'!D12</f>
        <v>118957.40999999999</v>
      </c>
      <c r="N14" s="278">
        <f>H14*L14*0.5</f>
        <v>160.59250350000002</v>
      </c>
      <c r="P14" s="278">
        <f>J14+N14</f>
        <v>5105.348419500001</v>
      </c>
      <c r="R14" s="278">
        <f>L14+F14</f>
        <v>1950348.49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'201801 Bk Depr'!R15</f>
        <v>7188277.5500000007</v>
      </c>
      <c r="H15" s="1">
        <f t="shared" ref="H15:H16" si="1">3.24%/12</f>
        <v>2.7000000000000006E-3</v>
      </c>
      <c r="J15" s="278">
        <f>F15*H15</f>
        <v>19408.349385000005</v>
      </c>
      <c r="L15" s="279">
        <f>'Cap&amp;OpEx 2018'!D13</f>
        <v>10382.83</v>
      </c>
      <c r="N15" s="278">
        <f>H15*L15*0.5</f>
        <v>14.016820500000003</v>
      </c>
      <c r="P15" s="278">
        <f>J15+N15</f>
        <v>19422.366205500006</v>
      </c>
      <c r="R15" s="278">
        <f>L15+F15</f>
        <v>7198660.3800000008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'201801 Bk Depr'!R16</f>
        <v>4373810.2</v>
      </c>
      <c r="H16" s="1">
        <f t="shared" si="1"/>
        <v>2.7000000000000006E-3</v>
      </c>
      <c r="J16" s="278">
        <f>F16*H16</f>
        <v>11809.287540000003</v>
      </c>
      <c r="L16" s="280">
        <f>'Cap&amp;OpEx 2018'!D14</f>
        <v>626600.44000000006</v>
      </c>
      <c r="N16" s="278">
        <f>H16*L16*0.5</f>
        <v>845.91059400000029</v>
      </c>
      <c r="P16" s="278">
        <f>J16+N16</f>
        <v>12655.198134000004</v>
      </c>
      <c r="R16" s="278">
        <f>L16+F16</f>
        <v>5000410.6400000006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18657393.580000002</v>
      </c>
      <c r="J17" s="276">
        <f>SUM(J13:J16)</f>
        <v>43268.677753500007</v>
      </c>
      <c r="L17" s="276">
        <f>SUM(L13:L16)</f>
        <v>874793.63</v>
      </c>
      <c r="N17" s="276">
        <f>SUM(N13:N16)</f>
        <v>1100.7456592500002</v>
      </c>
      <c r="P17" s="276">
        <f>SUM(P13:P16)</f>
        <v>44369.423412750009</v>
      </c>
      <c r="R17" s="276">
        <f>SUM(R13:R16)</f>
        <v>19532187.210000001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'201801 Bk Depr'!R20</f>
        <v>0</v>
      </c>
      <c r="H20" s="1">
        <f>1.62%/12</f>
        <v>1.3500000000000003E-3</v>
      </c>
      <c r="J20" s="278">
        <f>F20*H20</f>
        <v>0</v>
      </c>
      <c r="L20" s="279">
        <f>'Cap&amp;OpEx 2018'!D17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'201801 Bk Depr'!R21</f>
        <v>0</v>
      </c>
      <c r="H21" s="1">
        <f>3.24%/12</f>
        <v>2.7000000000000006E-3</v>
      </c>
      <c r="J21" s="278">
        <f>F21*H21</f>
        <v>0</v>
      </c>
      <c r="L21" s="279">
        <f>'Cap&amp;OpEx 2018'!D19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'201801 Bk Depr'!R22</f>
        <v>0</v>
      </c>
      <c r="H22" s="1">
        <f>3.24%/12</f>
        <v>2.7000000000000006E-3</v>
      </c>
      <c r="J22" s="278">
        <f>F22*H22</f>
        <v>0</v>
      </c>
      <c r="L22" s="280">
        <f>'Cap&amp;OpEx 2018'!D20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18657393.580000002</v>
      </c>
      <c r="J25" s="277">
        <f>J17+J23</f>
        <v>43268.677753500007</v>
      </c>
      <c r="L25" s="277">
        <f>L17+L23</f>
        <v>874793.63</v>
      </c>
      <c r="N25" s="277">
        <f>N17+N23</f>
        <v>1100.7456592500002</v>
      </c>
      <c r="P25" s="277">
        <f>P17+P23</f>
        <v>44369.423412750009</v>
      </c>
      <c r="R25" s="277">
        <f>R17+R23</f>
        <v>19532187.210000001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'201801 Bk Depr'!R28</f>
        <v>1590732.72</v>
      </c>
      <c r="J28" s="278"/>
      <c r="L28" s="279">
        <f>'Cap&amp;OpEx 2018'!D25</f>
        <v>150788.72</v>
      </c>
      <c r="N28" s="278"/>
      <c r="P28" s="278"/>
      <c r="R28" s="278">
        <f>L28+F28</f>
        <v>1741521.44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'201801 Bk Depr'!R29</f>
        <v>198474.47000000003</v>
      </c>
      <c r="J29" s="278"/>
      <c r="L29" s="279">
        <f>'Cap&amp;OpEx 2018'!D27</f>
        <v>30939.510000000002</v>
      </c>
      <c r="N29" s="278"/>
      <c r="P29" s="278"/>
      <c r="R29" s="278">
        <f>L29+F29</f>
        <v>229413.98000000004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'201801 Bk Depr'!R30</f>
        <v>0</v>
      </c>
      <c r="J30" s="278"/>
      <c r="L30" s="280">
        <f>'Cap&amp;OpEx 2018'!D28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1789207.19</v>
      </c>
      <c r="J31" s="276">
        <f>SUM(J28:J30)</f>
        <v>0</v>
      </c>
      <c r="L31" s="276">
        <f>SUM(L28:L30)</f>
        <v>181728.23</v>
      </c>
      <c r="N31" s="276">
        <f>SUM(N28:N30)</f>
        <v>0</v>
      </c>
      <c r="P31" s="276">
        <f>SUM(P28:P30)</f>
        <v>0</v>
      </c>
      <c r="R31" s="276">
        <f>SUM(R28:R30)</f>
        <v>1970935.42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6 of 17&amp;L&amp;1#&amp;"Calibri"&amp;14&amp;K000000Business Use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'201802 Bk Depr'!R13</f>
        <v>5382767.7000000002</v>
      </c>
      <c r="H13" s="1">
        <f>1.62%/12</f>
        <v>1.3500000000000003E-3</v>
      </c>
      <c r="J13" s="278">
        <f>F13*H13</f>
        <v>7266.7363950000017</v>
      </c>
      <c r="L13" s="279">
        <f>'Cap&amp;OpEx 2018'!E10</f>
        <v>338362.99</v>
      </c>
      <c r="N13" s="278">
        <f>H13*L13*0.5</f>
        <v>228.39501825000005</v>
      </c>
      <c r="P13" s="278">
        <f>J13+N13</f>
        <v>7495.131413250002</v>
      </c>
      <c r="R13" s="278">
        <f>L13+F13</f>
        <v>5721130.6900000004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'201802 Bk Depr'!R14</f>
        <v>1950348.49</v>
      </c>
      <c r="H14" s="1">
        <f>3.24%/12</f>
        <v>2.7000000000000006E-3</v>
      </c>
      <c r="J14" s="278">
        <f>F14*H14</f>
        <v>5265.940923000001</v>
      </c>
      <c r="L14" s="279">
        <f>'Cap&amp;OpEx 2018'!E12</f>
        <v>145647.47999999998</v>
      </c>
      <c r="N14" s="278">
        <f>H14*L14*0.5</f>
        <v>196.624098</v>
      </c>
      <c r="P14" s="278">
        <f>J14+N14</f>
        <v>5462.5650210000013</v>
      </c>
      <c r="R14" s="278">
        <f>L14+F14</f>
        <v>2095995.97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'201802 Bk Depr'!R15</f>
        <v>7198660.3800000008</v>
      </c>
      <c r="H15" s="1">
        <f t="shared" ref="H15:H16" si="1">3.24%/12</f>
        <v>2.7000000000000006E-3</v>
      </c>
      <c r="J15" s="278">
        <f>F15*H15</f>
        <v>19436.383026000007</v>
      </c>
      <c r="L15" s="279">
        <f>'Cap&amp;OpEx 2018'!E13</f>
        <v>9001.0099999997765</v>
      </c>
      <c r="N15" s="278">
        <f>H15*L15*0.5</f>
        <v>12.1513634999997</v>
      </c>
      <c r="P15" s="278">
        <f>J15+N15</f>
        <v>19448.534389500008</v>
      </c>
      <c r="R15" s="278">
        <f>L15+F15</f>
        <v>7207661.3900000006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'201802 Bk Depr'!R16</f>
        <v>5000410.6400000006</v>
      </c>
      <c r="H16" s="1">
        <f t="shared" si="1"/>
        <v>2.7000000000000006E-3</v>
      </c>
      <c r="J16" s="278">
        <f>F16*H16</f>
        <v>13501.108728000005</v>
      </c>
      <c r="L16" s="280">
        <f>'Cap&amp;OpEx 2018'!E14</f>
        <v>893080.27000000025</v>
      </c>
      <c r="N16" s="278">
        <f>H16*L16*0.5</f>
        <v>1205.6583645000005</v>
      </c>
      <c r="P16" s="278">
        <f>J16+N16</f>
        <v>14706.767092500006</v>
      </c>
      <c r="R16" s="278">
        <f>L16+F16</f>
        <v>5893490.9100000011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19532187.210000001</v>
      </c>
      <c r="J17" s="276">
        <f>SUM(J13:J16)</f>
        <v>45470.169072000012</v>
      </c>
      <c r="L17" s="276">
        <f>SUM(L13:L16)</f>
        <v>1386091.75</v>
      </c>
      <c r="N17" s="276">
        <f>SUM(N13:N16)</f>
        <v>1642.8288442500002</v>
      </c>
      <c r="P17" s="276">
        <f>SUM(P13:P16)</f>
        <v>47112.997916250017</v>
      </c>
      <c r="R17" s="276">
        <f>SUM(R13:R16)</f>
        <v>20918278.960000001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'201802 Bk Depr'!R20</f>
        <v>0</v>
      </c>
      <c r="H20" s="1">
        <f>1.62%/12</f>
        <v>1.3500000000000003E-3</v>
      </c>
      <c r="J20" s="278">
        <f>F20*H20</f>
        <v>0</v>
      </c>
      <c r="L20" s="279">
        <f>'Cap&amp;OpEx 2018'!E17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'201802 Bk Depr'!R21</f>
        <v>0</v>
      </c>
      <c r="H21" s="1">
        <f>3.24%/12</f>
        <v>2.7000000000000006E-3</v>
      </c>
      <c r="J21" s="278">
        <f>F21*H21</f>
        <v>0</v>
      </c>
      <c r="L21" s="279">
        <f>'Cap&amp;OpEx 2018'!E19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'201802 Bk Depr'!R22</f>
        <v>0</v>
      </c>
      <c r="H22" s="1">
        <f>3.24%/12</f>
        <v>2.7000000000000006E-3</v>
      </c>
      <c r="J22" s="278">
        <f>F22*H22</f>
        <v>0</v>
      </c>
      <c r="L22" s="280">
        <f>'Cap&amp;OpEx 2018'!E20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19532187.210000001</v>
      </c>
      <c r="J25" s="277">
        <f>J17+J23</f>
        <v>45470.169072000012</v>
      </c>
      <c r="L25" s="277">
        <f>L17+L23</f>
        <v>1386091.75</v>
      </c>
      <c r="N25" s="277">
        <f>N17+N23</f>
        <v>1642.8288442500002</v>
      </c>
      <c r="P25" s="277">
        <f>P17+P23</f>
        <v>47112.997916250017</v>
      </c>
      <c r="R25" s="277">
        <f>R17+R23</f>
        <v>20918278.960000001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'201802 Bk Depr'!R28</f>
        <v>1741521.44</v>
      </c>
      <c r="J28" s="278"/>
      <c r="L28" s="279">
        <f>'Cap&amp;OpEx 2018'!E25</f>
        <v>73614.989999999991</v>
      </c>
      <c r="N28" s="278"/>
      <c r="P28" s="278"/>
      <c r="R28" s="278">
        <f>L28+F28</f>
        <v>1815136.43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'201802 Bk Depr'!R29</f>
        <v>229413.98000000004</v>
      </c>
      <c r="J29" s="278"/>
      <c r="L29" s="279">
        <f>'Cap&amp;OpEx 2018'!E27</f>
        <v>51643.659999999996</v>
      </c>
      <c r="N29" s="278"/>
      <c r="P29" s="278"/>
      <c r="R29" s="278">
        <f>L29+F29</f>
        <v>281057.64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'201802 Bk Depr'!R30</f>
        <v>0</v>
      </c>
      <c r="J30" s="278"/>
      <c r="L30" s="280">
        <f>'Cap&amp;OpEx 2018'!E28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1970935.42</v>
      </c>
      <c r="J31" s="276">
        <f>SUM(J28:J30)</f>
        <v>0</v>
      </c>
      <c r="L31" s="276">
        <f>SUM(L28:L30)</f>
        <v>125258.65</v>
      </c>
      <c r="N31" s="276">
        <f>SUM(N28:N30)</f>
        <v>0</v>
      </c>
      <c r="P31" s="276">
        <f>SUM(P28:P30)</f>
        <v>0</v>
      </c>
      <c r="R31" s="276">
        <f>SUM(R28:R30)</f>
        <v>2096194.0699999998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7 of 17&amp;L&amp;1#&amp;"Calibri"&amp;14&amp;K000000Business Use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'201803 Bk Depr'!R13</f>
        <v>5721130.6900000004</v>
      </c>
      <c r="H13" s="1">
        <f>1.62%/12</f>
        <v>1.3500000000000003E-3</v>
      </c>
      <c r="J13" s="278">
        <f>F13*H13</f>
        <v>7723.5264315000022</v>
      </c>
      <c r="L13" s="279">
        <f>'Cap&amp;OpEx 2018'!F10</f>
        <v>341928.04</v>
      </c>
      <c r="N13" s="278">
        <f>H13*L13*0.5</f>
        <v>230.80142700000005</v>
      </c>
      <c r="P13" s="278">
        <f>J13+N13</f>
        <v>7954.3278585000025</v>
      </c>
      <c r="R13" s="278">
        <f>L13+F13</f>
        <v>6063058.7300000004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'201803 Bk Depr'!R14</f>
        <v>2095995.97</v>
      </c>
      <c r="H14" s="1">
        <f>3.24%/12</f>
        <v>2.7000000000000006E-3</v>
      </c>
      <c r="J14" s="278">
        <f>F14*H14</f>
        <v>5659.1891190000015</v>
      </c>
      <c r="L14" s="279">
        <f>'Cap&amp;OpEx 2018'!F12</f>
        <v>182229.53</v>
      </c>
      <c r="N14" s="278">
        <f>H14*L14*0.5</f>
        <v>246.00986550000005</v>
      </c>
      <c r="P14" s="278">
        <f>J14+N14</f>
        <v>5905.1989845000016</v>
      </c>
      <c r="R14" s="278">
        <f>L14+F14</f>
        <v>2278225.5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'201803 Bk Depr'!R15</f>
        <v>7207661.3900000006</v>
      </c>
      <c r="H15" s="1">
        <f t="shared" ref="H15:H16" si="1">3.24%/12</f>
        <v>2.7000000000000006E-3</v>
      </c>
      <c r="J15" s="278">
        <f>F15*H15</f>
        <v>19460.685753000005</v>
      </c>
      <c r="L15" s="279">
        <f>'Cap&amp;OpEx 2018'!F13</f>
        <v>1263.3699999999999</v>
      </c>
      <c r="N15" s="278">
        <f>H15*L15*0.5</f>
        <v>1.7055495000000003</v>
      </c>
      <c r="P15" s="278">
        <f>J15+N15</f>
        <v>19462.391302500004</v>
      </c>
      <c r="R15" s="278">
        <f>L15+F15</f>
        <v>7208924.7600000007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'201803 Bk Depr'!R16</f>
        <v>5893490.9100000011</v>
      </c>
      <c r="H16" s="1">
        <f t="shared" si="1"/>
        <v>2.7000000000000006E-3</v>
      </c>
      <c r="J16" s="278">
        <f>F16*H16</f>
        <v>15912.425457000007</v>
      </c>
      <c r="L16" s="280">
        <f>'Cap&amp;OpEx 2018'!F14</f>
        <v>701015.85000000009</v>
      </c>
      <c r="N16" s="278">
        <f>H16*L16*0.5</f>
        <v>946.37139750000028</v>
      </c>
      <c r="P16" s="278">
        <f>J16+N16</f>
        <v>16858.796854500008</v>
      </c>
      <c r="R16" s="278">
        <f>L16+F16</f>
        <v>6594506.7600000016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20918278.960000001</v>
      </c>
      <c r="J17" s="276">
        <f>SUM(J13:J16)</f>
        <v>48755.826760500015</v>
      </c>
      <c r="L17" s="276">
        <f>SUM(L13:L16)</f>
        <v>1226436.79</v>
      </c>
      <c r="N17" s="276">
        <f>SUM(N13:N16)</f>
        <v>1424.8882395000005</v>
      </c>
      <c r="P17" s="276">
        <f>SUM(P13:P16)</f>
        <v>50180.715000000011</v>
      </c>
      <c r="R17" s="276">
        <f>SUM(R13:R16)</f>
        <v>22144715.750000004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'201803 Bk Depr'!R20</f>
        <v>0</v>
      </c>
      <c r="H20" s="1">
        <f>1.62%/12</f>
        <v>1.3500000000000003E-3</v>
      </c>
      <c r="J20" s="278">
        <f>F20*H20</f>
        <v>0</v>
      </c>
      <c r="L20" s="279">
        <f>'Cap&amp;OpEx 2018'!F17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'201803 Bk Depr'!R21</f>
        <v>0</v>
      </c>
      <c r="H21" s="1">
        <f>3.24%/12</f>
        <v>2.7000000000000006E-3</v>
      </c>
      <c r="J21" s="278">
        <f>F21*H21</f>
        <v>0</v>
      </c>
      <c r="L21" s="279">
        <f>'Cap&amp;OpEx 2018'!F19</f>
        <v>0</v>
      </c>
      <c r="N21" s="278">
        <f>H21*L21*0.5</f>
        <v>0</v>
      </c>
      <c r="P21" s="278">
        <f>J21+N21</f>
        <v>0</v>
      </c>
      <c r="R21" s="278">
        <f t="shared" ref="R21" si="2">L21+F21</f>
        <v>0</v>
      </c>
    </row>
    <row r="22" spans="1:18">
      <c r="A22" s="6">
        <f t="shared" ref="A22:A23" si="3">A21+1</f>
        <v>8</v>
      </c>
      <c r="B22" s="4"/>
      <c r="C22" s="9" t="s">
        <v>63</v>
      </c>
      <c r="D22" s="6">
        <v>380</v>
      </c>
      <c r="F22" s="275">
        <f>'201803 Bk Depr'!R22</f>
        <v>0</v>
      </c>
      <c r="H22" s="1">
        <f>3.24%/12</f>
        <v>2.7000000000000006E-3</v>
      </c>
      <c r="J22" s="278">
        <f>F22*H22</f>
        <v>0</v>
      </c>
      <c r="L22" s="280">
        <f>'Cap&amp;OpEx 2018'!F20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3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20918278.960000001</v>
      </c>
      <c r="J25" s="277">
        <f>J17+J23</f>
        <v>48755.826760500015</v>
      </c>
      <c r="L25" s="277">
        <f>L17+L23</f>
        <v>1226436.79</v>
      </c>
      <c r="N25" s="277">
        <f>N17+N23</f>
        <v>1424.8882395000005</v>
      </c>
      <c r="P25" s="277">
        <f>P17+P23</f>
        <v>50180.715000000011</v>
      </c>
      <c r="R25" s="277">
        <f>R17+R23</f>
        <v>22144715.750000004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'201803 Bk Depr'!R28</f>
        <v>1815136.43</v>
      </c>
      <c r="J28" s="278"/>
      <c r="L28" s="279">
        <f>'Cap&amp;OpEx 2018'!F25</f>
        <v>26727.34</v>
      </c>
      <c r="N28" s="278"/>
      <c r="P28" s="278"/>
      <c r="R28" s="278">
        <f>L28+F28</f>
        <v>1841863.77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'201803 Bk Depr'!R29</f>
        <v>281057.64</v>
      </c>
      <c r="J29" s="278"/>
      <c r="L29" s="279">
        <f>'Cap&amp;OpEx 2018'!F27</f>
        <v>123350.19</v>
      </c>
      <c r="N29" s="278"/>
      <c r="P29" s="278"/>
      <c r="R29" s="278">
        <f>L29+F29</f>
        <v>404407.83</v>
      </c>
    </row>
    <row r="30" spans="1:18">
      <c r="A30" s="6">
        <f t="shared" ref="A30:A31" si="4">A29+1</f>
        <v>13</v>
      </c>
      <c r="B30" s="4"/>
      <c r="C30" s="9" t="s">
        <v>63</v>
      </c>
      <c r="D30" s="6">
        <v>380</v>
      </c>
      <c r="F30" s="275">
        <f>'201803 Bk Depr'!R30</f>
        <v>0</v>
      </c>
      <c r="J30" s="278"/>
      <c r="L30" s="280">
        <f>'Cap&amp;OpEx 2018'!F28</f>
        <v>0</v>
      </c>
      <c r="N30" s="278"/>
      <c r="P30" s="278"/>
      <c r="R30" s="278">
        <f>L30+F30</f>
        <v>0</v>
      </c>
    </row>
    <row r="31" spans="1:18">
      <c r="A31" s="6">
        <f t="shared" si="4"/>
        <v>14</v>
      </c>
      <c r="B31" s="4"/>
      <c r="C31" s="4" t="s">
        <v>23</v>
      </c>
      <c r="F31" s="276">
        <f>SUM(F28:F30)</f>
        <v>2096194.0699999998</v>
      </c>
      <c r="J31" s="276">
        <f>SUM(J28:J30)</f>
        <v>0</v>
      </c>
      <c r="L31" s="276">
        <f>SUM(L28:L30)</f>
        <v>150077.53</v>
      </c>
      <c r="N31" s="276">
        <f>SUM(N28:N30)</f>
        <v>0</v>
      </c>
      <c r="P31" s="276">
        <f>SUM(P28:P30)</f>
        <v>0</v>
      </c>
      <c r="R31" s="276">
        <f>SUM(R28:R30)</f>
        <v>2246271.6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8 of 17&amp;L&amp;1#&amp;"Calibri"&amp;14&amp;K000000Business Use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'201804 Bk Depr'!R13</f>
        <v>6063058.7300000004</v>
      </c>
      <c r="H13" s="1">
        <f>1.62%/12</f>
        <v>1.3500000000000003E-3</v>
      </c>
      <c r="J13" s="278">
        <f>F13*H13</f>
        <v>8185.129285500002</v>
      </c>
      <c r="L13" s="279">
        <f>'Cap&amp;OpEx 2018'!G10</f>
        <v>155674.85</v>
      </c>
      <c r="N13" s="278">
        <f>H13*L13*0.5</f>
        <v>105.08052375000003</v>
      </c>
      <c r="P13" s="278">
        <f>J13+N13</f>
        <v>8290.2098092500019</v>
      </c>
      <c r="R13" s="278">
        <f>L13+F13</f>
        <v>6218733.5800000001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'201804 Bk Depr'!R14</f>
        <v>2278225.5</v>
      </c>
      <c r="H14" s="1">
        <f>3.24%/12</f>
        <v>2.7000000000000006E-3</v>
      </c>
      <c r="J14" s="278">
        <f>F14*H14</f>
        <v>6151.2088500000009</v>
      </c>
      <c r="L14" s="279">
        <f>'Cap&amp;OpEx 2018'!G12</f>
        <v>185738.66</v>
      </c>
      <c r="N14" s="278">
        <f>H14*L14*0.5</f>
        <v>250.74719100000007</v>
      </c>
      <c r="P14" s="278">
        <f>J14+N14</f>
        <v>6401.9560410000013</v>
      </c>
      <c r="R14" s="278">
        <f>L14+F14</f>
        <v>2463964.1600000001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'201804 Bk Depr'!R15</f>
        <v>7208924.7600000007</v>
      </c>
      <c r="H15" s="1">
        <f t="shared" ref="H15:H16" si="1">3.24%/12</f>
        <v>2.7000000000000006E-3</v>
      </c>
      <c r="J15" s="278">
        <f>F15*H15</f>
        <v>19464.096852000006</v>
      </c>
      <c r="L15" s="279">
        <f>'Cap&amp;OpEx 2018'!G13</f>
        <v>1265.82</v>
      </c>
      <c r="N15" s="278">
        <f>H15*L15*0.5</f>
        <v>1.7088570000000003</v>
      </c>
      <c r="P15" s="278">
        <f>J15+N15</f>
        <v>19465.805709000007</v>
      </c>
      <c r="R15" s="278">
        <f>L15+F15</f>
        <v>7210190.580000001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'201804 Bk Depr'!R16</f>
        <v>6594506.7600000016</v>
      </c>
      <c r="H16" s="1">
        <f t="shared" si="1"/>
        <v>2.7000000000000006E-3</v>
      </c>
      <c r="J16" s="278">
        <f>F16*H16</f>
        <v>17805.168252000007</v>
      </c>
      <c r="L16" s="280">
        <f>'Cap&amp;OpEx 2018'!G14</f>
        <v>857857.34</v>
      </c>
      <c r="N16" s="278">
        <f>H16*L16*0.5</f>
        <v>1158.1074090000002</v>
      </c>
      <c r="P16" s="278">
        <f>J16+N16</f>
        <v>18963.275661000007</v>
      </c>
      <c r="R16" s="278">
        <f>L16+F16</f>
        <v>7452364.1000000015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22144715.750000004</v>
      </c>
      <c r="J17" s="276">
        <f>SUM(J13:J16)</f>
        <v>51605.603239500007</v>
      </c>
      <c r="L17" s="276">
        <f>SUM(L13:L16)</f>
        <v>1200536.67</v>
      </c>
      <c r="N17" s="276">
        <f>SUM(N13:N16)</f>
        <v>1515.6439807500003</v>
      </c>
      <c r="P17" s="276">
        <f>SUM(P13:P16)</f>
        <v>53121.247220250021</v>
      </c>
      <c r="R17" s="276">
        <f>SUM(R13:R16)</f>
        <v>23345252.420000002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'201804 Bk Depr'!R20</f>
        <v>0</v>
      </c>
      <c r="H20" s="1">
        <f>1.62%/12</f>
        <v>1.3500000000000003E-3</v>
      </c>
      <c r="J20" s="278">
        <f>F20*H20</f>
        <v>0</v>
      </c>
      <c r="L20" s="279">
        <f>'Cap&amp;OpEx 2018'!G17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'201804 Bk Depr'!R21</f>
        <v>0</v>
      </c>
      <c r="H21" s="1">
        <f>3.24%/12</f>
        <v>2.7000000000000006E-3</v>
      </c>
      <c r="J21" s="278">
        <f>F21*H21</f>
        <v>0</v>
      </c>
      <c r="L21" s="279">
        <f>'Cap&amp;OpEx 2018'!G19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'201804 Bk Depr'!R22</f>
        <v>0</v>
      </c>
      <c r="H22" s="1">
        <f>3.24%/12</f>
        <v>2.7000000000000006E-3</v>
      </c>
      <c r="J22" s="278">
        <f>F22*H22</f>
        <v>0</v>
      </c>
      <c r="L22" s="280">
        <f>'Cap&amp;OpEx 2018'!G20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22144715.750000004</v>
      </c>
      <c r="J25" s="277">
        <f>J17+J23</f>
        <v>51605.603239500007</v>
      </c>
      <c r="L25" s="277">
        <f>L17+L23</f>
        <v>1200536.67</v>
      </c>
      <c r="N25" s="277">
        <f>N17+N23</f>
        <v>1515.6439807500003</v>
      </c>
      <c r="P25" s="277">
        <f>P17+P23</f>
        <v>53121.247220250021</v>
      </c>
      <c r="R25" s="277">
        <f>R17+R23</f>
        <v>23345252.420000002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'201804 Bk Depr'!R28</f>
        <v>1841863.77</v>
      </c>
      <c r="J28" s="278"/>
      <c r="L28" s="279">
        <f>'Cap&amp;OpEx 2018'!G25</f>
        <v>80314.19</v>
      </c>
      <c r="N28" s="278"/>
      <c r="P28" s="278"/>
      <c r="R28" s="278">
        <f>L28+F28</f>
        <v>1922177.96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'201804 Bk Depr'!R29</f>
        <v>404407.83</v>
      </c>
      <c r="J29" s="278"/>
      <c r="L29" s="279">
        <f>'Cap&amp;OpEx 2018'!G27</f>
        <v>71699.88</v>
      </c>
      <c r="N29" s="278"/>
      <c r="P29" s="278"/>
      <c r="R29" s="278">
        <f>L29+F29</f>
        <v>476107.71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'201804 Bk Depr'!R30</f>
        <v>0</v>
      </c>
      <c r="J30" s="278"/>
      <c r="L30" s="280">
        <f>'Cap&amp;OpEx 2018'!G28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2246271.6</v>
      </c>
      <c r="J31" s="276">
        <f>SUM(J28:J30)</f>
        <v>0</v>
      </c>
      <c r="L31" s="276">
        <f>SUM(L28:L30)</f>
        <v>152014.07</v>
      </c>
      <c r="N31" s="276">
        <f>SUM(N28:N30)</f>
        <v>0</v>
      </c>
      <c r="P31" s="276">
        <f>SUM(P28:P30)</f>
        <v>0</v>
      </c>
      <c r="R31" s="276">
        <f>SUM(R28:R30)</f>
        <v>2398285.67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9 of 17&amp;L&amp;1#&amp;"Calibri"&amp;14&amp;K000000Business Use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'201805 Bk Depr'!R13</f>
        <v>6218733.5800000001</v>
      </c>
      <c r="H13" s="1">
        <f>1.62%/12</f>
        <v>1.3500000000000003E-3</v>
      </c>
      <c r="J13" s="278">
        <f>F13*H13</f>
        <v>8395.2903330000026</v>
      </c>
      <c r="L13" s="279">
        <f>'Cap&amp;OpEx 2018'!H10</f>
        <v>359379.56</v>
      </c>
      <c r="N13" s="278">
        <f>H13*L13*0.5</f>
        <v>242.58120300000004</v>
      </c>
      <c r="P13" s="278">
        <f>J13+N13</f>
        <v>8637.8715360000024</v>
      </c>
      <c r="R13" s="278">
        <f>L13+F13</f>
        <v>6578113.1399999997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'201805 Bk Depr'!R14</f>
        <v>2463964.1600000001</v>
      </c>
      <c r="H14" s="1">
        <f>3.24%/12</f>
        <v>2.7000000000000006E-3</v>
      </c>
      <c r="J14" s="278">
        <f>F14*H14</f>
        <v>6652.7032320000017</v>
      </c>
      <c r="L14" s="279">
        <f>'Cap&amp;OpEx 2018'!H12</f>
        <v>155681.91</v>
      </c>
      <c r="N14" s="278">
        <f>H14*L14*0.5</f>
        <v>210.17057850000006</v>
      </c>
      <c r="P14" s="278">
        <f>J14+N14</f>
        <v>6862.873810500002</v>
      </c>
      <c r="R14" s="278">
        <f>L14+F14</f>
        <v>2619646.0700000003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'201805 Bk Depr'!R15</f>
        <v>7210190.580000001</v>
      </c>
      <c r="H15" s="1">
        <f t="shared" ref="H15:H16" si="1">3.24%/12</f>
        <v>2.7000000000000006E-3</v>
      </c>
      <c r="J15" s="278">
        <f>F15*H15</f>
        <v>19467.514566000005</v>
      </c>
      <c r="L15" s="279">
        <f>'Cap&amp;OpEx 2018'!H13</f>
        <v>2.44</v>
      </c>
      <c r="N15" s="278">
        <f>H15*L15*0.5</f>
        <v>3.2940000000000005E-3</v>
      </c>
      <c r="P15" s="278">
        <f>J15+N15</f>
        <v>19467.517860000004</v>
      </c>
      <c r="R15" s="278">
        <f>L15+F15</f>
        <v>7210193.0200000014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'201805 Bk Depr'!R16</f>
        <v>7452364.1000000015</v>
      </c>
      <c r="H16" s="1">
        <f t="shared" si="1"/>
        <v>2.7000000000000006E-3</v>
      </c>
      <c r="J16" s="278">
        <f>F16*H16</f>
        <v>20121.383070000007</v>
      </c>
      <c r="L16" s="280">
        <f>'Cap&amp;OpEx 2018'!H14</f>
        <v>643434.71</v>
      </c>
      <c r="N16" s="278">
        <f>H16*L16*0.5</f>
        <v>868.63685850000013</v>
      </c>
      <c r="P16" s="278">
        <f>J16+N16</f>
        <v>20990.019928500009</v>
      </c>
      <c r="R16" s="278">
        <f>L16+F16</f>
        <v>8095798.8100000015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23345252.420000002</v>
      </c>
      <c r="J17" s="276">
        <f>SUM(J13:J16)</f>
        <v>54636.89120100002</v>
      </c>
      <c r="L17" s="276">
        <f>SUM(L13:L16)</f>
        <v>1158498.6199999999</v>
      </c>
      <c r="N17" s="276">
        <f>SUM(N13:N16)</f>
        <v>1321.3919340000002</v>
      </c>
      <c r="P17" s="276">
        <f>SUM(P13:P16)</f>
        <v>55958.28313500002</v>
      </c>
      <c r="R17" s="276">
        <f>SUM(R13:R16)</f>
        <v>24503751.040000003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'201805 Bk Depr'!R20</f>
        <v>0</v>
      </c>
      <c r="H20" s="1">
        <f>1.62%/12</f>
        <v>1.3500000000000003E-3</v>
      </c>
      <c r="J20" s="278">
        <f>F20*H20</f>
        <v>0</v>
      </c>
      <c r="L20" s="279">
        <f>'Cap&amp;OpEx 2018'!H17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'201805 Bk Depr'!R21</f>
        <v>0</v>
      </c>
      <c r="H21" s="1">
        <f>3.24%/12</f>
        <v>2.7000000000000006E-3</v>
      </c>
      <c r="J21" s="278">
        <f>F21*H21</f>
        <v>0</v>
      </c>
      <c r="L21" s="279">
        <f>'Cap&amp;OpEx 2018'!H19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'201805 Bk Depr'!R22</f>
        <v>0</v>
      </c>
      <c r="H22" s="1">
        <f>3.24%/12</f>
        <v>2.7000000000000006E-3</v>
      </c>
      <c r="J22" s="278">
        <f>F22*H22</f>
        <v>0</v>
      </c>
      <c r="L22" s="280">
        <f>'Cap&amp;OpEx 2018'!H20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23345252.420000002</v>
      </c>
      <c r="J25" s="277">
        <f>J17+J23</f>
        <v>54636.89120100002</v>
      </c>
      <c r="L25" s="277">
        <f>L17+L23</f>
        <v>1158498.6199999999</v>
      </c>
      <c r="N25" s="277">
        <f>N17+N23</f>
        <v>1321.3919340000002</v>
      </c>
      <c r="P25" s="277">
        <f>P17+P23</f>
        <v>55958.28313500002</v>
      </c>
      <c r="R25" s="277">
        <f>R17+R23</f>
        <v>24503751.040000003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'201805 Bk Depr'!R28</f>
        <v>1922177.96</v>
      </c>
      <c r="J28" s="278"/>
      <c r="L28" s="279">
        <f>'Cap&amp;OpEx 2018'!H25</f>
        <v>825.37</v>
      </c>
      <c r="N28" s="278"/>
      <c r="P28" s="278"/>
      <c r="R28" s="278">
        <f>L28+F28</f>
        <v>1923003.33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'201805 Bk Depr'!R29</f>
        <v>476107.71</v>
      </c>
      <c r="J29" s="278"/>
      <c r="L29" s="279">
        <f>'Cap&amp;OpEx 2018'!H27</f>
        <v>160791.88</v>
      </c>
      <c r="N29" s="278"/>
      <c r="P29" s="278"/>
      <c r="R29" s="278">
        <f>L29+F29</f>
        <v>636899.59000000008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'201805 Bk Depr'!R30</f>
        <v>0</v>
      </c>
      <c r="J30" s="278"/>
      <c r="L30" s="280">
        <f>'Cap&amp;OpEx 2018'!H28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2398285.67</v>
      </c>
      <c r="J31" s="276">
        <f>SUM(J28:J30)</f>
        <v>0</v>
      </c>
      <c r="L31" s="276">
        <f>SUM(L28:L30)</f>
        <v>161617.25</v>
      </c>
      <c r="N31" s="276">
        <f>SUM(N28:N30)</f>
        <v>0</v>
      </c>
      <c r="P31" s="276">
        <f>SUM(P28:P30)</f>
        <v>0</v>
      </c>
      <c r="R31" s="276">
        <f>SUM(R28:R30)</f>
        <v>2559902.92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10 of 17&amp;L&amp;1#&amp;"Calibri"&amp;14&amp;K000000Business Use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'201806 Bk Depr'!R13</f>
        <v>6578113.1399999997</v>
      </c>
      <c r="H13" s="1">
        <f>1.62%/12</f>
        <v>1.3500000000000003E-3</v>
      </c>
      <c r="J13" s="278">
        <f>F13*H13</f>
        <v>8880.4527390000021</v>
      </c>
      <c r="L13" s="279">
        <f>'Cap&amp;OpEx 2018'!I10</f>
        <v>367756.20999999996</v>
      </c>
      <c r="N13" s="278">
        <f>H13*L13*0.5</f>
        <v>248.23544175000004</v>
      </c>
      <c r="P13" s="278">
        <f>J13+N13</f>
        <v>9128.6881807500013</v>
      </c>
      <c r="R13" s="278">
        <f>L13+F13</f>
        <v>6945869.3499999996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'201806 Bk Depr'!R14</f>
        <v>2619646.0700000003</v>
      </c>
      <c r="H14" s="1">
        <f>3.24%/12</f>
        <v>2.7000000000000006E-3</v>
      </c>
      <c r="J14" s="278">
        <f>F14*H14</f>
        <v>7073.0443890000024</v>
      </c>
      <c r="L14" s="279">
        <f>'Cap&amp;OpEx 2018'!I12</f>
        <v>212446.9</v>
      </c>
      <c r="N14" s="278">
        <f>H14*L14*0.5</f>
        <v>286.80331500000005</v>
      </c>
      <c r="P14" s="278">
        <f>J14+N14</f>
        <v>7359.8477040000025</v>
      </c>
      <c r="R14" s="278">
        <f>L14+F14</f>
        <v>2832092.97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'201806 Bk Depr'!R15</f>
        <v>7210193.0200000014</v>
      </c>
      <c r="H15" s="1">
        <f t="shared" ref="H15:H16" si="1">3.24%/12</f>
        <v>2.7000000000000006E-3</v>
      </c>
      <c r="J15" s="278">
        <f>F15*H15</f>
        <v>19467.521154000009</v>
      </c>
      <c r="L15" s="279">
        <f>'Cap&amp;OpEx 2018'!I13</f>
        <v>0</v>
      </c>
      <c r="N15" s="278">
        <f>H15*L15*0.5</f>
        <v>0</v>
      </c>
      <c r="P15" s="278">
        <f>J15+N15</f>
        <v>19467.521154000009</v>
      </c>
      <c r="R15" s="278">
        <f>L15+F15</f>
        <v>7210193.0200000014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'201806 Bk Depr'!R16</f>
        <v>8095798.8100000015</v>
      </c>
      <c r="H16" s="1">
        <f t="shared" si="1"/>
        <v>2.7000000000000006E-3</v>
      </c>
      <c r="J16" s="278">
        <f>F16*H16</f>
        <v>21858.656787000007</v>
      </c>
      <c r="L16" s="280">
        <f>'Cap&amp;OpEx 2018'!I14</f>
        <v>1026715.98</v>
      </c>
      <c r="N16" s="278">
        <f>H16*L16*0.5</f>
        <v>1386.0665730000003</v>
      </c>
      <c r="P16" s="278">
        <f>J16+N16</f>
        <v>23244.723360000007</v>
      </c>
      <c r="R16" s="278">
        <f>L16+F16</f>
        <v>9122514.790000001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24503751.040000003</v>
      </c>
      <c r="J17" s="276">
        <f>SUM(J13:J16)</f>
        <v>57279.675069000019</v>
      </c>
      <c r="L17" s="276">
        <f>SUM(L13:L16)</f>
        <v>1606919.0899999999</v>
      </c>
      <c r="N17" s="276">
        <f>SUM(N13:N16)</f>
        <v>1921.1053297500002</v>
      </c>
      <c r="P17" s="276">
        <f>SUM(P13:P16)</f>
        <v>59200.780398750023</v>
      </c>
      <c r="R17" s="276">
        <f>SUM(R13:R16)</f>
        <v>26110670.130000003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'201806 Bk Depr'!R20</f>
        <v>0</v>
      </c>
      <c r="H20" s="1">
        <f>1.62%/12</f>
        <v>1.3500000000000003E-3</v>
      </c>
      <c r="J20" s="278">
        <f>F20*H20</f>
        <v>0</v>
      </c>
      <c r="L20" s="279">
        <f>'Cap&amp;OpEx 2018'!I17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'201806 Bk Depr'!R21</f>
        <v>0</v>
      </c>
      <c r="H21" s="1">
        <f>3.24%/12</f>
        <v>2.7000000000000006E-3</v>
      </c>
      <c r="J21" s="278">
        <f>F21*H21</f>
        <v>0</v>
      </c>
      <c r="L21" s="279">
        <f>'Cap&amp;OpEx 2018'!I19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'201806 Bk Depr'!R22</f>
        <v>0</v>
      </c>
      <c r="H22" s="1">
        <f>3.24%/12</f>
        <v>2.7000000000000006E-3</v>
      </c>
      <c r="J22" s="278">
        <f>F22*H22</f>
        <v>0</v>
      </c>
      <c r="L22" s="280">
        <f>'Cap&amp;OpEx 2018'!I20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24503751.040000003</v>
      </c>
      <c r="J25" s="277">
        <f>J17+J23</f>
        <v>57279.675069000019</v>
      </c>
      <c r="L25" s="277">
        <f>L17+L23</f>
        <v>1606919.0899999999</v>
      </c>
      <c r="N25" s="277">
        <f>N17+N23</f>
        <v>1921.1053297500002</v>
      </c>
      <c r="P25" s="277">
        <f>P17+P23</f>
        <v>59200.780398750023</v>
      </c>
      <c r="R25" s="277">
        <f>R17+R23</f>
        <v>26110670.130000003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'201806 Bk Depr'!R28</f>
        <v>1923003.33</v>
      </c>
      <c r="J28" s="278"/>
      <c r="L28" s="279">
        <f>'Cap&amp;OpEx 2018'!I25</f>
        <v>0</v>
      </c>
      <c r="N28" s="278"/>
      <c r="P28" s="278"/>
      <c r="R28" s="278">
        <f>L28+F28</f>
        <v>1923003.33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'201806 Bk Depr'!R29</f>
        <v>636899.59000000008</v>
      </c>
      <c r="J29" s="278"/>
      <c r="L29" s="279">
        <f>'Cap&amp;OpEx 2018'!I27</f>
        <v>111769.92</v>
      </c>
      <c r="N29" s="278"/>
      <c r="P29" s="278"/>
      <c r="R29" s="278">
        <f>L29+F29</f>
        <v>748669.51000000013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'201806 Bk Depr'!R30</f>
        <v>0</v>
      </c>
      <c r="J30" s="278"/>
      <c r="L30" s="280">
        <f>'Cap&amp;OpEx 2018'!I28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2559902.92</v>
      </c>
      <c r="J31" s="276">
        <f>SUM(J28:J30)</f>
        <v>0</v>
      </c>
      <c r="L31" s="276">
        <f>SUM(L28:L30)</f>
        <v>111769.92</v>
      </c>
      <c r="N31" s="276">
        <f>SUM(N28:N30)</f>
        <v>0</v>
      </c>
      <c r="P31" s="276">
        <f>SUM(P28:P30)</f>
        <v>0</v>
      </c>
      <c r="R31" s="276">
        <f>SUM(R28:R30)</f>
        <v>2671672.8400000003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11 of 17&amp;L&amp;1#&amp;"Calibri"&amp;14&amp;K000000Business Use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43074-B014-43F2-AE4B-0D5CBA01D323}">
  <sheetPr>
    <tabColor rgb="FFD8E4BC"/>
    <pageSetUpPr fitToPage="1"/>
  </sheetPr>
  <dimension ref="A1:AD35"/>
  <sheetViews>
    <sheetView showGridLines="0" view="pageBreakPreview" zoomScale="80" zoomScaleNormal="100" zoomScaleSheetLayoutView="80" workbookViewId="0"/>
  </sheetViews>
  <sheetFormatPr defaultColWidth="9.140625" defaultRowHeight="15.75"/>
  <cols>
    <col min="1" max="1" width="7.7109375" style="26" customWidth="1"/>
    <col min="2" max="2" width="48.5703125" style="26" bestFit="1" customWidth="1"/>
    <col min="3" max="30" width="14.85546875" style="26" customWidth="1"/>
    <col min="31" max="31" width="9.140625" style="26"/>
    <col min="32" max="32" width="10.5703125" style="26" bestFit="1" customWidth="1"/>
    <col min="33" max="16384" width="9.140625" style="26"/>
  </cols>
  <sheetData>
    <row r="1" spans="1:30" ht="20.25" customHeight="1">
      <c r="B1" s="1410"/>
      <c r="C1" s="1410"/>
      <c r="D1" s="1410"/>
      <c r="E1" s="1410"/>
      <c r="F1" s="1410"/>
      <c r="G1" s="1410"/>
      <c r="H1" s="1409" t="s">
        <v>669</v>
      </c>
      <c r="I1" s="1410"/>
      <c r="J1" s="1410"/>
      <c r="K1" s="1410"/>
      <c r="L1" s="1410"/>
      <c r="M1" s="1410"/>
      <c r="N1" s="1410"/>
      <c r="O1" s="1410"/>
      <c r="P1" s="1411"/>
      <c r="Q1" s="1411"/>
      <c r="R1" s="1411"/>
      <c r="S1" s="1411"/>
      <c r="T1" s="1410"/>
      <c r="U1" s="1410"/>
      <c r="V1" s="1410"/>
      <c r="W1" s="1410"/>
      <c r="X1" s="1411"/>
      <c r="Y1" s="1411"/>
      <c r="Z1" s="1411"/>
      <c r="AA1" s="1411"/>
      <c r="AB1" s="1411"/>
      <c r="AC1" s="1411"/>
      <c r="AD1" s="1411"/>
    </row>
    <row r="2" spans="1:30" ht="20.25" customHeight="1">
      <c r="B2" s="1410"/>
      <c r="C2" s="1410"/>
      <c r="D2" s="1410"/>
      <c r="E2" s="1410"/>
      <c r="F2" s="1410"/>
      <c r="G2" s="1410"/>
      <c r="H2" s="1409" t="s">
        <v>961</v>
      </c>
      <c r="I2" s="1410"/>
      <c r="J2" s="1410"/>
      <c r="K2" s="1410"/>
      <c r="L2" s="1410"/>
      <c r="M2" s="1410"/>
      <c r="N2" s="1410"/>
      <c r="O2" s="1410"/>
      <c r="P2" s="1411"/>
      <c r="Q2" s="1411"/>
      <c r="R2" s="1411"/>
      <c r="S2" s="1411"/>
      <c r="T2" s="1410"/>
      <c r="U2" s="1410"/>
      <c r="V2" s="1410"/>
      <c r="W2" s="1410"/>
      <c r="X2" s="1411"/>
      <c r="Y2" s="1411"/>
      <c r="Z2" s="1411"/>
      <c r="AA2" s="1411"/>
      <c r="AB2" s="1411"/>
      <c r="AC2" s="1411"/>
      <c r="AD2" s="1411"/>
    </row>
    <row r="3" spans="1:30" ht="20.25" customHeight="1">
      <c r="B3" s="1410"/>
      <c r="C3" s="1410"/>
      <c r="D3" s="1410"/>
      <c r="E3" s="1410"/>
      <c r="F3" s="1410"/>
      <c r="G3" s="1410"/>
      <c r="H3" s="1409" t="s">
        <v>992</v>
      </c>
      <c r="I3" s="1410"/>
      <c r="J3" s="1410"/>
      <c r="K3" s="1410"/>
      <c r="L3" s="1410"/>
      <c r="M3" s="1410"/>
      <c r="N3" s="1410"/>
      <c r="O3" s="1410"/>
      <c r="P3" s="1411"/>
      <c r="Q3" s="1411"/>
      <c r="R3" s="1411"/>
      <c r="S3" s="1411"/>
      <c r="T3" s="1410"/>
      <c r="U3" s="1410"/>
      <c r="V3" s="1410"/>
      <c r="W3" s="1410"/>
      <c r="X3" s="1411"/>
      <c r="Y3" s="1411"/>
      <c r="Z3" s="1411"/>
      <c r="AA3" s="1411"/>
      <c r="AB3" s="1411"/>
      <c r="AC3" s="1411"/>
      <c r="AD3" s="1411"/>
    </row>
    <row r="4" spans="1:30">
      <c r="P4" s="1411"/>
      <c r="Q4" s="1411"/>
      <c r="R4" s="1411"/>
      <c r="S4" s="1411"/>
      <c r="T4" s="1411"/>
      <c r="U4" s="1411"/>
      <c r="V4" s="1411"/>
      <c r="X4" s="1411"/>
      <c r="Y4" s="1411"/>
      <c r="Z4" s="1411"/>
      <c r="AA4" s="1411"/>
      <c r="AB4" s="1411"/>
      <c r="AC4" s="1411"/>
      <c r="AD4" s="1411"/>
    </row>
    <row r="5" spans="1:30" s="42" customFormat="1">
      <c r="A5" s="1404" t="s">
        <v>4</v>
      </c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T5" s="26"/>
      <c r="U5" s="26"/>
      <c r="V5" s="26"/>
      <c r="W5" s="26"/>
    </row>
    <row r="6" spans="1:30" ht="16.5" thickBot="1">
      <c r="A6" s="44" t="s">
        <v>5</v>
      </c>
      <c r="B6" s="1412" t="s">
        <v>6</v>
      </c>
      <c r="C6" s="1413">
        <v>45292</v>
      </c>
      <c r="D6" s="1413">
        <v>45323</v>
      </c>
      <c r="E6" s="1413">
        <v>45352</v>
      </c>
      <c r="F6" s="1413">
        <v>45383</v>
      </c>
      <c r="G6" s="1413">
        <v>45413</v>
      </c>
      <c r="H6" s="1413">
        <v>45444</v>
      </c>
      <c r="I6" s="1413">
        <v>45474</v>
      </c>
      <c r="J6" s="1413">
        <v>45505</v>
      </c>
      <c r="K6" s="1413">
        <v>45536</v>
      </c>
      <c r="L6" s="1413">
        <v>45566</v>
      </c>
      <c r="M6" s="1413">
        <v>45597</v>
      </c>
      <c r="N6" s="1413">
        <v>45627</v>
      </c>
      <c r="O6" s="705" t="s">
        <v>3</v>
      </c>
    </row>
    <row r="7" spans="1:30" ht="8.25" customHeight="1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T7" s="383"/>
      <c r="U7" s="383"/>
    </row>
    <row r="8" spans="1:30" ht="8.25" customHeight="1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T8" s="383"/>
      <c r="U8" s="383"/>
    </row>
    <row r="9" spans="1:30">
      <c r="A9" s="66">
        <v>1</v>
      </c>
      <c r="B9" s="26" t="s">
        <v>1053</v>
      </c>
      <c r="C9" s="1089">
        <v>0</v>
      </c>
      <c r="D9" s="1089">
        <v>0</v>
      </c>
      <c r="E9" s="1089">
        <v>0</v>
      </c>
      <c r="F9" s="1089">
        <v>0</v>
      </c>
      <c r="G9" s="1089">
        <v>0</v>
      </c>
      <c r="H9" s="1089">
        <v>0</v>
      </c>
      <c r="I9" s="1089">
        <v>0</v>
      </c>
      <c r="J9" s="1089">
        <v>0</v>
      </c>
      <c r="K9" s="1089">
        <v>0</v>
      </c>
      <c r="L9" s="1089">
        <v>0</v>
      </c>
      <c r="M9" s="1089">
        <v>0</v>
      </c>
      <c r="N9" s="1089">
        <v>0</v>
      </c>
      <c r="O9" s="1089">
        <f>SUM(C9:N9)</f>
        <v>0</v>
      </c>
      <c r="T9" s="488"/>
      <c r="U9" s="383"/>
    </row>
    <row r="10" spans="1:30">
      <c r="A10" s="66">
        <v>2</v>
      </c>
      <c r="B10" s="26" t="s">
        <v>1052</v>
      </c>
      <c r="C10" s="1089">
        <f>'2024 Capital Budget'!E13</f>
        <v>773767.09</v>
      </c>
      <c r="D10" s="1089">
        <f>'2024 Capital Budget'!F13</f>
        <v>773767.09000000008</v>
      </c>
      <c r="E10" s="1089">
        <f>'2024 Capital Budget'!G13</f>
        <v>773767.09000000008</v>
      </c>
      <c r="F10" s="1089">
        <f>'2024 Capital Budget'!H13</f>
        <v>773767.09000000008</v>
      </c>
      <c r="G10" s="1089">
        <f>'2024 Capital Budget'!I13</f>
        <v>773767.09000000008</v>
      </c>
      <c r="H10" s="1089">
        <f>'2024 Capital Budget'!J13</f>
        <v>773767.09000000008</v>
      </c>
      <c r="I10" s="1089">
        <f>'2024 Capital Budget'!K13</f>
        <v>773767.09000000008</v>
      </c>
      <c r="J10" s="1089">
        <f>'2024 Capital Budget'!L13</f>
        <v>773767.09000000008</v>
      </c>
      <c r="K10" s="1089">
        <f>'2024 Capital Budget'!M13</f>
        <v>773767.09000000008</v>
      </c>
      <c r="L10" s="1089">
        <f>'2024 Capital Budget'!N13</f>
        <v>773767.09000000008</v>
      </c>
      <c r="M10" s="1089">
        <f>'2024 Capital Budget'!O13</f>
        <v>773767.09000000008</v>
      </c>
      <c r="N10" s="1089">
        <f>'2024 Capital Budget'!P13</f>
        <v>773767.09000000008</v>
      </c>
      <c r="O10" s="1089">
        <f t="shared" ref="O10:O12" si="0">SUM(C10:N10)</f>
        <v>9285205.0800000001</v>
      </c>
      <c r="T10" s="488"/>
      <c r="U10" s="383"/>
    </row>
    <row r="11" spans="1:30">
      <c r="A11" s="66">
        <v>3</v>
      </c>
      <c r="B11" s="26" t="s">
        <v>78</v>
      </c>
      <c r="C11" s="1089">
        <v>0</v>
      </c>
      <c r="D11" s="1089">
        <v>0</v>
      </c>
      <c r="E11" s="1089">
        <v>0</v>
      </c>
      <c r="F11" s="1089">
        <v>0</v>
      </c>
      <c r="G11" s="1089">
        <v>0</v>
      </c>
      <c r="H11" s="1089">
        <v>0</v>
      </c>
      <c r="I11" s="1089">
        <v>0</v>
      </c>
      <c r="J11" s="1089">
        <v>0</v>
      </c>
      <c r="K11" s="1089">
        <v>0</v>
      </c>
      <c r="L11" s="1089">
        <v>0</v>
      </c>
      <c r="M11" s="1089">
        <v>0</v>
      </c>
      <c r="N11" s="1089">
        <v>0</v>
      </c>
      <c r="O11" s="1089">
        <f t="shared" si="0"/>
        <v>0</v>
      </c>
      <c r="T11" s="583"/>
      <c r="U11" s="383"/>
    </row>
    <row r="12" spans="1:30">
      <c r="A12" s="66">
        <v>4</v>
      </c>
      <c r="B12" s="26" t="s">
        <v>1060</v>
      </c>
      <c r="C12" s="1090">
        <f>'2024 Capital Budget'!E12</f>
        <v>1008398.54</v>
      </c>
      <c r="D12" s="1090">
        <f>'2024 Capital Budget'!F12</f>
        <v>1008398.7600000001</v>
      </c>
      <c r="E12" s="1090">
        <f>'2024 Capital Budget'!G12</f>
        <v>1008398.7600000001</v>
      </c>
      <c r="F12" s="1090">
        <f>'2024 Capital Budget'!H12</f>
        <v>1008398.7600000001</v>
      </c>
      <c r="G12" s="1090">
        <f>'2024 Capital Budget'!I12</f>
        <v>1008398.7600000001</v>
      </c>
      <c r="H12" s="1090">
        <f>'2024 Capital Budget'!J12</f>
        <v>1008398.7600000001</v>
      </c>
      <c r="I12" s="1090">
        <f>'2024 Capital Budget'!K12</f>
        <v>1008398.7600000001</v>
      </c>
      <c r="J12" s="1090">
        <f>'2024 Capital Budget'!L12</f>
        <v>1008398.7600000001</v>
      </c>
      <c r="K12" s="1090">
        <f>'2024 Capital Budget'!M12</f>
        <v>1008398.7600000001</v>
      </c>
      <c r="L12" s="1090">
        <f>'2024 Capital Budget'!N12</f>
        <v>1008398.7600000001</v>
      </c>
      <c r="M12" s="1090">
        <f>'2024 Capital Budget'!O12</f>
        <v>1008398.7600000001</v>
      </c>
      <c r="N12" s="1090">
        <f>'2024 Capital Budget'!P12</f>
        <v>1008398.7600000001</v>
      </c>
      <c r="O12" s="1090">
        <f t="shared" si="0"/>
        <v>12100784.9</v>
      </c>
      <c r="T12" s="583"/>
      <c r="U12" s="383"/>
    </row>
    <row r="13" spans="1:30" ht="17.25" customHeight="1">
      <c r="A13" s="66">
        <v>5</v>
      </c>
      <c r="B13" s="879" t="s">
        <v>860</v>
      </c>
      <c r="C13" s="1091">
        <f t="shared" ref="C13:O13" si="1">SUM(C9:C12)</f>
        <v>1782165.63</v>
      </c>
      <c r="D13" s="1091">
        <f t="shared" si="1"/>
        <v>1782165.85</v>
      </c>
      <c r="E13" s="1091">
        <f t="shared" si="1"/>
        <v>1782165.85</v>
      </c>
      <c r="F13" s="1091">
        <f t="shared" si="1"/>
        <v>1782165.85</v>
      </c>
      <c r="G13" s="1091">
        <f t="shared" si="1"/>
        <v>1782165.85</v>
      </c>
      <c r="H13" s="1091">
        <f t="shared" si="1"/>
        <v>1782165.85</v>
      </c>
      <c r="I13" s="1091">
        <f t="shared" si="1"/>
        <v>1782165.85</v>
      </c>
      <c r="J13" s="1091">
        <f t="shared" si="1"/>
        <v>1782165.85</v>
      </c>
      <c r="K13" s="1091">
        <f t="shared" si="1"/>
        <v>1782165.85</v>
      </c>
      <c r="L13" s="1091">
        <f t="shared" si="1"/>
        <v>1782165.85</v>
      </c>
      <c r="M13" s="1091">
        <f t="shared" si="1"/>
        <v>1782165.85</v>
      </c>
      <c r="N13" s="1091">
        <f t="shared" si="1"/>
        <v>1782165.85</v>
      </c>
      <c r="O13" s="1091">
        <f t="shared" si="1"/>
        <v>21385989.98</v>
      </c>
      <c r="T13" s="583"/>
      <c r="U13" s="383"/>
    </row>
    <row r="14" spans="1:30"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T14" s="383"/>
      <c r="U14" s="383"/>
    </row>
    <row r="15" spans="1:30">
      <c r="A15" s="66">
        <v>6</v>
      </c>
      <c r="B15" s="26" t="s">
        <v>1054</v>
      </c>
      <c r="C15" s="1089">
        <f>'Retirements 2024'!C4</f>
        <v>0</v>
      </c>
      <c r="D15" s="1089">
        <f>'Retirements 2024'!D4</f>
        <v>0</v>
      </c>
      <c r="E15" s="1089">
        <f>'Retirements 2024'!E4</f>
        <v>0</v>
      </c>
      <c r="F15" s="1089">
        <f>'Retirements 2024'!F4</f>
        <v>0</v>
      </c>
      <c r="G15" s="1089">
        <f>'Retirements 2024'!G4</f>
        <v>0</v>
      </c>
      <c r="H15" s="1089">
        <f>'Retirements 2024'!H4</f>
        <v>0</v>
      </c>
      <c r="I15" s="1089">
        <f>'Retirements 2024'!I4</f>
        <v>0</v>
      </c>
      <c r="J15" s="1089">
        <f>'Retirements 2024'!J4</f>
        <v>0</v>
      </c>
      <c r="K15" s="1089">
        <f>'Retirements 2024'!K4</f>
        <v>0</v>
      </c>
      <c r="L15" s="1089">
        <f>'Retirements 2024'!L4</f>
        <v>0</v>
      </c>
      <c r="M15" s="1089">
        <f>'Retirements 2024'!M4</f>
        <v>0</v>
      </c>
      <c r="N15" s="1089">
        <f>'Retirements 2024'!N4</f>
        <v>0</v>
      </c>
      <c r="O15" s="1089">
        <f>SUM(C15:N15)</f>
        <v>0</v>
      </c>
      <c r="T15" s="383"/>
      <c r="U15" s="383"/>
    </row>
    <row r="16" spans="1:30">
      <c r="A16" s="66">
        <v>7</v>
      </c>
      <c r="B16" s="26" t="s">
        <v>1057</v>
      </c>
      <c r="C16" s="1089">
        <f>'Retirements 2024'!C5</f>
        <v>0</v>
      </c>
      <c r="D16" s="1089">
        <f>'Retirements 2024'!D5</f>
        <v>0</v>
      </c>
      <c r="E16" s="1089">
        <f>'Retirements 2024'!E5</f>
        <v>0</v>
      </c>
      <c r="F16" s="1089">
        <f>'Retirements 2024'!F5</f>
        <v>0</v>
      </c>
      <c r="G16" s="1089">
        <f>'Retirements 2024'!G5</f>
        <v>0</v>
      </c>
      <c r="H16" s="1089">
        <f>'Retirements 2024'!H5</f>
        <v>0</v>
      </c>
      <c r="I16" s="1089">
        <f>'Retirements 2024'!I5</f>
        <v>0</v>
      </c>
      <c r="J16" s="1089">
        <f>'Retirements 2024'!J5</f>
        <v>0</v>
      </c>
      <c r="K16" s="1089">
        <f>'Retirements 2024'!K5</f>
        <v>0</v>
      </c>
      <c r="L16" s="1089">
        <f>'Retirements 2024'!L5</f>
        <v>0</v>
      </c>
      <c r="M16" s="1089">
        <f>'Retirements 2024'!M5</f>
        <v>0</v>
      </c>
      <c r="N16" s="1089">
        <f>'Retirements 2024'!N5</f>
        <v>0</v>
      </c>
      <c r="O16" s="1089">
        <f t="shared" ref="O16:O18" si="2">SUM(C16:N16)</f>
        <v>0</v>
      </c>
      <c r="T16" s="383"/>
      <c r="U16" s="383"/>
    </row>
    <row r="17" spans="1:21" s="385" customFormat="1">
      <c r="A17" s="66">
        <v>8</v>
      </c>
      <c r="B17" s="385" t="s">
        <v>71</v>
      </c>
      <c r="C17" s="1089">
        <f>'Retirements 2024'!C6</f>
        <v>0</v>
      </c>
      <c r="D17" s="1089">
        <f>'Retirements 2024'!D6</f>
        <v>0</v>
      </c>
      <c r="E17" s="1089">
        <f>'Retirements 2024'!E6</f>
        <v>0</v>
      </c>
      <c r="F17" s="1089">
        <f>'Retirements 2024'!F6</f>
        <v>0</v>
      </c>
      <c r="G17" s="1089">
        <f>'Retirements 2024'!G6</f>
        <v>0</v>
      </c>
      <c r="H17" s="1089">
        <f>'Retirements 2024'!H6</f>
        <v>0</v>
      </c>
      <c r="I17" s="1089">
        <f>'Retirements 2024'!I6</f>
        <v>0</v>
      </c>
      <c r="J17" s="1089">
        <f>'Retirements 2024'!J6</f>
        <v>0</v>
      </c>
      <c r="K17" s="1089">
        <f>'Retirements 2024'!K6</f>
        <v>0</v>
      </c>
      <c r="L17" s="1089">
        <f>'Retirements 2024'!L6</f>
        <v>0</v>
      </c>
      <c r="M17" s="1089">
        <f>'Retirements 2024'!M6</f>
        <v>0</v>
      </c>
      <c r="N17" s="1089">
        <f>'Retirements 2024'!N6</f>
        <v>0</v>
      </c>
      <c r="O17" s="1089">
        <f t="shared" si="2"/>
        <v>0</v>
      </c>
      <c r="T17" s="1415"/>
      <c r="U17" s="1415"/>
    </row>
    <row r="18" spans="1:21">
      <c r="A18" s="66">
        <v>9</v>
      </c>
      <c r="B18" s="26" t="s">
        <v>1061</v>
      </c>
      <c r="C18" s="1090">
        <f>'Retirements 2024'!C7</f>
        <v>0</v>
      </c>
      <c r="D18" s="1090">
        <f>'Retirements 2024'!D7</f>
        <v>0</v>
      </c>
      <c r="E18" s="1090">
        <f>'Retirements 2024'!E7</f>
        <v>0</v>
      </c>
      <c r="F18" s="1090">
        <f>'Retirements 2024'!F7</f>
        <v>0</v>
      </c>
      <c r="G18" s="1090">
        <f>'Retirements 2024'!G7</f>
        <v>0</v>
      </c>
      <c r="H18" s="1090">
        <f>'Retirements 2024'!H7</f>
        <v>0</v>
      </c>
      <c r="I18" s="1090">
        <f>'Retirements 2024'!I7</f>
        <v>0</v>
      </c>
      <c r="J18" s="1090">
        <f>'Retirements 2024'!J7</f>
        <v>0</v>
      </c>
      <c r="K18" s="1090">
        <f>'Retirements 2024'!K7</f>
        <v>0</v>
      </c>
      <c r="L18" s="1090">
        <f>'Retirements 2024'!L7</f>
        <v>0</v>
      </c>
      <c r="M18" s="1090">
        <f>'Retirements 2024'!M7</f>
        <v>0</v>
      </c>
      <c r="N18" s="1090">
        <f>'Retirements 2024'!N7</f>
        <v>0</v>
      </c>
      <c r="O18" s="1090">
        <f t="shared" si="2"/>
        <v>0</v>
      </c>
      <c r="T18" s="383"/>
      <c r="U18" s="383"/>
    </row>
    <row r="19" spans="1:21" ht="17.25" customHeight="1">
      <c r="A19" s="66">
        <v>10</v>
      </c>
      <c r="B19" s="879" t="s">
        <v>22</v>
      </c>
      <c r="C19" s="1092">
        <f t="shared" ref="C19:O19" si="3">SUM(C15:C18)</f>
        <v>0</v>
      </c>
      <c r="D19" s="1092">
        <f t="shared" si="3"/>
        <v>0</v>
      </c>
      <c r="E19" s="1092">
        <f t="shared" si="3"/>
        <v>0</v>
      </c>
      <c r="F19" s="1092">
        <f t="shared" si="3"/>
        <v>0</v>
      </c>
      <c r="G19" s="1092">
        <f t="shared" si="3"/>
        <v>0</v>
      </c>
      <c r="H19" s="1092">
        <f t="shared" si="3"/>
        <v>0</v>
      </c>
      <c r="I19" s="1092">
        <f t="shared" si="3"/>
        <v>0</v>
      </c>
      <c r="J19" s="1092">
        <f t="shared" si="3"/>
        <v>0</v>
      </c>
      <c r="K19" s="1092">
        <f t="shared" si="3"/>
        <v>0</v>
      </c>
      <c r="L19" s="1092">
        <f t="shared" si="3"/>
        <v>0</v>
      </c>
      <c r="M19" s="1092">
        <f t="shared" si="3"/>
        <v>0</v>
      </c>
      <c r="N19" s="1092">
        <f t="shared" si="3"/>
        <v>0</v>
      </c>
      <c r="O19" s="1092">
        <f t="shared" si="3"/>
        <v>0</v>
      </c>
      <c r="T19" s="383"/>
      <c r="U19" s="383"/>
    </row>
    <row r="20" spans="1:21">
      <c r="A20" s="66"/>
      <c r="C20" s="1089"/>
      <c r="D20" s="1089"/>
      <c r="E20" s="1089"/>
      <c r="F20" s="1089"/>
      <c r="G20" s="1089"/>
      <c r="H20" s="1089"/>
      <c r="I20" s="1089"/>
      <c r="J20" s="1089"/>
      <c r="K20" s="1089"/>
      <c r="L20" s="1089"/>
      <c r="M20" s="1089"/>
      <c r="N20" s="1089"/>
      <c r="O20" s="1089"/>
      <c r="T20" s="383"/>
      <c r="U20" s="383"/>
    </row>
    <row r="21" spans="1:21">
      <c r="A21" s="66">
        <v>11</v>
      </c>
      <c r="B21" s="26" t="s">
        <v>1055</v>
      </c>
      <c r="C21" s="1089">
        <f>'Retirements 2024'!C12</f>
        <v>0</v>
      </c>
      <c r="D21" s="1089">
        <f>'Retirements 2024'!D12</f>
        <v>0</v>
      </c>
      <c r="E21" s="1089">
        <f>'Retirements 2024'!E12</f>
        <v>0</v>
      </c>
      <c r="F21" s="1089">
        <f>'Retirements 2024'!F12</f>
        <v>0</v>
      </c>
      <c r="G21" s="1089">
        <f>'Retirements 2024'!G12</f>
        <v>0</v>
      </c>
      <c r="H21" s="1089">
        <f>'Retirements 2024'!H12</f>
        <v>0</v>
      </c>
      <c r="I21" s="1089">
        <f>'Retirements 2024'!I12</f>
        <v>0</v>
      </c>
      <c r="J21" s="1089">
        <f>'Retirements 2024'!J12</f>
        <v>0</v>
      </c>
      <c r="K21" s="1089">
        <f>'Retirements 2024'!K12</f>
        <v>0</v>
      </c>
      <c r="L21" s="1089">
        <f>'Retirements 2024'!L12</f>
        <v>0</v>
      </c>
      <c r="M21" s="1089">
        <f>'Retirements 2024'!M12</f>
        <v>0</v>
      </c>
      <c r="N21" s="1089">
        <f>'Retirements 2024'!N12</f>
        <v>0</v>
      </c>
      <c r="O21" s="1089">
        <f>SUM(C21:N21)</f>
        <v>0</v>
      </c>
      <c r="T21" s="383"/>
      <c r="U21" s="383"/>
    </row>
    <row r="22" spans="1:21">
      <c r="A22" s="66">
        <v>12</v>
      </c>
      <c r="B22" s="26" t="s">
        <v>1058</v>
      </c>
      <c r="C22" s="1089">
        <f>'Retirements 2024'!C13</f>
        <v>0</v>
      </c>
      <c r="D22" s="1089">
        <f>'Retirements 2024'!D13</f>
        <v>0</v>
      </c>
      <c r="E22" s="1089">
        <f>'Retirements 2024'!E13</f>
        <v>0</v>
      </c>
      <c r="F22" s="1089">
        <f>'Retirements 2024'!F13</f>
        <v>0</v>
      </c>
      <c r="G22" s="1089">
        <f>'Retirements 2024'!G13</f>
        <v>0</v>
      </c>
      <c r="H22" s="1089">
        <f>'Retirements 2024'!H13</f>
        <v>0</v>
      </c>
      <c r="I22" s="1089">
        <f>'Retirements 2024'!I13</f>
        <v>0</v>
      </c>
      <c r="J22" s="1089">
        <f>'Retirements 2024'!J13</f>
        <v>0</v>
      </c>
      <c r="K22" s="1089">
        <f>'Retirements 2024'!K13</f>
        <v>0</v>
      </c>
      <c r="L22" s="1089">
        <f>'Retirements 2024'!L13</f>
        <v>0</v>
      </c>
      <c r="M22" s="1089">
        <f>'Retirements 2024'!M13</f>
        <v>0</v>
      </c>
      <c r="N22" s="1089">
        <f>'Retirements 2024'!N13</f>
        <v>0</v>
      </c>
      <c r="O22" s="1089">
        <f t="shared" ref="O22:O24" si="4">SUM(C22:N22)</f>
        <v>0</v>
      </c>
      <c r="T22" s="383"/>
      <c r="U22" s="383"/>
    </row>
    <row r="23" spans="1:21">
      <c r="A23" s="66">
        <v>13</v>
      </c>
      <c r="B23" s="26" t="s">
        <v>644</v>
      </c>
      <c r="C23" s="1089">
        <f>'Retirements 2024'!C14</f>
        <v>0</v>
      </c>
      <c r="D23" s="1089">
        <f>'Retirements 2024'!D14</f>
        <v>0</v>
      </c>
      <c r="E23" s="1089">
        <f>'Retirements 2024'!E14</f>
        <v>0</v>
      </c>
      <c r="F23" s="1089">
        <f>'Retirements 2024'!F14</f>
        <v>0</v>
      </c>
      <c r="G23" s="1089">
        <f>'Retirements 2024'!G14</f>
        <v>0</v>
      </c>
      <c r="H23" s="1089">
        <f>'Retirements 2024'!H14</f>
        <v>0</v>
      </c>
      <c r="I23" s="1089">
        <f>'Retirements 2024'!I14</f>
        <v>0</v>
      </c>
      <c r="J23" s="1089">
        <f>'Retirements 2024'!J14</f>
        <v>0</v>
      </c>
      <c r="K23" s="1089">
        <f>'Retirements 2024'!K14</f>
        <v>0</v>
      </c>
      <c r="L23" s="1089">
        <f>'Retirements 2024'!L14</f>
        <v>0</v>
      </c>
      <c r="M23" s="1089">
        <f>'Retirements 2024'!M14</f>
        <v>0</v>
      </c>
      <c r="N23" s="1089">
        <f>'Retirements 2024'!N14</f>
        <v>0</v>
      </c>
      <c r="O23" s="1089">
        <f t="shared" si="4"/>
        <v>0</v>
      </c>
      <c r="T23" s="383"/>
      <c r="U23" s="383"/>
    </row>
    <row r="24" spans="1:21">
      <c r="A24" s="66">
        <v>14</v>
      </c>
      <c r="B24" s="26" t="s">
        <v>1062</v>
      </c>
      <c r="C24" s="1090">
        <f>'Retirements 2024'!C15</f>
        <v>0</v>
      </c>
      <c r="D24" s="1090">
        <f>'Retirements 2024'!D15</f>
        <v>0</v>
      </c>
      <c r="E24" s="1090">
        <f>'Retirements 2024'!E15</f>
        <v>0</v>
      </c>
      <c r="F24" s="1090">
        <f>'Retirements 2024'!F15</f>
        <v>0</v>
      </c>
      <c r="G24" s="1090">
        <f>'Retirements 2024'!G15</f>
        <v>0</v>
      </c>
      <c r="H24" s="1090">
        <f>'Retirements 2024'!H15</f>
        <v>0</v>
      </c>
      <c r="I24" s="1090">
        <f>'Retirements 2024'!I15</f>
        <v>0</v>
      </c>
      <c r="J24" s="1090">
        <f>'Retirements 2024'!J15</f>
        <v>0</v>
      </c>
      <c r="K24" s="1090">
        <f>'Retirements 2024'!K15</f>
        <v>0</v>
      </c>
      <c r="L24" s="1090">
        <f>'Retirements 2024'!L15</f>
        <v>0</v>
      </c>
      <c r="M24" s="1090">
        <f>'Retirements 2024'!M15</f>
        <v>0</v>
      </c>
      <c r="N24" s="1090">
        <f>'Retirements 2024'!N15</f>
        <v>0</v>
      </c>
      <c r="O24" s="1090">
        <f t="shared" si="4"/>
        <v>0</v>
      </c>
      <c r="T24" s="383"/>
      <c r="U24" s="383"/>
    </row>
    <row r="25" spans="1:21" ht="17.25" customHeight="1">
      <c r="A25" s="66">
        <v>15</v>
      </c>
      <c r="B25" s="879" t="s">
        <v>933</v>
      </c>
      <c r="C25" s="1092">
        <f t="shared" ref="C25:O25" si="5">SUM(C21:C24)</f>
        <v>0</v>
      </c>
      <c r="D25" s="1092">
        <f t="shared" si="5"/>
        <v>0</v>
      </c>
      <c r="E25" s="1092">
        <f t="shared" si="5"/>
        <v>0</v>
      </c>
      <c r="F25" s="1092">
        <f t="shared" si="5"/>
        <v>0</v>
      </c>
      <c r="G25" s="1092">
        <f t="shared" si="5"/>
        <v>0</v>
      </c>
      <c r="H25" s="1092">
        <f t="shared" si="5"/>
        <v>0</v>
      </c>
      <c r="I25" s="1092">
        <f t="shared" si="5"/>
        <v>0</v>
      </c>
      <c r="J25" s="1092">
        <f t="shared" si="5"/>
        <v>0</v>
      </c>
      <c r="K25" s="1092">
        <f t="shared" si="5"/>
        <v>0</v>
      </c>
      <c r="L25" s="1092">
        <f t="shared" si="5"/>
        <v>0</v>
      </c>
      <c r="M25" s="1092">
        <f t="shared" si="5"/>
        <v>0</v>
      </c>
      <c r="N25" s="1092">
        <f t="shared" si="5"/>
        <v>0</v>
      </c>
      <c r="O25" s="1092">
        <f t="shared" si="5"/>
        <v>0</v>
      </c>
      <c r="T25" s="383"/>
      <c r="U25" s="383"/>
    </row>
    <row r="26" spans="1:21">
      <c r="A26" s="66"/>
      <c r="C26" s="1089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1089"/>
      <c r="T26" s="383"/>
      <c r="U26" s="383"/>
    </row>
    <row r="27" spans="1:21" ht="16.5" customHeight="1">
      <c r="A27" s="66">
        <v>16</v>
      </c>
      <c r="B27" s="26" t="s">
        <v>1056</v>
      </c>
      <c r="C27" s="442">
        <v>0</v>
      </c>
      <c r="D27" s="442">
        <v>0</v>
      </c>
      <c r="E27" s="442">
        <v>0</v>
      </c>
      <c r="F27" s="442">
        <v>0</v>
      </c>
      <c r="G27" s="442">
        <v>0</v>
      </c>
      <c r="H27" s="442">
        <v>0</v>
      </c>
      <c r="I27" s="442">
        <v>0</v>
      </c>
      <c r="J27" s="442">
        <v>0</v>
      </c>
      <c r="K27" s="442">
        <v>0</v>
      </c>
      <c r="L27" s="442">
        <v>0</v>
      </c>
      <c r="M27" s="442">
        <v>0</v>
      </c>
      <c r="N27" s="442">
        <v>0</v>
      </c>
      <c r="O27" s="1089">
        <f>SUM(C27:N27)</f>
        <v>0</v>
      </c>
      <c r="T27" s="488"/>
      <c r="U27" s="383"/>
    </row>
    <row r="28" spans="1:21">
      <c r="A28" s="66">
        <v>17</v>
      </c>
      <c r="B28" s="26" t="s">
        <v>1059</v>
      </c>
      <c r="C28" s="442">
        <f>'2024 Capital Budget'!E23</f>
        <v>24914.77</v>
      </c>
      <c r="D28" s="442">
        <f>'2024 Capital Budget'!F23</f>
        <v>24914.75</v>
      </c>
      <c r="E28" s="442">
        <f>'2024 Capital Budget'!G23</f>
        <v>24914.75</v>
      </c>
      <c r="F28" s="442">
        <f>'2024 Capital Budget'!H23</f>
        <v>24914.75</v>
      </c>
      <c r="G28" s="442">
        <f>'2024 Capital Budget'!I23</f>
        <v>24914.75</v>
      </c>
      <c r="H28" s="442">
        <f>'2024 Capital Budget'!J23</f>
        <v>24914.75</v>
      </c>
      <c r="I28" s="442">
        <f>'2024 Capital Budget'!K23</f>
        <v>24914.75</v>
      </c>
      <c r="J28" s="442">
        <f>'2024 Capital Budget'!L23</f>
        <v>24914.75</v>
      </c>
      <c r="K28" s="442">
        <f>'2024 Capital Budget'!M23</f>
        <v>24914.75</v>
      </c>
      <c r="L28" s="442">
        <f>'2024 Capital Budget'!N23</f>
        <v>24914.75</v>
      </c>
      <c r="M28" s="442">
        <f>'2024 Capital Budget'!O23</f>
        <v>24914.75</v>
      </c>
      <c r="N28" s="442">
        <f>'2024 Capital Budget'!P23</f>
        <v>24914.75</v>
      </c>
      <c r="O28" s="1089">
        <f t="shared" ref="O28:O29" si="6">SUM(C28:N28)</f>
        <v>298977.02</v>
      </c>
      <c r="T28" s="488"/>
      <c r="U28" s="383"/>
    </row>
    <row r="29" spans="1:21" s="385" customFormat="1">
      <c r="A29" s="66">
        <v>18</v>
      </c>
      <c r="B29" s="385" t="s">
        <v>81</v>
      </c>
      <c r="C29" s="1089">
        <v>0</v>
      </c>
      <c r="D29" s="1089">
        <v>0</v>
      </c>
      <c r="E29" s="1089">
        <v>0</v>
      </c>
      <c r="F29" s="1089">
        <v>0</v>
      </c>
      <c r="G29" s="1089">
        <v>0</v>
      </c>
      <c r="H29" s="1089">
        <v>0</v>
      </c>
      <c r="I29" s="1089">
        <v>0</v>
      </c>
      <c r="J29" s="1089">
        <v>0</v>
      </c>
      <c r="K29" s="1089">
        <v>0</v>
      </c>
      <c r="L29" s="1089">
        <v>0</v>
      </c>
      <c r="M29" s="1089">
        <v>0</v>
      </c>
      <c r="N29" s="1089">
        <v>0</v>
      </c>
      <c r="O29" s="1089">
        <f t="shared" si="6"/>
        <v>0</v>
      </c>
      <c r="T29" s="1415"/>
      <c r="U29" s="1415"/>
    </row>
    <row r="30" spans="1:21">
      <c r="A30" s="66">
        <v>19</v>
      </c>
      <c r="B30" s="26" t="s">
        <v>1063</v>
      </c>
      <c r="C30" s="1090">
        <f>'2024 Capital Budget'!E22</f>
        <v>0</v>
      </c>
      <c r="D30" s="1090">
        <f>'2024 Capital Budget'!F22</f>
        <v>0</v>
      </c>
      <c r="E30" s="1090">
        <f>'2024 Capital Budget'!G22</f>
        <v>0</v>
      </c>
      <c r="F30" s="1090">
        <f>'2024 Capital Budget'!H22</f>
        <v>0</v>
      </c>
      <c r="G30" s="1090">
        <f>'2024 Capital Budget'!I22</f>
        <v>0</v>
      </c>
      <c r="H30" s="1090">
        <f>'2024 Capital Budget'!J22</f>
        <v>0</v>
      </c>
      <c r="I30" s="1090">
        <f>'2024 Capital Budget'!K22</f>
        <v>0</v>
      </c>
      <c r="J30" s="1090">
        <f>'2024 Capital Budget'!L22</f>
        <v>0</v>
      </c>
      <c r="K30" s="1090">
        <f>'2024 Capital Budget'!M22</f>
        <v>0</v>
      </c>
      <c r="L30" s="1090">
        <f>'2024 Capital Budget'!N22</f>
        <v>0</v>
      </c>
      <c r="M30" s="1090">
        <f>'2024 Capital Budget'!O22</f>
        <v>0</v>
      </c>
      <c r="N30" s="1090">
        <f>'2024 Capital Budget'!P22</f>
        <v>0</v>
      </c>
      <c r="O30" s="1090">
        <f>SUM(C30:N30)</f>
        <v>0</v>
      </c>
      <c r="T30" s="383"/>
      <c r="U30" s="383"/>
    </row>
    <row r="31" spans="1:21" ht="17.25" customHeight="1">
      <c r="A31" s="66">
        <v>20</v>
      </c>
      <c r="B31" s="879" t="s">
        <v>19</v>
      </c>
      <c r="C31" s="1091">
        <f>SUM(C27:C30)</f>
        <v>24914.77</v>
      </c>
      <c r="D31" s="1091">
        <f t="shared" ref="D31:N31" si="7">SUM(D27:D30)</f>
        <v>24914.75</v>
      </c>
      <c r="E31" s="1091">
        <f t="shared" si="7"/>
        <v>24914.75</v>
      </c>
      <c r="F31" s="1091">
        <f t="shared" si="7"/>
        <v>24914.75</v>
      </c>
      <c r="G31" s="1091">
        <f t="shared" si="7"/>
        <v>24914.75</v>
      </c>
      <c r="H31" s="1091">
        <f t="shared" si="7"/>
        <v>24914.75</v>
      </c>
      <c r="I31" s="1091">
        <f t="shared" si="7"/>
        <v>24914.75</v>
      </c>
      <c r="J31" s="1091">
        <f t="shared" si="7"/>
        <v>24914.75</v>
      </c>
      <c r="K31" s="1091">
        <f t="shared" si="7"/>
        <v>24914.75</v>
      </c>
      <c r="L31" s="1091">
        <f t="shared" si="7"/>
        <v>24914.75</v>
      </c>
      <c r="M31" s="1091">
        <f t="shared" si="7"/>
        <v>24914.75</v>
      </c>
      <c r="N31" s="1091">
        <f t="shared" si="7"/>
        <v>24914.75</v>
      </c>
      <c r="O31" s="1091">
        <f>SUM(O27:O30)</f>
        <v>298977.02</v>
      </c>
      <c r="T31" s="383"/>
      <c r="U31" s="383"/>
    </row>
    <row r="32" spans="1:21">
      <c r="A32" s="66"/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T32" s="383"/>
      <c r="U32" s="383"/>
    </row>
    <row r="33" spans="1:21" ht="17.25" customHeight="1">
      <c r="A33" s="66">
        <v>21</v>
      </c>
      <c r="B33" s="26" t="s">
        <v>801</v>
      </c>
      <c r="C33" s="1091">
        <f>'COS Budget 2024'!F26</f>
        <v>73125.290000000008</v>
      </c>
      <c r="D33" s="1091">
        <f>'COS Budget 2024'!G26</f>
        <v>70792.47</v>
      </c>
      <c r="E33" s="1091">
        <f>'COS Budget 2024'!H26</f>
        <v>74109.53</v>
      </c>
      <c r="F33" s="1091">
        <f>'COS Budget 2024'!I26</f>
        <v>72446.600000000006</v>
      </c>
      <c r="G33" s="1091">
        <f>'COS Budget 2024'!J26</f>
        <v>73549.070000000007</v>
      </c>
      <c r="H33" s="1091">
        <f>'COS Budget 2024'!K26</f>
        <v>65556.28</v>
      </c>
      <c r="I33" s="1091">
        <f>'COS Budget 2024'!L26</f>
        <v>72067.22</v>
      </c>
      <c r="J33" s="1091">
        <f>'COS Budget 2024'!M26</f>
        <v>74833.17</v>
      </c>
      <c r="K33" s="1091">
        <f>'COS Budget 2024'!N26</f>
        <v>69860.13</v>
      </c>
      <c r="L33" s="1091">
        <f>'COS Budget 2024'!O26</f>
        <v>74520.72</v>
      </c>
      <c r="M33" s="1091">
        <f>'COS Budget 2024'!P26</f>
        <v>63861.68</v>
      </c>
      <c r="N33" s="1091">
        <f>'COS Budget 2024'!Q26</f>
        <v>60531.12</v>
      </c>
      <c r="O33" s="1091">
        <f>SUM(C33:N33)</f>
        <v>845253.28</v>
      </c>
      <c r="T33" s="383"/>
      <c r="U33" s="383"/>
    </row>
    <row r="34" spans="1:21" ht="17.25" customHeight="1">
      <c r="A34" s="66">
        <v>22</v>
      </c>
      <c r="B34" s="26" t="s">
        <v>175</v>
      </c>
      <c r="C34" s="1091">
        <f>'COS Budget 2024'!F29</f>
        <v>85080.43</v>
      </c>
      <c r="D34" s="1091">
        <f>'COS Budget 2024'!G29</f>
        <v>85080.43</v>
      </c>
      <c r="E34" s="1091">
        <f>'COS Budget 2024'!H29</f>
        <v>85080.43</v>
      </c>
      <c r="F34" s="1091">
        <f>'COS Budget 2024'!I29</f>
        <v>85080.43</v>
      </c>
      <c r="G34" s="1091">
        <f>'COS Budget 2024'!J29</f>
        <v>85080.43</v>
      </c>
      <c r="H34" s="1091">
        <f>'COS Budget 2024'!K29</f>
        <v>85080.43</v>
      </c>
      <c r="I34" s="1091">
        <f>'COS Budget 2024'!L29</f>
        <v>85080.43</v>
      </c>
      <c r="J34" s="1091">
        <f>'COS Budget 2024'!M29</f>
        <v>85080.43</v>
      </c>
      <c r="K34" s="1091">
        <f>'COS Budget 2024'!N29</f>
        <v>85080.43</v>
      </c>
      <c r="L34" s="1091">
        <f>'COS Budget 2024'!O29</f>
        <v>85080.43</v>
      </c>
      <c r="M34" s="1091">
        <f>'COS Budget 2024'!P29</f>
        <v>85080.43</v>
      </c>
      <c r="N34" s="1091">
        <f>'COS Budget 2024'!Q29</f>
        <v>85080.43</v>
      </c>
      <c r="O34" s="1091">
        <f>SUM(C34:N34)</f>
        <v>1020965.1599999997</v>
      </c>
      <c r="T34" s="383"/>
      <c r="U34" s="383"/>
    </row>
    <row r="35" spans="1:21">
      <c r="L35" s="63"/>
      <c r="M35" s="360"/>
    </row>
  </sheetData>
  <printOptions horizontalCentered="1"/>
  <pageMargins left="0.7" right="0.7" top="0.75" bottom="0.75" header="0.3" footer="0.3"/>
  <pageSetup scale="50" orientation="landscape" r:id="rId1"/>
  <headerFooter scaleWithDoc="0" alignWithMargins="0">
    <oddFooter>&amp;R&amp;"Times New Roman,Bold"Exhibit 4
Page 3 of 6</oddFooter>
  </headerFooter>
  <colBreaks count="1" manualBreakCount="1">
    <brk id="15" max="1048575" man="1"/>
  </col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'201807 Bk Depr'!R13</f>
        <v>6945869.3499999996</v>
      </c>
      <c r="H13" s="1">
        <f>1.62%/12</f>
        <v>1.3500000000000003E-3</v>
      </c>
      <c r="J13" s="278">
        <f>F13*H13</f>
        <v>9376.9236225000022</v>
      </c>
      <c r="L13" s="279">
        <f>'Cap&amp;OpEx 2018'!J10</f>
        <v>319635.06</v>
      </c>
      <c r="N13" s="278">
        <f>H13*L13*0.5</f>
        <v>215.75366550000004</v>
      </c>
      <c r="P13" s="278">
        <f>J13+N13</f>
        <v>9592.6772880000026</v>
      </c>
      <c r="R13" s="278">
        <f>L13+F13</f>
        <v>7265504.4099999992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'201807 Bk Depr'!R14</f>
        <v>2832092.97</v>
      </c>
      <c r="H14" s="1">
        <f>3.24%/12</f>
        <v>2.7000000000000006E-3</v>
      </c>
      <c r="J14" s="278">
        <f>F14*H14</f>
        <v>7646.6510190000026</v>
      </c>
      <c r="L14" s="279">
        <f>'Cap&amp;OpEx 2018'!J12</f>
        <v>190760.71999999997</v>
      </c>
      <c r="N14" s="278">
        <f>H14*L14*0.5</f>
        <v>257.526972</v>
      </c>
      <c r="P14" s="278">
        <f>J14+N14</f>
        <v>7904.1779910000023</v>
      </c>
      <c r="R14" s="278">
        <f>L14+F14</f>
        <v>3022853.6900000004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'201807 Bk Depr'!R15</f>
        <v>7210193.0200000014</v>
      </c>
      <c r="H15" s="1">
        <f t="shared" ref="H15:H16" si="1">3.24%/12</f>
        <v>2.7000000000000006E-3</v>
      </c>
      <c r="J15" s="278">
        <f>F15*H15</f>
        <v>19467.521154000009</v>
      </c>
      <c r="L15" s="279">
        <f>'Cap&amp;OpEx 2018'!J13</f>
        <v>0</v>
      </c>
      <c r="N15" s="278">
        <f>H15*L15*0.5</f>
        <v>0</v>
      </c>
      <c r="P15" s="278">
        <f>J15+N15</f>
        <v>19467.521154000009</v>
      </c>
      <c r="R15" s="278">
        <f>L15+F15</f>
        <v>7210193.0200000014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'201807 Bk Depr'!R16</f>
        <v>9122514.790000001</v>
      </c>
      <c r="H16" s="1">
        <f t="shared" si="1"/>
        <v>2.7000000000000006E-3</v>
      </c>
      <c r="J16" s="278">
        <f>F16*H16</f>
        <v>24630.789933000007</v>
      </c>
      <c r="L16" s="280">
        <f>'Cap&amp;OpEx 2018'!J14</f>
        <v>935701.8</v>
      </c>
      <c r="N16" s="278">
        <f>H16*L16*0.5</f>
        <v>1263.1974300000004</v>
      </c>
      <c r="P16" s="278">
        <f>J16+N16</f>
        <v>25893.987363000007</v>
      </c>
      <c r="R16" s="278">
        <f>L16+F16</f>
        <v>10058216.590000002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26110670.130000003</v>
      </c>
      <c r="J17" s="276">
        <f>SUM(J13:J16)</f>
        <v>61121.885728500019</v>
      </c>
      <c r="L17" s="276">
        <f>SUM(L13:L16)</f>
        <v>1446097.58</v>
      </c>
      <c r="N17" s="276">
        <f>SUM(N13:N16)</f>
        <v>1736.4780675000004</v>
      </c>
      <c r="P17" s="276">
        <f>SUM(P13:P16)</f>
        <v>62858.36379600002</v>
      </c>
      <c r="R17" s="276">
        <f>SUM(R13:R16)</f>
        <v>27556767.710000001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'201807 Bk Depr'!R20</f>
        <v>0</v>
      </c>
      <c r="H20" s="1">
        <f>1.62%/12</f>
        <v>1.3500000000000003E-3</v>
      </c>
      <c r="J20" s="278">
        <f>F20*H20</f>
        <v>0</v>
      </c>
      <c r="L20" s="279">
        <f>'Cap&amp;OpEx 2018'!J17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'201807 Bk Depr'!R21</f>
        <v>0</v>
      </c>
      <c r="H21" s="1">
        <f>3.24%/12</f>
        <v>2.7000000000000006E-3</v>
      </c>
      <c r="J21" s="278">
        <f>F21*H21</f>
        <v>0</v>
      </c>
      <c r="L21" s="279">
        <f>'Cap&amp;OpEx 2018'!J19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'201807 Bk Depr'!R22</f>
        <v>0</v>
      </c>
      <c r="H22" s="1">
        <f>3.24%/12</f>
        <v>2.7000000000000006E-3</v>
      </c>
      <c r="J22" s="278">
        <f>F22*H22</f>
        <v>0</v>
      </c>
      <c r="L22" s="280">
        <f>'Cap&amp;OpEx 2018'!J20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26110670.130000003</v>
      </c>
      <c r="J25" s="277">
        <f>J17+J23</f>
        <v>61121.885728500019</v>
      </c>
      <c r="L25" s="277">
        <f>L17+L23</f>
        <v>1446097.58</v>
      </c>
      <c r="N25" s="277">
        <f>N17+N23</f>
        <v>1736.4780675000004</v>
      </c>
      <c r="P25" s="277">
        <f>P17+P23</f>
        <v>62858.36379600002</v>
      </c>
      <c r="R25" s="277">
        <f>R17+R23</f>
        <v>27556767.710000001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'201807 Bk Depr'!R28</f>
        <v>1923003.33</v>
      </c>
      <c r="J28" s="278"/>
      <c r="L28" s="279">
        <f>'Cap&amp;OpEx 2018'!J25</f>
        <v>82.15</v>
      </c>
      <c r="N28" s="278"/>
      <c r="P28" s="278"/>
      <c r="R28" s="278">
        <f>L28+F28</f>
        <v>1923085.48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'201807 Bk Depr'!R29</f>
        <v>748669.51000000013</v>
      </c>
      <c r="J29" s="278"/>
      <c r="L29" s="279">
        <f>'Cap&amp;OpEx 2018'!J27</f>
        <v>130326.40000000001</v>
      </c>
      <c r="N29" s="278"/>
      <c r="P29" s="278"/>
      <c r="R29" s="278">
        <f>L29+F29</f>
        <v>878995.91000000015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'201807 Bk Depr'!R30</f>
        <v>0</v>
      </c>
      <c r="J30" s="278"/>
      <c r="L30" s="280">
        <f>'Cap&amp;OpEx 2018'!J28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2671672.8400000003</v>
      </c>
      <c r="J31" s="276">
        <f>SUM(J28:J30)</f>
        <v>0</v>
      </c>
      <c r="L31" s="276">
        <f>SUM(L28:L30)</f>
        <v>130408.55</v>
      </c>
      <c r="N31" s="276">
        <f>SUM(N28:N30)</f>
        <v>0</v>
      </c>
      <c r="P31" s="276">
        <f>SUM(P28:P30)</f>
        <v>0</v>
      </c>
      <c r="R31" s="276">
        <f>SUM(R28:R30)</f>
        <v>2802081.39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12 of 17&amp;L&amp;1#&amp;"Calibri"&amp;14&amp;K000000Business Use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'201808 Bk Depr'!R13</f>
        <v>7265504.4099999992</v>
      </c>
      <c r="H13" s="1">
        <f>1.62%/12</f>
        <v>1.3500000000000003E-3</v>
      </c>
      <c r="J13" s="278">
        <f>F13*H13</f>
        <v>9808.4309535000011</v>
      </c>
      <c r="L13" s="279">
        <f>'Cap&amp;OpEx 2018'!K10</f>
        <v>659951.6</v>
      </c>
      <c r="N13" s="278">
        <f>H13*L13*0.5</f>
        <v>445.46733000000006</v>
      </c>
      <c r="P13" s="278">
        <f>J13+N13</f>
        <v>10253.898283500001</v>
      </c>
      <c r="R13" s="278">
        <f>L13+F13</f>
        <v>7925456.0099999988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'201808 Bk Depr'!R14</f>
        <v>3022853.6900000004</v>
      </c>
      <c r="H14" s="1">
        <f>3.24%/12</f>
        <v>2.7000000000000006E-3</v>
      </c>
      <c r="J14" s="278">
        <f>F14*H14</f>
        <v>8161.7049630000029</v>
      </c>
      <c r="L14" s="279">
        <f>'Cap&amp;OpEx 2018'!K12</f>
        <v>219448.24</v>
      </c>
      <c r="N14" s="278">
        <f>H14*L14*0.5</f>
        <v>296.25512400000002</v>
      </c>
      <c r="P14" s="278">
        <f>J14+N14</f>
        <v>8457.9600870000031</v>
      </c>
      <c r="R14" s="278">
        <f>L14+F14</f>
        <v>3242301.9300000006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'201808 Bk Depr'!R15</f>
        <v>7210193.0200000014</v>
      </c>
      <c r="H15" s="1">
        <f t="shared" ref="H15:H16" si="1">3.24%/12</f>
        <v>2.7000000000000006E-3</v>
      </c>
      <c r="J15" s="278">
        <f>F15*H15</f>
        <v>19467.521154000009</v>
      </c>
      <c r="L15" s="279">
        <f>'Cap&amp;OpEx 2018'!K13</f>
        <v>0</v>
      </c>
      <c r="N15" s="278">
        <f>H15*L15*0.5</f>
        <v>0</v>
      </c>
      <c r="P15" s="278">
        <f>J15+N15</f>
        <v>19467.521154000009</v>
      </c>
      <c r="R15" s="278">
        <f>L15+F15</f>
        <v>7210193.0200000014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'201808 Bk Depr'!R16</f>
        <v>10058216.590000002</v>
      </c>
      <c r="H16" s="1">
        <f t="shared" si="1"/>
        <v>2.7000000000000006E-3</v>
      </c>
      <c r="J16" s="278">
        <f>F16*H16</f>
        <v>27157.184793000011</v>
      </c>
      <c r="L16" s="280">
        <f>'Cap&amp;OpEx 2018'!K14</f>
        <v>1057508.4100000001</v>
      </c>
      <c r="N16" s="278">
        <f>H16*L16*0.5</f>
        <v>1427.6363535000005</v>
      </c>
      <c r="P16" s="278">
        <f>J16+N16</f>
        <v>28584.821146500013</v>
      </c>
      <c r="R16" s="278">
        <f>L16+F16</f>
        <v>11115725.000000002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27556767.710000001</v>
      </c>
      <c r="J17" s="276">
        <f>SUM(J13:J16)</f>
        <v>64594.841863500027</v>
      </c>
      <c r="L17" s="276">
        <f>SUM(L13:L16)</f>
        <v>1936908.25</v>
      </c>
      <c r="N17" s="276">
        <f>SUM(N13:N16)</f>
        <v>2169.3588075000007</v>
      </c>
      <c r="P17" s="276">
        <f>SUM(P13:P16)</f>
        <v>66764.200671000028</v>
      </c>
      <c r="R17" s="276">
        <f>SUM(R13:R16)</f>
        <v>29493675.960000001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'201808 Bk Depr'!R20</f>
        <v>0</v>
      </c>
      <c r="H20" s="1">
        <f>1.62%/12</f>
        <v>1.3500000000000003E-3</v>
      </c>
      <c r="J20" s="278">
        <f>F20*H20</f>
        <v>0</v>
      </c>
      <c r="L20" s="279">
        <f>'Cap&amp;OpEx 2018'!K17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'201808 Bk Depr'!R21</f>
        <v>0</v>
      </c>
      <c r="H21" s="1">
        <f>3.24%/12</f>
        <v>2.7000000000000006E-3</v>
      </c>
      <c r="J21" s="278">
        <f>F21*H21</f>
        <v>0</v>
      </c>
      <c r="L21" s="279">
        <f>'Cap&amp;OpEx 2018'!K19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'201808 Bk Depr'!R22</f>
        <v>0</v>
      </c>
      <c r="H22" s="1">
        <f>3.24%/12</f>
        <v>2.7000000000000006E-3</v>
      </c>
      <c r="J22" s="278">
        <f>F22*H22</f>
        <v>0</v>
      </c>
      <c r="L22" s="280">
        <f>'Cap&amp;OpEx 2018'!K20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27556767.710000001</v>
      </c>
      <c r="J25" s="277">
        <f>J17+J23</f>
        <v>64594.841863500027</v>
      </c>
      <c r="L25" s="277">
        <f>L17+L23</f>
        <v>1936908.25</v>
      </c>
      <c r="N25" s="277">
        <f>N17+N23</f>
        <v>2169.3588075000007</v>
      </c>
      <c r="P25" s="277">
        <f>P17+P23</f>
        <v>66764.200671000028</v>
      </c>
      <c r="R25" s="277">
        <f>R17+R23</f>
        <v>29493675.960000001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'201808 Bk Depr'!R28</f>
        <v>1923085.48</v>
      </c>
      <c r="J28" s="278"/>
      <c r="L28" s="279">
        <f>'Cap&amp;OpEx 2018'!K25</f>
        <v>320.45</v>
      </c>
      <c r="N28" s="278"/>
      <c r="P28" s="278"/>
      <c r="R28" s="278">
        <f>L28+F28</f>
        <v>1923405.93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'201808 Bk Depr'!R29</f>
        <v>878995.91000000015</v>
      </c>
      <c r="J29" s="278"/>
      <c r="L29" s="279">
        <f>'Cap&amp;OpEx 2018'!K27</f>
        <v>141672.99</v>
      </c>
      <c r="N29" s="278"/>
      <c r="P29" s="278"/>
      <c r="R29" s="278">
        <f>L29+F29</f>
        <v>1020668.9000000001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'201808 Bk Depr'!R30</f>
        <v>0</v>
      </c>
      <c r="J30" s="278"/>
      <c r="L30" s="280">
        <f>'Cap&amp;OpEx 2018'!K28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2802081.39</v>
      </c>
      <c r="J31" s="276">
        <f>SUM(J28:J30)</f>
        <v>0</v>
      </c>
      <c r="L31" s="276">
        <f>SUM(L28:L30)</f>
        <v>141993.44</v>
      </c>
      <c r="N31" s="276">
        <f>SUM(N28:N30)</f>
        <v>0</v>
      </c>
      <c r="P31" s="276">
        <f>SUM(P28:P30)</f>
        <v>0</v>
      </c>
      <c r="R31" s="276">
        <f>SUM(R28:R30)</f>
        <v>2944074.83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13 of 17&amp;L&amp;1#&amp;"Calibri"&amp;14&amp;K000000Business Use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'201809 Bk Depr'!R13</f>
        <v>7925456.0099999988</v>
      </c>
      <c r="H13" s="1">
        <f>1.62%/12</f>
        <v>1.3500000000000003E-3</v>
      </c>
      <c r="J13" s="278">
        <f>F13*H13</f>
        <v>10699.3656135</v>
      </c>
      <c r="L13" s="279">
        <f>'Cap&amp;OpEx 2018'!L10</f>
        <v>-527966.99999999942</v>
      </c>
      <c r="N13" s="278">
        <f>H13*L13*0.5</f>
        <v>-356.37772499999966</v>
      </c>
      <c r="P13" s="278">
        <f>J13+N13</f>
        <v>10342.9878885</v>
      </c>
      <c r="R13" s="278">
        <f>L13+F13</f>
        <v>7397489.0099999998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'201809 Bk Depr'!R14</f>
        <v>3242301.9300000006</v>
      </c>
      <c r="H14" s="1">
        <f>3.24%/12</f>
        <v>2.7000000000000006E-3</v>
      </c>
      <c r="J14" s="278">
        <f>F14*H14</f>
        <v>8754.2152110000043</v>
      </c>
      <c r="L14" s="279">
        <f>'Cap&amp;OpEx 2018'!L12</f>
        <v>579899.66</v>
      </c>
      <c r="N14" s="278">
        <f>H14*L14*0.5</f>
        <v>782.86454100000026</v>
      </c>
      <c r="P14" s="278">
        <f>J14+N14</f>
        <v>9537.0797520000051</v>
      </c>
      <c r="R14" s="278">
        <f>L14+F14</f>
        <v>3822201.5900000008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'201809 Bk Depr'!R15</f>
        <v>7210193.0200000014</v>
      </c>
      <c r="H15" s="1">
        <f t="shared" ref="H15:H16" si="1">3.24%/12</f>
        <v>2.7000000000000006E-3</v>
      </c>
      <c r="J15" s="278">
        <f>F15*H15</f>
        <v>19467.521154000009</v>
      </c>
      <c r="L15" s="279">
        <f>'Cap&amp;OpEx 2018'!L13</f>
        <v>0</v>
      </c>
      <c r="N15" s="278">
        <f>H15*L15*0.5</f>
        <v>0</v>
      </c>
      <c r="P15" s="278">
        <f>J15+N15</f>
        <v>19467.521154000009</v>
      </c>
      <c r="R15" s="278">
        <f>L15+F15</f>
        <v>7210193.0200000014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'201809 Bk Depr'!R16</f>
        <v>11115725.000000002</v>
      </c>
      <c r="H16" s="1">
        <f t="shared" si="1"/>
        <v>2.7000000000000006E-3</v>
      </c>
      <c r="J16" s="278">
        <f>F16*H16</f>
        <v>30012.457500000011</v>
      </c>
      <c r="L16" s="280">
        <f>'Cap&amp;OpEx 2018'!L14</f>
        <v>1123898.9699999997</v>
      </c>
      <c r="N16" s="278">
        <f>H16*L16*0.5</f>
        <v>1517.2636095</v>
      </c>
      <c r="P16" s="278">
        <f>J16+N16</f>
        <v>31529.721109500013</v>
      </c>
      <c r="R16" s="278">
        <f>L16+F16</f>
        <v>12239623.970000003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29493675.960000001</v>
      </c>
      <c r="J17" s="276">
        <f>SUM(J13:J16)</f>
        <v>68933.559478500014</v>
      </c>
      <c r="L17" s="276">
        <f>SUM(L13:L16)</f>
        <v>1175831.6300000004</v>
      </c>
      <c r="N17" s="276">
        <f>SUM(N13:N16)</f>
        <v>1943.7504255000006</v>
      </c>
      <c r="P17" s="276">
        <f>SUM(P13:P16)</f>
        <v>70877.309904000023</v>
      </c>
      <c r="R17" s="276">
        <f>SUM(R13:R16)</f>
        <v>30669507.590000007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'201809 Bk Depr'!R20</f>
        <v>0</v>
      </c>
      <c r="H20" s="1">
        <f>1.62%/12</f>
        <v>1.3500000000000003E-3</v>
      </c>
      <c r="J20" s="278">
        <f>F20*H20</f>
        <v>0</v>
      </c>
      <c r="L20" s="279">
        <f>'Cap&amp;OpEx 2018'!L17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'201809 Bk Depr'!R21</f>
        <v>0</v>
      </c>
      <c r="H21" s="1">
        <f>3.24%/12</f>
        <v>2.7000000000000006E-3</v>
      </c>
      <c r="J21" s="278">
        <f>F21*H21</f>
        <v>0</v>
      </c>
      <c r="L21" s="279">
        <f>'Cap&amp;OpEx 2018'!L19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'201809 Bk Depr'!R22</f>
        <v>0</v>
      </c>
      <c r="H22" s="1">
        <f>3.24%/12</f>
        <v>2.7000000000000006E-3</v>
      </c>
      <c r="J22" s="278">
        <f>F22*H22</f>
        <v>0</v>
      </c>
      <c r="L22" s="280">
        <f>'Cap&amp;OpEx 2018'!L20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29493675.960000001</v>
      </c>
      <c r="J25" s="277">
        <f>J17+J23</f>
        <v>68933.559478500014</v>
      </c>
      <c r="L25" s="277">
        <f>L17+L23</f>
        <v>1175831.6300000004</v>
      </c>
      <c r="N25" s="277">
        <f>N17+N23</f>
        <v>1943.7504255000006</v>
      </c>
      <c r="P25" s="277">
        <f>P17+P23</f>
        <v>70877.309904000023</v>
      </c>
      <c r="R25" s="277">
        <f>R17+R23</f>
        <v>30669507.590000007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'201809 Bk Depr'!R28</f>
        <v>1923405.93</v>
      </c>
      <c r="J28" s="278"/>
      <c r="L28" s="279">
        <f>'Cap&amp;OpEx 2018'!L25</f>
        <v>0</v>
      </c>
      <c r="N28" s="278"/>
      <c r="P28" s="278"/>
      <c r="R28" s="278">
        <f>L28+F28</f>
        <v>1923405.93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'201809 Bk Depr'!R29</f>
        <v>1020668.9000000001</v>
      </c>
      <c r="J29" s="278"/>
      <c r="L29" s="279">
        <f>'Cap&amp;OpEx 2018'!L27</f>
        <v>188866.91999999998</v>
      </c>
      <c r="N29" s="278"/>
      <c r="P29" s="278"/>
      <c r="R29" s="278">
        <f>L29+F29</f>
        <v>1209535.82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'201809 Bk Depr'!R30</f>
        <v>0</v>
      </c>
      <c r="J30" s="278"/>
      <c r="L30" s="280">
        <f>'Cap&amp;OpEx 2018'!L28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2944074.83</v>
      </c>
      <c r="J31" s="276">
        <f>SUM(J28:J30)</f>
        <v>0</v>
      </c>
      <c r="L31" s="276">
        <f>SUM(L28:L30)</f>
        <v>188866.91999999998</v>
      </c>
      <c r="N31" s="276">
        <f>SUM(N28:N30)</f>
        <v>0</v>
      </c>
      <c r="P31" s="276">
        <f>SUM(P28:P30)</f>
        <v>0</v>
      </c>
      <c r="R31" s="276">
        <f>SUM(R28:R30)</f>
        <v>3132941.75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14 of 17&amp;L&amp;1#&amp;"Calibri"&amp;14&amp;K000000Business Use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'201810 Bk Depr'!R13</f>
        <v>7397489.0099999998</v>
      </c>
      <c r="H13" s="1">
        <f>1.62%/12</f>
        <v>1.3500000000000003E-3</v>
      </c>
      <c r="J13" s="278">
        <f>F13*H13</f>
        <v>9986.6101635000014</v>
      </c>
      <c r="L13" s="279">
        <f>'Cap&amp;OpEx 2018'!M10</f>
        <v>-341364.04</v>
      </c>
      <c r="N13" s="561">
        <f>H13*L13*0.5+1886.44</f>
        <v>1656.0192730000001</v>
      </c>
      <c r="P13" s="278">
        <f>J13+N13</f>
        <v>11642.629436500001</v>
      </c>
      <c r="R13" s="278">
        <f>L13+F13</f>
        <v>7056124.9699999997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'201810 Bk Depr'!R14</f>
        <v>3822201.5900000008</v>
      </c>
      <c r="H14" s="1">
        <f>3.24%/12</f>
        <v>2.7000000000000006E-3</v>
      </c>
      <c r="J14" s="278">
        <f>F14*H14</f>
        <v>10319.944293000004</v>
      </c>
      <c r="L14" s="279">
        <f>'Cap&amp;OpEx 2018'!M12</f>
        <v>886834.86000000022</v>
      </c>
      <c r="N14" s="561">
        <f>H14*L14*0.5+2192.73</f>
        <v>3389.9570610000005</v>
      </c>
      <c r="P14" s="278">
        <f>J14+N14</f>
        <v>13709.901354000005</v>
      </c>
      <c r="R14" s="278">
        <f>L14+F14</f>
        <v>4709036.4500000011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'201810 Bk Depr'!R15</f>
        <v>7210193.0200000014</v>
      </c>
      <c r="H15" s="1">
        <f t="shared" ref="H15:H16" si="1">3.24%/12</f>
        <v>2.7000000000000006E-3</v>
      </c>
      <c r="J15" s="278">
        <f>F15*H15</f>
        <v>19467.521154000009</v>
      </c>
      <c r="L15" s="279">
        <f>'Cap&amp;OpEx 2018'!M13</f>
        <v>7187.22</v>
      </c>
      <c r="N15" s="278">
        <f>H15*L15*0.5</f>
        <v>9.7027470000000022</v>
      </c>
      <c r="P15" s="278">
        <f>J15+N15</f>
        <v>19477.223901000008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'201810 Bk Depr'!R16</f>
        <v>12239623.970000003</v>
      </c>
      <c r="H16" s="1">
        <f t="shared" si="1"/>
        <v>2.7000000000000006E-3</v>
      </c>
      <c r="J16" s="278">
        <f>F16*H16</f>
        <v>33046.984719000015</v>
      </c>
      <c r="L16" s="280">
        <f>'Cap&amp;OpEx 2018'!M14</f>
        <v>2577173.36</v>
      </c>
      <c r="N16" s="278">
        <f>H16*L16*0.5</f>
        <v>3479.1840360000006</v>
      </c>
      <c r="P16" s="278">
        <f>J16+N16</f>
        <v>36526.168755000013</v>
      </c>
      <c r="R16" s="278">
        <f>L16+F16</f>
        <v>14816797.330000002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30669507.590000007</v>
      </c>
      <c r="J17" s="276">
        <f>SUM(J13:J16)</f>
        <v>72821.060329500033</v>
      </c>
      <c r="L17" s="276">
        <f>SUM(L13:L16)</f>
        <v>3129831.4000000004</v>
      </c>
      <c r="N17" s="276">
        <f>SUM(N13:N16)</f>
        <v>8534.8631170000008</v>
      </c>
      <c r="P17" s="276">
        <f>SUM(P13:P16)</f>
        <v>81355.923446500034</v>
      </c>
      <c r="R17" s="276">
        <f>SUM(R13:R16)</f>
        <v>33799338.99000001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'201810 Bk Depr'!R20</f>
        <v>0</v>
      </c>
      <c r="H20" s="1">
        <f>1.62%/12</f>
        <v>1.3500000000000003E-3</v>
      </c>
      <c r="J20" s="278">
        <f>F20*H20</f>
        <v>0</v>
      </c>
      <c r="L20" s="279">
        <f>'Cap&amp;OpEx 2018'!M17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'201810 Bk Depr'!R21</f>
        <v>0</v>
      </c>
      <c r="H21" s="1">
        <f>3.24%/12</f>
        <v>2.7000000000000006E-3</v>
      </c>
      <c r="J21" s="278">
        <f>F21*H21</f>
        <v>0</v>
      </c>
      <c r="L21" s="279">
        <f>'Cap&amp;OpEx 2018'!M19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'201810 Bk Depr'!R22</f>
        <v>0</v>
      </c>
      <c r="H22" s="1">
        <f>3.24%/12</f>
        <v>2.7000000000000006E-3</v>
      </c>
      <c r="J22" s="278">
        <f>F22*H22</f>
        <v>0</v>
      </c>
      <c r="L22" s="280">
        <f>'Cap&amp;OpEx 2018'!M20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30669507.590000007</v>
      </c>
      <c r="J25" s="277">
        <f>J17+J23</f>
        <v>72821.060329500033</v>
      </c>
      <c r="L25" s="277">
        <f>L17+L23</f>
        <v>3129831.4000000004</v>
      </c>
      <c r="N25" s="277">
        <f>N17+N23</f>
        <v>8534.8631170000008</v>
      </c>
      <c r="P25" s="277">
        <f>P17+P23</f>
        <v>81355.923446500034</v>
      </c>
      <c r="R25" s="277">
        <f>R17+R23</f>
        <v>33799338.99000001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'201810 Bk Depr'!R28</f>
        <v>1923405.93</v>
      </c>
      <c r="J28" s="278"/>
      <c r="L28" s="279">
        <f>'Cap&amp;OpEx 2018'!M25</f>
        <v>2387.9699999999998</v>
      </c>
      <c r="N28" s="278"/>
      <c r="P28" s="278"/>
      <c r="R28" s="278">
        <f>L28+F28</f>
        <v>1925793.9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'201810 Bk Depr'!R29</f>
        <v>1209535.82</v>
      </c>
      <c r="J29" s="278"/>
      <c r="L29" s="279">
        <f>'Cap&amp;OpEx 2018'!M27</f>
        <v>163792.39000000001</v>
      </c>
      <c r="N29" s="278"/>
      <c r="P29" s="278"/>
      <c r="R29" s="278">
        <f>L29+F29</f>
        <v>1373328.21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'201810 Bk Depr'!R30</f>
        <v>0</v>
      </c>
      <c r="J30" s="278"/>
      <c r="L30" s="280">
        <f>'Cap&amp;OpEx 2018'!M28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3132941.75</v>
      </c>
      <c r="J31" s="276">
        <f>SUM(J28:J30)</f>
        <v>0</v>
      </c>
      <c r="L31" s="276">
        <f>SUM(L28:L30)</f>
        <v>166180.36000000002</v>
      </c>
      <c r="N31" s="276">
        <f>SUM(N28:N30)</f>
        <v>0</v>
      </c>
      <c r="P31" s="276">
        <f>SUM(P28:P30)</f>
        <v>0</v>
      </c>
      <c r="R31" s="276">
        <f>SUM(R28:R30)</f>
        <v>3299122.11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15 of 17&amp;L&amp;1#&amp;"Calibri"&amp;14&amp;K000000Business Use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'201811 Bk Depr'!R13</f>
        <v>7056124.9699999997</v>
      </c>
      <c r="H13" s="1">
        <f>1.62%/12</f>
        <v>1.3500000000000003E-3</v>
      </c>
      <c r="J13" s="278">
        <f>F13*H13</f>
        <v>9525.7687095000019</v>
      </c>
      <c r="L13" s="279">
        <f>'Cap&amp;OpEx 2018'!N10</f>
        <v>132974.97999999992</v>
      </c>
      <c r="N13" s="278">
        <f>H13*L13*0.5</f>
        <v>89.75811149999997</v>
      </c>
      <c r="P13" s="278">
        <f>J13+N13</f>
        <v>9615.5268210000013</v>
      </c>
      <c r="R13" s="278">
        <f>L13+F13</f>
        <v>7189099.9499999993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4">
        <f>'201811 Bk Depr'!R14</f>
        <v>4709036.4500000011</v>
      </c>
      <c r="H14" s="1">
        <f>3.24%/12</f>
        <v>2.7000000000000006E-3</v>
      </c>
      <c r="J14" s="278">
        <f>F14*H14</f>
        <v>12714.398415000005</v>
      </c>
      <c r="L14" s="279">
        <f>'Cap&amp;OpEx 2018'!N12</f>
        <v>316.39</v>
      </c>
      <c r="N14" s="278">
        <f>H14*L14*0.5</f>
        <v>0.42712650000000008</v>
      </c>
      <c r="P14" s="278">
        <f>J14+N14</f>
        <v>12714.825541500006</v>
      </c>
      <c r="R14" s="278">
        <f>L14+F14</f>
        <v>4709352.8400000008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4">
        <f>'201811 Bk Depr'!R15</f>
        <v>7217380.2400000012</v>
      </c>
      <c r="H15" s="1">
        <f t="shared" ref="H15:H16" si="1">3.24%/12</f>
        <v>2.7000000000000006E-3</v>
      </c>
      <c r="J15" s="278">
        <f>F15*H15</f>
        <v>19486.926648000008</v>
      </c>
      <c r="L15" s="279">
        <f>'Cap&amp;OpEx 2018'!N13</f>
        <v>0</v>
      </c>
      <c r="N15" s="278">
        <f>H15*L15*0.5</f>
        <v>0</v>
      </c>
      <c r="P15" s="278">
        <f>J15+N15</f>
        <v>19486.926648000008</v>
      </c>
      <c r="R15" s="278">
        <f>L15+F15</f>
        <v>7217380.2400000012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5">
        <f>'201811 Bk Depr'!R16</f>
        <v>14816797.330000002</v>
      </c>
      <c r="H16" s="1">
        <f t="shared" si="1"/>
        <v>2.7000000000000006E-3</v>
      </c>
      <c r="J16" s="278">
        <f>F16*H16</f>
        <v>40005.352791000012</v>
      </c>
      <c r="L16" s="280">
        <f>'Cap&amp;OpEx 2018'!N14</f>
        <v>1183367.19</v>
      </c>
      <c r="N16" s="278">
        <f>H16*L16*0.5</f>
        <v>1597.5457065000003</v>
      </c>
      <c r="P16" s="278">
        <f>J16+N16</f>
        <v>41602.898497500013</v>
      </c>
      <c r="R16" s="278">
        <f>L16+F16</f>
        <v>16000164.520000001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33799338.99000001</v>
      </c>
      <c r="J17" s="276">
        <f>SUM(J13:J16)</f>
        <v>81732.446563500023</v>
      </c>
      <c r="L17" s="276">
        <f>SUM(L13:L16)</f>
        <v>1316658.5599999998</v>
      </c>
      <c r="N17" s="276">
        <f>SUM(N13:N16)</f>
        <v>1687.7309445000003</v>
      </c>
      <c r="P17" s="276">
        <f>SUM(P13:P16)</f>
        <v>83420.177508000022</v>
      </c>
      <c r="R17" s="276">
        <f>SUM(R13:R16)</f>
        <v>35115997.550000004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4">
        <f>'201811 Bk Depr'!R20</f>
        <v>0</v>
      </c>
      <c r="H20" s="1">
        <f>1.62%/12</f>
        <v>1.3500000000000003E-3</v>
      </c>
      <c r="J20" s="278">
        <f>F20*H20</f>
        <v>0</v>
      </c>
      <c r="L20" s="279">
        <f>'Cap&amp;OpEx 2018'!N17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4">
        <f>'201811 Bk Depr'!R21</f>
        <v>0</v>
      </c>
      <c r="H21" s="1">
        <f>3.24%/12</f>
        <v>2.7000000000000006E-3</v>
      </c>
      <c r="J21" s="278">
        <f>F21*H21</f>
        <v>0</v>
      </c>
      <c r="L21" s="279">
        <f>'Cap&amp;OpEx 2018'!N19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5">
        <f>'201811 Bk Depr'!R22</f>
        <v>0</v>
      </c>
      <c r="H22" s="1">
        <f>3.24%/12</f>
        <v>2.7000000000000006E-3</v>
      </c>
      <c r="J22" s="278">
        <f>F22*H22</f>
        <v>0</v>
      </c>
      <c r="L22" s="280">
        <f>'Cap&amp;OpEx 2018'!N20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33799338.99000001</v>
      </c>
      <c r="J25" s="277">
        <f>J17+J23</f>
        <v>81732.446563500023</v>
      </c>
      <c r="L25" s="277">
        <f>L17+L23</f>
        <v>1316658.5599999998</v>
      </c>
      <c r="N25" s="277">
        <f>N17+N23</f>
        <v>1687.7309445000003</v>
      </c>
      <c r="P25" s="277">
        <f>P17+P23</f>
        <v>83420.177508000022</v>
      </c>
      <c r="R25" s="277">
        <f>R17+R23</f>
        <v>35115997.550000004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4">
        <f>'201811 Bk Depr'!R28</f>
        <v>1925793.9</v>
      </c>
      <c r="J28" s="278"/>
      <c r="L28" s="279">
        <f>'Cap&amp;OpEx 2018'!N25</f>
        <v>178.61</v>
      </c>
      <c r="N28" s="278"/>
      <c r="P28" s="278"/>
      <c r="R28" s="278">
        <f>L28+F28</f>
        <v>1925972.51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4">
        <f>'201811 Bk Depr'!R29</f>
        <v>1373328.21</v>
      </c>
      <c r="J29" s="278"/>
      <c r="L29" s="279">
        <f>'Cap&amp;OpEx 2018'!N27</f>
        <v>166854.06000000003</v>
      </c>
      <c r="N29" s="278"/>
      <c r="P29" s="278"/>
      <c r="R29" s="278">
        <f>L29+F29</f>
        <v>1540182.27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5">
        <f>'201811 Bk Depr'!R30</f>
        <v>0</v>
      </c>
      <c r="J30" s="278"/>
      <c r="L30" s="280">
        <f>'Cap&amp;OpEx 2018'!N28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3299122.11</v>
      </c>
      <c r="J31" s="276">
        <f>SUM(J28:J30)</f>
        <v>0</v>
      </c>
      <c r="L31" s="276">
        <f>SUM(L28:L30)</f>
        <v>167032.67000000001</v>
      </c>
      <c r="N31" s="276">
        <f>SUM(N28:N30)</f>
        <v>0</v>
      </c>
      <c r="P31" s="276">
        <f>SUM(P28:P30)</f>
        <v>0</v>
      </c>
      <c r="R31" s="276">
        <f>SUM(R28:R30)</f>
        <v>3466154.7800000003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16 of 17&amp;L&amp;1#&amp;"Calibri"&amp;14&amp;K000000Business Use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39997558519241921"/>
    <pageSetUpPr fitToPage="1"/>
  </sheetPr>
  <dimension ref="A1:Y91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7" width="14.140625" style="52" bestFit="1" customWidth="1"/>
    <col min="8" max="8" width="14.140625" style="52" customWidth="1"/>
    <col min="9" max="9" width="15" style="52" bestFit="1" customWidth="1"/>
    <col min="10" max="10" width="13.85546875" style="52" bestFit="1" customWidth="1"/>
    <col min="11" max="11" width="14.42578125" style="52" bestFit="1" customWidth="1"/>
    <col min="12" max="12" width="13.85546875" style="52" bestFit="1" customWidth="1"/>
    <col min="13" max="13" width="11.5703125" style="52" bestFit="1" customWidth="1"/>
    <col min="14" max="14" width="10.85546875" style="52" customWidth="1"/>
    <col min="15" max="15" width="11.42578125" style="52" customWidth="1"/>
    <col min="16" max="16" width="11.140625" style="52" customWidth="1"/>
    <col min="17" max="17" width="14.85546875" style="52" customWidth="1"/>
    <col min="18" max="18" width="12" style="52" customWidth="1"/>
    <col min="19" max="19" width="9.140625" style="52"/>
    <col min="20" max="20" width="13.85546875" style="52" customWidth="1"/>
    <col min="21" max="21" width="9.5703125" style="52" bestFit="1" customWidth="1"/>
    <col min="22" max="22" width="12.140625" style="52" bestFit="1" customWidth="1"/>
    <col min="23" max="23" width="9.140625" style="52"/>
    <col min="24" max="24" width="11.85546875" style="52" customWidth="1"/>
    <col min="25" max="16384" width="9.140625" style="52"/>
  </cols>
  <sheetData>
    <row r="1" spans="1:25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5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</row>
    <row r="3" spans="1:25" ht="18.75">
      <c r="A3" s="191" t="s">
        <v>73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5">
      <c r="A4" s="53"/>
    </row>
    <row r="6" spans="1:25">
      <c r="A6" s="54"/>
      <c r="B6" s="54"/>
      <c r="C6" s="54"/>
      <c r="D6" s="54" t="s">
        <v>24</v>
      </c>
      <c r="E6" s="54"/>
      <c r="F6" s="54"/>
      <c r="G6" s="54"/>
      <c r="H6" s="54"/>
      <c r="I6" s="155"/>
      <c r="J6" s="54"/>
      <c r="K6" s="54"/>
      <c r="L6" s="54"/>
      <c r="M6" s="54"/>
      <c r="N6" s="54"/>
      <c r="O6" s="54"/>
      <c r="P6" s="54"/>
      <c r="Q6" s="54"/>
    </row>
    <row r="7" spans="1:25" ht="25.5">
      <c r="A7" s="54"/>
      <c r="B7" s="54"/>
      <c r="C7" s="55" t="s">
        <v>188</v>
      </c>
      <c r="D7" s="54" t="s">
        <v>25</v>
      </c>
      <c r="E7" s="54"/>
      <c r="F7" s="54"/>
      <c r="G7" s="54">
        <v>2017</v>
      </c>
      <c r="H7" s="54">
        <v>2018</v>
      </c>
      <c r="I7" s="54"/>
      <c r="J7" s="54" t="s">
        <v>35</v>
      </c>
      <c r="K7" s="54"/>
      <c r="L7" s="54"/>
      <c r="M7" s="55" t="s">
        <v>178</v>
      </c>
      <c r="N7" s="55" t="s">
        <v>179</v>
      </c>
      <c r="O7" s="55" t="s">
        <v>184</v>
      </c>
      <c r="P7" s="55" t="s">
        <v>186</v>
      </c>
      <c r="Q7" s="54" t="s">
        <v>41</v>
      </c>
      <c r="R7" s="55" t="s">
        <v>161</v>
      </c>
      <c r="S7" s="55"/>
      <c r="T7" s="55" t="s">
        <v>233</v>
      </c>
    </row>
    <row r="8" spans="1:25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34</v>
      </c>
      <c r="J8" s="54" t="s">
        <v>36</v>
      </c>
      <c r="K8" s="54" t="s">
        <v>38</v>
      </c>
      <c r="L8" s="54"/>
      <c r="M8" s="54" t="s">
        <v>34</v>
      </c>
      <c r="N8" s="54" t="s">
        <v>34</v>
      </c>
      <c r="O8" s="54" t="s">
        <v>185</v>
      </c>
      <c r="P8" s="54" t="s">
        <v>187</v>
      </c>
      <c r="Q8" s="54" t="s">
        <v>40</v>
      </c>
      <c r="R8" s="54" t="s">
        <v>234</v>
      </c>
      <c r="S8" s="54" t="s">
        <v>161</v>
      </c>
      <c r="T8" s="54" t="s">
        <v>40</v>
      </c>
    </row>
    <row r="9" spans="1:25">
      <c r="A9" s="184" t="s">
        <v>5</v>
      </c>
      <c r="B9" s="184"/>
      <c r="C9" s="184" t="s">
        <v>2</v>
      </c>
      <c r="D9" s="184" t="s">
        <v>2</v>
      </c>
      <c r="E9" s="184"/>
      <c r="F9" s="184" t="s">
        <v>105</v>
      </c>
      <c r="G9" s="184" t="s">
        <v>20</v>
      </c>
      <c r="H9" s="225" t="s">
        <v>20</v>
      </c>
      <c r="I9" s="184" t="s">
        <v>0</v>
      </c>
      <c r="J9" s="184" t="s">
        <v>37</v>
      </c>
      <c r="K9" s="184" t="s">
        <v>0</v>
      </c>
      <c r="L9" s="184" t="s">
        <v>39</v>
      </c>
      <c r="M9" s="56" t="s">
        <v>340</v>
      </c>
      <c r="N9" s="56" t="s">
        <v>183</v>
      </c>
      <c r="O9" s="56" t="s">
        <v>340</v>
      </c>
      <c r="P9" s="56" t="s">
        <v>12</v>
      </c>
      <c r="Q9" s="184" t="s">
        <v>42</v>
      </c>
      <c r="R9" s="56" t="s">
        <v>235</v>
      </c>
      <c r="S9" s="56" t="s">
        <v>236</v>
      </c>
      <c r="T9" s="184" t="s">
        <v>42</v>
      </c>
    </row>
    <row r="10" spans="1:25">
      <c r="C10" s="57"/>
      <c r="D10" s="57" t="s">
        <v>69</v>
      </c>
      <c r="E10" s="58"/>
      <c r="F10" s="58"/>
      <c r="G10" s="58"/>
      <c r="H10" s="58"/>
    </row>
    <row r="11" spans="1:25">
      <c r="A11" s="52">
        <v>1</v>
      </c>
      <c r="C11" s="57" t="s">
        <v>68</v>
      </c>
      <c r="D11" s="59"/>
      <c r="G11" s="231">
        <f>'Tax Depr 2017'!L11</f>
        <v>8664070.7300000023</v>
      </c>
      <c r="H11" s="27">
        <f>'2018 Capital Budget'!R39-H12</f>
        <v>12433934.719999999</v>
      </c>
    </row>
    <row r="12" spans="1:25">
      <c r="A12" s="52">
        <v>2</v>
      </c>
      <c r="C12" s="57" t="s">
        <v>72</v>
      </c>
      <c r="D12" s="59"/>
      <c r="G12" s="231">
        <f>'Tax Depr 2017'!L12</f>
        <v>4210527.95</v>
      </c>
      <c r="H12" s="231">
        <f>SUM('2018 Capital Budget'!R8:R11,,'2018 Capital Budget'!R27:R31,'2018 Capital Budget'!R37:R38)</f>
        <v>5000082.9600000009</v>
      </c>
    </row>
    <row r="13" spans="1:25">
      <c r="A13" s="52">
        <v>3</v>
      </c>
      <c r="C13" s="57" t="s">
        <v>182</v>
      </c>
      <c r="D13" s="59"/>
      <c r="G13" s="231">
        <f>'Tax Depr 2017'!L13</f>
        <v>4807381.1899999995</v>
      </c>
      <c r="H13" s="231">
        <v>0</v>
      </c>
    </row>
    <row r="14" spans="1:25">
      <c r="C14" s="59"/>
      <c r="V14" s="50"/>
      <c r="W14" s="50"/>
      <c r="X14" s="50"/>
      <c r="Y14" s="50"/>
    </row>
    <row r="15" spans="1:25">
      <c r="G15" s="195"/>
      <c r="H15" s="195"/>
      <c r="I15" s="195"/>
      <c r="J15" s="195"/>
      <c r="K15" s="244"/>
      <c r="V15" s="50"/>
      <c r="W15" s="50"/>
      <c r="X15" s="50"/>
      <c r="Y15" s="50"/>
    </row>
    <row r="16" spans="1:25">
      <c r="P16" s="27">
        <v>0</v>
      </c>
      <c r="Q16" s="27">
        <f>P16+'Tax Depr 2017'!U28</f>
        <v>4031690.8392467606</v>
      </c>
      <c r="T16" s="231">
        <f>Q16</f>
        <v>4031690.8392467606</v>
      </c>
      <c r="V16" s="50"/>
      <c r="W16" s="50"/>
      <c r="X16" s="50"/>
      <c r="Y16" s="50"/>
    </row>
    <row r="17" spans="1:25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31">
        <f>$G$11*$C$18/12</f>
        <v>52121.605499891681</v>
      </c>
      <c r="H17" s="27">
        <f>(('201801 Bk Depr'!$L$17-SUM('2018 Capital Budget'!F8:F11,'2018 Capital Budget'!F27:F31,'2018 Capital Budget'!F37:F38)-(1/12*$H$13))*$C$17)+SUM('2018 Capital Budget'!F8:F11,'2018 Capital Budget'!F27:F31,'2018 Capital Budget'!F37:F38)+(1/12*$H$13)</f>
        <v>521537.9896250001</v>
      </c>
      <c r="I17" s="231">
        <f>SUM(G17:H17)</f>
        <v>573659.59512489173</v>
      </c>
      <c r="J17" s="231">
        <f>'201801 Bk Depr'!$L$31</f>
        <v>145490.06000000003</v>
      </c>
      <c r="K17" s="231">
        <f>'201801 Bk Depr'!$P$17</f>
        <v>42026.440119750012</v>
      </c>
      <c r="L17" s="231">
        <f>I17+J17-K17</f>
        <v>677123.2150051418</v>
      </c>
      <c r="M17" s="231">
        <f>L17*0.21</f>
        <v>142195.87515107976</v>
      </c>
      <c r="N17" s="231">
        <f t="shared" ref="N17:N22" si="0">M60</f>
        <v>35302.180950699178</v>
      </c>
      <c r="O17" s="231">
        <f>-N17*0.21</f>
        <v>-7413.4579996468274</v>
      </c>
      <c r="P17" s="27"/>
      <c r="Q17" s="231">
        <f t="shared" ref="Q17:Q22" si="1">Q16+M17+N17+O17+P17</f>
        <v>4201775.4373488929</v>
      </c>
      <c r="R17" s="231">
        <f>Q17-Q16</f>
        <v>170084.59810213232</v>
      </c>
      <c r="S17" s="247" t="s">
        <v>357</v>
      </c>
      <c r="T17" s="231">
        <f>T16+R17*335/365</f>
        <v>4187795.8813404986</v>
      </c>
      <c r="U17" s="27"/>
      <c r="V17" s="27"/>
      <c r="W17" s="50"/>
      <c r="X17" s="51"/>
      <c r="Y17" s="50"/>
    </row>
    <row r="18" spans="1:25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31">
        <f>$G$11*$C$18/12</f>
        <v>52121.605499891681</v>
      </c>
      <c r="H18" s="27">
        <f>(('201802 Bk Depr'!$L$17-SUM('2018 Capital Budget'!G8:G11,'2018 Capital Budget'!G27:G31,'2018 Capital Budget'!G37:G38)-(1/12*$H$13))*$C$17)+SUM('2018 Capital Budget'!G8:G11,'2018 Capital Budget'!G27:G31,'2018 Capital Budget'!G37:G38)+(1/12*$H$13)</f>
        <v>429630.26712500001</v>
      </c>
      <c r="I18" s="231">
        <f t="shared" ref="I18:I22" si="2">SUM(G18:H18)</f>
        <v>481751.87262489169</v>
      </c>
      <c r="J18" s="231">
        <f>'201802 Bk Depr'!$L$31</f>
        <v>181728.23</v>
      </c>
      <c r="K18" s="231">
        <f>'201802 Bk Depr'!$P$17</f>
        <v>44369.423412750009</v>
      </c>
      <c r="L18" s="231">
        <f t="shared" ref="L18:L22" si="3">I18+J18-K18</f>
        <v>619110.67921214167</v>
      </c>
      <c r="M18" s="231">
        <f t="shared" ref="M18:M22" si="4">L18*0.21</f>
        <v>130013.24263454975</v>
      </c>
      <c r="N18" s="231">
        <f t="shared" si="0"/>
        <v>32401.554161049171</v>
      </c>
      <c r="O18" s="231">
        <f t="shared" ref="O18:O22" si="5">-N18*0.21</f>
        <v>-6804.3263738203259</v>
      </c>
      <c r="P18" s="27"/>
      <c r="Q18" s="231">
        <f t="shared" si="1"/>
        <v>4357385.9077706719</v>
      </c>
      <c r="R18" s="231">
        <f t="shared" ref="R18:R28" si="6">Q18-Q17</f>
        <v>155610.47042177897</v>
      </c>
      <c r="S18" s="247" t="s">
        <v>358</v>
      </c>
      <c r="T18" s="231">
        <f>T17+R18*307/365</f>
        <v>4318679.2085171733</v>
      </c>
      <c r="U18" s="62"/>
      <c r="V18" s="27"/>
      <c r="W18" s="50"/>
      <c r="X18" s="51"/>
      <c r="Y18" s="50"/>
    </row>
    <row r="19" spans="1:25">
      <c r="A19" s="52">
        <f t="shared" ref="A19:A44" si="7">A18+1</f>
        <v>6</v>
      </c>
      <c r="C19" s="61">
        <v>6.6769999999999996E-2</v>
      </c>
      <c r="D19" s="61">
        <v>8.5500000000000007E-2</v>
      </c>
      <c r="F19" s="52">
        <v>3</v>
      </c>
      <c r="G19" s="231">
        <f t="shared" ref="G19:G28" si="8">$G$11*$C$18/12</f>
        <v>52121.605499891681</v>
      </c>
      <c r="H19" s="27">
        <f>(('201803 Bk Depr'!$L$17-SUM('2018 Capital Budget'!H8:H11,'2018 Capital Budget'!H27:H31,'2018 Capital Budget'!H37:H38)-(1/12*$H$13))*$C$17)+SUM('2018 Capital Budget'!H8:H11,'2018 Capital Budget'!H27:H31,'2018 Capital Budget'!H37:H38)+(1/12*$H$13)</f>
        <v>455162.81837499997</v>
      </c>
      <c r="I19" s="231">
        <f t="shared" si="2"/>
        <v>507284.42387489165</v>
      </c>
      <c r="J19" s="231">
        <f>'201803 Bk Depr'!$L$31</f>
        <v>125258.65</v>
      </c>
      <c r="K19" s="231">
        <f>'201803 Bk Depr'!$P$17</f>
        <v>47112.997916250017</v>
      </c>
      <c r="L19" s="231">
        <f t="shared" si="3"/>
        <v>585430.0759586416</v>
      </c>
      <c r="M19" s="231">
        <f t="shared" si="4"/>
        <v>122940.31595131473</v>
      </c>
      <c r="N19" s="231">
        <f t="shared" si="0"/>
        <v>30717.523998374167</v>
      </c>
      <c r="O19" s="231">
        <f t="shared" si="5"/>
        <v>-6450.680039658575</v>
      </c>
      <c r="P19" s="27"/>
      <c r="Q19" s="231">
        <f t="shared" si="1"/>
        <v>4504593.0676807025</v>
      </c>
      <c r="R19" s="231">
        <f t="shared" si="6"/>
        <v>147207.15991003066</v>
      </c>
      <c r="S19" s="247" t="s">
        <v>359</v>
      </c>
      <c r="T19" s="231">
        <f>T18+R19*276/365</f>
        <v>4429992.0198464021</v>
      </c>
      <c r="V19" s="27"/>
      <c r="W19" s="50"/>
      <c r="X19" s="51"/>
      <c r="Y19" s="50"/>
    </row>
    <row r="20" spans="1:25">
      <c r="A20" s="52">
        <f t="shared" si="7"/>
        <v>7</v>
      </c>
      <c r="C20" s="61">
        <v>6.1769999999999999E-2</v>
      </c>
      <c r="D20" s="61">
        <v>7.6999999999999999E-2</v>
      </c>
      <c r="F20" s="52">
        <v>4</v>
      </c>
      <c r="G20" s="231">
        <f t="shared" si="8"/>
        <v>52121.605499891681</v>
      </c>
      <c r="H20" s="27">
        <f>(('201804 Bk Depr'!$L$17-SUM('2018 Capital Budget'!I8:I11,'2018 Capital Budget'!I27:I31,'2018 Capital Budget'!I37:I38)-(1/12*$H$13))*$C$17)+SUM('2018 Capital Budget'!I8:I11,'2018 Capital Budget'!I27:I31,'2018 Capital Budget'!I37:I38)+(1/12*$H$13)</f>
        <v>474245.76387500006</v>
      </c>
      <c r="I20" s="231">
        <f t="shared" si="2"/>
        <v>526367.36937489174</v>
      </c>
      <c r="J20" s="231">
        <f>'201804 Bk Depr'!$L$31</f>
        <v>150077.53</v>
      </c>
      <c r="K20" s="231">
        <f>'201804 Bk Depr'!$P$17</f>
        <v>50180.715000000011</v>
      </c>
      <c r="L20" s="231">
        <f t="shared" si="3"/>
        <v>626264.1843748918</v>
      </c>
      <c r="M20" s="231">
        <f t="shared" si="4"/>
        <v>131515.47871872727</v>
      </c>
      <c r="N20" s="231">
        <f t="shared" si="0"/>
        <v>32759.229419186671</v>
      </c>
      <c r="O20" s="231">
        <f t="shared" si="5"/>
        <v>-6879.4381780292006</v>
      </c>
      <c r="P20" s="27"/>
      <c r="Q20" s="231">
        <f t="shared" si="1"/>
        <v>4661988.3376405872</v>
      </c>
      <c r="R20" s="231">
        <f t="shared" si="6"/>
        <v>157395.2699598847</v>
      </c>
      <c r="S20" s="247" t="s">
        <v>360</v>
      </c>
      <c r="T20" s="231">
        <f>T19+R20*246/365</f>
        <v>4536072.1196001871</v>
      </c>
      <c r="V20" s="27"/>
      <c r="W20" s="153"/>
      <c r="X20" s="51"/>
      <c r="Y20" s="50"/>
    </row>
    <row r="21" spans="1:25">
      <c r="A21" s="52">
        <f t="shared" si="7"/>
        <v>8</v>
      </c>
      <c r="C21" s="61">
        <v>5.713E-2</v>
      </c>
      <c r="D21" s="61">
        <v>6.93E-2</v>
      </c>
      <c r="F21" s="52">
        <v>5</v>
      </c>
      <c r="G21" s="231">
        <f t="shared" si="8"/>
        <v>52121.605499891681</v>
      </c>
      <c r="H21" s="27">
        <f>(('201805 Bk Depr'!$L$17-SUM('2018 Capital Budget'!J8:J11,'2018 Capital Budget'!J27:J31,'2018 Capital Budget'!J37:J38)-(1/12*$H$13))*$C$17)+SUM('2018 Capital Budget'!J8:J11,'2018 Capital Budget'!J27:J31,'2018 Capital Budget'!J37:J38)+(1/12*$H$13)</f>
        <v>540638.13262499997</v>
      </c>
      <c r="I21" s="231">
        <f t="shared" si="2"/>
        <v>592759.73812489165</v>
      </c>
      <c r="J21" s="231">
        <f>'201805 Bk Depr'!$L$31</f>
        <v>152014.07</v>
      </c>
      <c r="K21" s="231">
        <f>'201805 Bk Depr'!$P$17</f>
        <v>53121.247220250021</v>
      </c>
      <c r="L21" s="231">
        <f t="shared" si="3"/>
        <v>691652.56090464164</v>
      </c>
      <c r="M21" s="231">
        <f t="shared" si="4"/>
        <v>145247.03778997474</v>
      </c>
      <c r="N21" s="231">
        <f t="shared" si="0"/>
        <v>36028.648245674165</v>
      </c>
      <c r="O21" s="231">
        <f t="shared" si="5"/>
        <v>-7566.0161315915748</v>
      </c>
      <c r="P21" s="27"/>
      <c r="Q21" s="231">
        <f t="shared" si="1"/>
        <v>4835698.0075446442</v>
      </c>
      <c r="R21" s="231">
        <f t="shared" si="6"/>
        <v>173709.66990405694</v>
      </c>
      <c r="S21" s="247" t="s">
        <v>361</v>
      </c>
      <c r="T21" s="231">
        <f>T20+R21*215/365</f>
        <v>4638394.2539272346</v>
      </c>
      <c r="V21" s="27"/>
      <c r="W21" s="50"/>
      <c r="X21" s="51"/>
      <c r="Y21" s="50"/>
    </row>
    <row r="22" spans="1:25">
      <c r="A22" s="52">
        <f t="shared" si="7"/>
        <v>9</v>
      </c>
      <c r="C22" s="61">
        <v>5.2850000000000001E-2</v>
      </c>
      <c r="D22" s="61">
        <v>6.2300000000000001E-2</v>
      </c>
      <c r="F22" s="52">
        <v>6</v>
      </c>
      <c r="G22" s="231">
        <f t="shared" si="8"/>
        <v>52121.605499891681</v>
      </c>
      <c r="H22" s="27">
        <f>(('201806 Bk Depr'!$L$17-SUM('2018 Capital Budget'!K8:K11,'2018 Capital Budget'!K27:K31,'2018 Capital Budget'!K37:K38)-(1/12*$H$13))*$C$17)+SUM('2018 Capital Budget'!K8:K11,'2018 Capital Budget'!K27:K31,'2018 Capital Budget'!K37:K38)+(1/12*$H$13)</f>
        <v>408795.32912499999</v>
      </c>
      <c r="I22" s="231">
        <f t="shared" si="2"/>
        <v>460916.93462489167</v>
      </c>
      <c r="J22" s="231">
        <f>'201806 Bk Depr'!$L$31</f>
        <v>161617.25</v>
      </c>
      <c r="K22" s="231">
        <f>'201806 Bk Depr'!$P$17</f>
        <v>55958.28313500002</v>
      </c>
      <c r="L22" s="231">
        <f t="shared" si="3"/>
        <v>566575.90148989169</v>
      </c>
      <c r="M22" s="231">
        <f t="shared" si="4"/>
        <v>118980.93931287725</v>
      </c>
      <c r="N22" s="231">
        <f t="shared" si="0"/>
        <v>29774.815274936667</v>
      </c>
      <c r="O22" s="231">
        <f t="shared" si="5"/>
        <v>-6252.7112077367001</v>
      </c>
      <c r="P22" s="27"/>
      <c r="Q22" s="231">
        <f t="shared" si="1"/>
        <v>4978201.0509247221</v>
      </c>
      <c r="R22" s="231">
        <f t="shared" si="6"/>
        <v>142503.04338007793</v>
      </c>
      <c r="S22" s="247" t="s">
        <v>356</v>
      </c>
      <c r="T22" s="231">
        <f>T21+R22*185/365</f>
        <v>4710621.8238596031</v>
      </c>
      <c r="V22" s="27"/>
      <c r="W22" s="50"/>
      <c r="X22" s="50"/>
      <c r="Y22" s="50"/>
    </row>
    <row r="23" spans="1:25">
      <c r="A23" s="52">
        <f t="shared" si="7"/>
        <v>10</v>
      </c>
      <c r="C23" s="61">
        <v>4.888E-2</v>
      </c>
      <c r="D23" s="61">
        <v>5.8999999999999997E-2</v>
      </c>
      <c r="F23" s="52">
        <v>7</v>
      </c>
      <c r="G23" s="231">
        <f>$G$11*$C$18/12</f>
        <v>52121.605499891681</v>
      </c>
      <c r="H23" s="156">
        <f>(('201807 Bk Depr'!$L$17-SUM('2018 Capital Budget'!L8:L11,'2018 Capital Budget'!L27:L31,'2018 Capital Budget'!L37:L38)-(1/12*$H$13))*$C$17)+SUM('2018 Capital Budget'!L8:L11,'2018 Capital Budget'!L27:L31,'2018 Capital Budget'!L37:L38)+(1/12*$H$13)</f>
        <v>544167.10162499989</v>
      </c>
      <c r="I23" s="231">
        <f t="shared" ref="I23:I27" si="9">SUM(G23:H23)</f>
        <v>596288.70712489157</v>
      </c>
      <c r="J23" s="231">
        <f>'201807 Bk Depr'!$L$31</f>
        <v>111769.92</v>
      </c>
      <c r="K23" s="231">
        <f>'201807 Bk Depr'!$P$17</f>
        <v>59200.780398750023</v>
      </c>
      <c r="L23" s="231">
        <f t="shared" ref="L23:L28" si="10">I23+J23-K23</f>
        <v>648857.84672614164</v>
      </c>
      <c r="M23" s="231">
        <f>L23*0.21</f>
        <v>136260.14781248974</v>
      </c>
      <c r="N23" s="231">
        <f t="shared" ref="N23:N28" si="11">M66</f>
        <v>33888.912536749172</v>
      </c>
      <c r="O23" s="231">
        <f>-N23*0.21</f>
        <v>-7116.6716327173262</v>
      </c>
      <c r="P23" s="27"/>
      <c r="Q23" s="231">
        <f t="shared" ref="Q23:Q28" si="12">Q22+M23+N23+O23+P23</f>
        <v>5141233.4396412438</v>
      </c>
      <c r="R23" s="231">
        <f t="shared" si="6"/>
        <v>163032.38871652167</v>
      </c>
      <c r="S23" s="247" t="s">
        <v>352</v>
      </c>
      <c r="T23" s="231">
        <f>T22+R23*154/365</f>
        <v>4779408.0919756154</v>
      </c>
      <c r="V23" s="27"/>
      <c r="W23" s="50"/>
      <c r="X23" s="50"/>
      <c r="Y23" s="50"/>
    </row>
    <row r="24" spans="1:25">
      <c r="A24" s="52">
        <f t="shared" si="7"/>
        <v>11</v>
      </c>
      <c r="C24" s="61">
        <v>4.5220000000000003E-2</v>
      </c>
      <c r="D24" s="61">
        <v>5.8999999999999997E-2</v>
      </c>
      <c r="F24" s="52">
        <v>8</v>
      </c>
      <c r="G24" s="231">
        <f t="shared" si="8"/>
        <v>52121.605499891681</v>
      </c>
      <c r="H24" s="156">
        <f>(('201808 Bk Depr'!$L$17-SUM('2018 Capital Budget'!M8:M11,'2018 Capital Budget'!M27:M31,'2018 Capital Budget'!M37:M38)-(1/12*$H$13))*$C$17)+SUM('2018 Capital Budget'!M8:M11,,'2018 Capital Budget'!M27:M31,'2018 Capital Budget'!M37:M38)+(1/12*$H$13)</f>
        <v>499724.92199999996</v>
      </c>
      <c r="I24" s="231">
        <f t="shared" si="9"/>
        <v>551846.52749989158</v>
      </c>
      <c r="J24" s="231">
        <f>'201808 Bk Depr'!$L$31</f>
        <v>130408.55</v>
      </c>
      <c r="K24" s="231">
        <f>'201808 Bk Depr'!$P$17</f>
        <v>62858.36379600002</v>
      </c>
      <c r="L24" s="231">
        <f t="shared" si="10"/>
        <v>619396.71370389161</v>
      </c>
      <c r="M24" s="231">
        <f t="shared" ref="M24:M28" si="13">L24*0.21</f>
        <v>130073.30987781723</v>
      </c>
      <c r="N24" s="231">
        <f t="shared" si="11"/>
        <v>32415.855885636669</v>
      </c>
      <c r="O24" s="231">
        <f t="shared" ref="O24:O28" si="14">-N24*0.21</f>
        <v>-6807.3297359837006</v>
      </c>
      <c r="P24" s="27"/>
      <c r="Q24" s="231">
        <f t="shared" si="12"/>
        <v>5296915.2756687142</v>
      </c>
      <c r="R24" s="231">
        <f t="shared" si="6"/>
        <v>155681.83602747042</v>
      </c>
      <c r="S24" s="247" t="s">
        <v>353</v>
      </c>
      <c r="T24" s="231">
        <f>T23+R24*123/365</f>
        <v>4831870.7380889822</v>
      </c>
      <c r="V24" s="27"/>
      <c r="W24" s="50"/>
      <c r="X24" s="50"/>
      <c r="Y24" s="50"/>
    </row>
    <row r="25" spans="1:25">
      <c r="A25" s="52">
        <f t="shared" si="7"/>
        <v>12</v>
      </c>
      <c r="C25" s="61">
        <v>4.462E-2</v>
      </c>
      <c r="D25" s="61">
        <v>5.91E-2</v>
      </c>
      <c r="F25" s="52">
        <v>9</v>
      </c>
      <c r="G25" s="231">
        <f t="shared" si="8"/>
        <v>52121.605499891681</v>
      </c>
      <c r="H25" s="156">
        <f>(('201809 Bk Depr'!$L$17-SUM('2018 Capital Budget'!N8:N11,'2018 Capital Budget'!N27:N31,'2018 Capital Budget'!N37:N38)-(1/12*$H$13))*$C$17)+SUM('2018 Capital Budget'!N8:N11,'2018 Capital Budget'!N27:N31,'2018 Capital Budget'!N37:N38)+(1/12*$H$13)</f>
        <v>582807.38650000002</v>
      </c>
      <c r="I25" s="231">
        <f t="shared" si="9"/>
        <v>634928.9919998917</v>
      </c>
      <c r="J25" s="231">
        <f>'201809 Bk Depr'!$L$31</f>
        <v>141993.44</v>
      </c>
      <c r="K25" s="231">
        <f>'201809 Bk Depr'!$P$17</f>
        <v>66764.200671000028</v>
      </c>
      <c r="L25" s="231">
        <f t="shared" si="10"/>
        <v>710158.23132889171</v>
      </c>
      <c r="M25" s="231">
        <f t="shared" si="13"/>
        <v>149133.22857906725</v>
      </c>
      <c r="N25" s="231">
        <f t="shared" si="11"/>
        <v>36953.931766886664</v>
      </c>
      <c r="O25" s="231">
        <f t="shared" si="14"/>
        <v>-7760.3256710461992</v>
      </c>
      <c r="P25" s="27"/>
      <c r="Q25" s="231">
        <f t="shared" si="12"/>
        <v>5475242.110343622</v>
      </c>
      <c r="R25" s="231">
        <f t="shared" si="6"/>
        <v>178326.83467490785</v>
      </c>
      <c r="S25" s="247" t="s">
        <v>354</v>
      </c>
      <c r="T25" s="231">
        <f>T24+R25*93/365</f>
        <v>4877307.4384308076</v>
      </c>
      <c r="V25" s="27"/>
    </row>
    <row r="26" spans="1:25">
      <c r="A26" s="52">
        <f t="shared" si="7"/>
        <v>13</v>
      </c>
      <c r="C26" s="61">
        <v>4.4609999999999997E-2</v>
      </c>
      <c r="D26" s="61">
        <v>5.8999999999999997E-2</v>
      </c>
      <c r="F26" s="52">
        <v>10</v>
      </c>
      <c r="G26" s="231">
        <f t="shared" si="8"/>
        <v>52121.605499891681</v>
      </c>
      <c r="H26" s="156">
        <f>(('201810 Bk Depr'!$L$17-SUM('2018 Capital Budget'!O8:O11,'2018 Capital Budget'!O27:O31,'2018 Capital Budget'!O37:O38)-(1/12*$H$13))*$C$17)+SUM('2018 Capital Budget'!O8:O11,'2018 Capital Budget'!O27:O31,'2018 Capital Budget'!O37:O38)+(1/12*$H$13)</f>
        <v>438521.98962499993</v>
      </c>
      <c r="I26" s="231">
        <f t="shared" si="9"/>
        <v>490643.59512489161</v>
      </c>
      <c r="J26" s="231">
        <f>'201810 Bk Depr'!$L$31</f>
        <v>188866.91999999998</v>
      </c>
      <c r="K26" s="231">
        <f>'201810 Bk Depr'!$P$17</f>
        <v>70877.309904000023</v>
      </c>
      <c r="L26" s="231">
        <f t="shared" si="10"/>
        <v>608633.20522089163</v>
      </c>
      <c r="M26" s="231">
        <f t="shared" si="13"/>
        <v>127812.97309638724</v>
      </c>
      <c r="N26" s="231">
        <f t="shared" si="11"/>
        <v>31877.680461486663</v>
      </c>
      <c r="O26" s="231">
        <f t="shared" si="14"/>
        <v>-6694.312896912199</v>
      </c>
      <c r="P26" s="27"/>
      <c r="Q26" s="231">
        <f t="shared" si="12"/>
        <v>5628238.4510045843</v>
      </c>
      <c r="R26" s="231">
        <f t="shared" si="6"/>
        <v>152996.34066096228</v>
      </c>
      <c r="S26" s="247" t="s">
        <v>355</v>
      </c>
      <c r="T26" s="231">
        <f>T25+R26*62/365</f>
        <v>4903295.8579403404</v>
      </c>
      <c r="V26" s="27"/>
    </row>
    <row r="27" spans="1:25">
      <c r="A27" s="52">
        <f t="shared" si="7"/>
        <v>14</v>
      </c>
      <c r="C27" s="61">
        <v>4.462E-2</v>
      </c>
      <c r="D27" s="61">
        <v>5.91E-2</v>
      </c>
      <c r="F27" s="52">
        <v>11</v>
      </c>
      <c r="G27" s="231">
        <f t="shared" si="8"/>
        <v>52121.605499891681</v>
      </c>
      <c r="H27" s="156">
        <f>(('201811 Bk Depr'!$L$17-SUM('2018 Capital Budget'!P8:P11,'2018 Capital Budget'!P27:P31,'2018 Capital Budget'!P37:P38)-(1/12*$H$13))*$C$17)+SUM('2018 Capital Budget'!P8:P11,'2018 Capital Budget'!P27:P31,'2018 Capital Budget'!P37:P38)+(1/12*$H$13)</f>
        <v>507218.38775000029</v>
      </c>
      <c r="I27" s="231">
        <f t="shared" si="9"/>
        <v>559339.99324989202</v>
      </c>
      <c r="J27" s="231">
        <f>'201811 Bk Depr'!$L$31</f>
        <v>166180.36000000002</v>
      </c>
      <c r="K27" s="231">
        <f>'201811 Bk Depr'!$P$17</f>
        <v>81355.923446500034</v>
      </c>
      <c r="L27" s="231">
        <f t="shared" si="10"/>
        <v>644164.42980339192</v>
      </c>
      <c r="M27" s="231">
        <f t="shared" si="13"/>
        <v>135274.5302587123</v>
      </c>
      <c r="N27" s="231">
        <f t="shared" si="11"/>
        <v>33654.241690611678</v>
      </c>
      <c r="O27" s="231">
        <f t="shared" si="14"/>
        <v>-7067.3907550284521</v>
      </c>
      <c r="P27" s="27"/>
      <c r="Q27" s="231">
        <f t="shared" si="12"/>
        <v>5790099.8321988797</v>
      </c>
      <c r="R27" s="231">
        <f t="shared" si="6"/>
        <v>161861.38119429536</v>
      </c>
      <c r="S27" s="247" t="s">
        <v>351</v>
      </c>
      <c r="T27" s="231">
        <f>T26+R27*32/365</f>
        <v>4917486.4447847717</v>
      </c>
      <c r="V27" s="27"/>
    </row>
    <row r="28" spans="1:25">
      <c r="A28" s="52">
        <f t="shared" si="7"/>
        <v>15</v>
      </c>
      <c r="C28" s="61">
        <v>4.4609999999999997E-2</v>
      </c>
      <c r="D28" s="61">
        <v>5.8999999999999997E-2</v>
      </c>
      <c r="F28" s="52">
        <v>12</v>
      </c>
      <c r="G28" s="231">
        <f t="shared" si="8"/>
        <v>52121.605499891681</v>
      </c>
      <c r="H28" s="156">
        <f>(('201812 Bk Depr'!$L$17-SUM('2018 Capital Budget'!Q8:Q11,'2018 Capital Budget'!Q27:Q31,'2018 Capital Budget'!Q37:Q38)-(1/12*$H$13))*$C$17)+SUM('2018 Capital Budget'!Q8:Q11,'2018 Capital Budget'!Q27:Q31,'2018 Capital Budget'!Q37:Q38)+(1/12*$H$13)</f>
        <v>63905.423749999987</v>
      </c>
      <c r="I28" s="231">
        <f>SUM(G28:H28)</f>
        <v>116027.02924989167</v>
      </c>
      <c r="J28" s="231">
        <f>'201812 Bk Depr'!$L$31</f>
        <v>167032.67000000001</v>
      </c>
      <c r="K28" s="231">
        <f>'201812 Bk Depr'!$P$17</f>
        <v>83420.177508000022</v>
      </c>
      <c r="L28" s="231">
        <f t="shared" si="10"/>
        <v>199639.52174189166</v>
      </c>
      <c r="M28" s="231">
        <f t="shared" si="13"/>
        <v>41924.29956579725</v>
      </c>
      <c r="N28" s="231">
        <f t="shared" si="11"/>
        <v>11427.996287536667</v>
      </c>
      <c r="O28" s="231">
        <f t="shared" si="14"/>
        <v>-2399.8792203827002</v>
      </c>
      <c r="P28" s="27"/>
      <c r="Q28" s="231">
        <f t="shared" si="12"/>
        <v>5841052.2488318319</v>
      </c>
      <c r="R28" s="231">
        <f t="shared" si="6"/>
        <v>50952.416632952169</v>
      </c>
      <c r="S28" s="247" t="s">
        <v>350</v>
      </c>
      <c r="T28" s="231">
        <f>T27+R28*1/365</f>
        <v>4917626.0404467797</v>
      </c>
      <c r="U28" s="231"/>
      <c r="V28" s="27"/>
    </row>
    <row r="29" spans="1:25">
      <c r="A29" s="52">
        <f t="shared" si="7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 t="str">
        <f t="shared" ref="P29:P43" si="15">IF(O29="","",O29*0.389)</f>
        <v/>
      </c>
      <c r="Q29" s="62"/>
      <c r="T29" s="27"/>
    </row>
    <row r="30" spans="1:25">
      <c r="A30" s="52">
        <f t="shared" si="7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 t="str">
        <f t="shared" si="15"/>
        <v/>
      </c>
      <c r="Q30" s="27" t="str">
        <f t="shared" ref="Q30:Q43" si="16">IF(M30="","",Q29+M30)</f>
        <v/>
      </c>
    </row>
    <row r="31" spans="1:25">
      <c r="A31" s="52">
        <f t="shared" si="7"/>
        <v>18</v>
      </c>
      <c r="C31" s="61">
        <v>4.462E-2</v>
      </c>
      <c r="D31" s="61">
        <v>5.91E-2</v>
      </c>
      <c r="G31" s="27"/>
      <c r="H31" s="27"/>
      <c r="I31" s="27"/>
      <c r="J31" s="27"/>
      <c r="K31" s="27"/>
      <c r="L31" s="27"/>
      <c r="M31" s="27"/>
      <c r="N31" s="27"/>
      <c r="O31" s="27"/>
      <c r="P31" s="27" t="str">
        <f t="shared" si="15"/>
        <v/>
      </c>
      <c r="Q31" s="27" t="str">
        <f t="shared" si="16"/>
        <v/>
      </c>
      <c r="V31" s="27"/>
    </row>
    <row r="32" spans="1:25">
      <c r="A32" s="52">
        <f t="shared" si="7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 t="str">
        <f t="shared" si="15"/>
        <v/>
      </c>
      <c r="Q32" s="27" t="str">
        <f t="shared" si="16"/>
        <v/>
      </c>
    </row>
    <row r="33" spans="1:17">
      <c r="A33" s="52">
        <f t="shared" si="7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 t="str">
        <f t="shared" si="15"/>
        <v/>
      </c>
      <c r="Q33" s="27" t="str">
        <f t="shared" si="16"/>
        <v/>
      </c>
    </row>
    <row r="34" spans="1:17">
      <c r="A34" s="52">
        <f t="shared" si="7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 t="str">
        <f t="shared" si="15"/>
        <v/>
      </c>
      <c r="Q34" s="27" t="str">
        <f t="shared" si="16"/>
        <v/>
      </c>
    </row>
    <row r="35" spans="1:17">
      <c r="A35" s="52">
        <f t="shared" si="7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 t="str">
        <f t="shared" si="15"/>
        <v/>
      </c>
      <c r="Q35" s="27" t="str">
        <f t="shared" si="16"/>
        <v/>
      </c>
    </row>
    <row r="36" spans="1:17">
      <c r="A36" s="52">
        <f t="shared" si="7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 t="str">
        <f t="shared" si="15"/>
        <v/>
      </c>
      <c r="Q36" s="27" t="str">
        <f t="shared" si="16"/>
        <v/>
      </c>
    </row>
    <row r="37" spans="1:17">
      <c r="A37" s="52">
        <f t="shared" si="7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 t="str">
        <f t="shared" si="15"/>
        <v/>
      </c>
      <c r="Q37" s="27" t="str">
        <f t="shared" si="16"/>
        <v/>
      </c>
    </row>
    <row r="38" spans="1:17">
      <c r="A38" s="52">
        <f t="shared" si="7"/>
        <v>25</v>
      </c>
      <c r="C38" s="61">
        <v>0</v>
      </c>
      <c r="D38" s="61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 t="str">
        <f t="shared" si="15"/>
        <v/>
      </c>
      <c r="Q38" s="27" t="str">
        <f t="shared" si="16"/>
        <v/>
      </c>
    </row>
    <row r="39" spans="1:17">
      <c r="A39" s="52">
        <f t="shared" si="7"/>
        <v>26</v>
      </c>
      <c r="C39" s="61">
        <v>0</v>
      </c>
      <c r="G39" s="27"/>
      <c r="H39" s="27"/>
      <c r="I39" s="27"/>
      <c r="L39" s="27"/>
      <c r="M39" s="27"/>
      <c r="N39" s="27"/>
      <c r="O39" s="27"/>
      <c r="P39" s="27" t="str">
        <f t="shared" si="15"/>
        <v/>
      </c>
      <c r="Q39" s="27" t="str">
        <f t="shared" si="16"/>
        <v/>
      </c>
    </row>
    <row r="40" spans="1:17">
      <c r="A40" s="52">
        <f t="shared" si="7"/>
        <v>27</v>
      </c>
      <c r="C40" s="61">
        <v>0</v>
      </c>
      <c r="G40" s="27"/>
      <c r="H40" s="27"/>
      <c r="I40" s="27"/>
      <c r="L40" s="27"/>
      <c r="M40" s="27"/>
      <c r="N40" s="27"/>
      <c r="O40" s="27"/>
      <c r="P40" s="27" t="str">
        <f t="shared" si="15"/>
        <v/>
      </c>
      <c r="Q40" s="27" t="str">
        <f t="shared" si="16"/>
        <v/>
      </c>
    </row>
    <row r="41" spans="1:17">
      <c r="A41" s="52">
        <f t="shared" si="7"/>
        <v>28</v>
      </c>
      <c r="C41" s="61">
        <v>0</v>
      </c>
      <c r="G41" s="27"/>
      <c r="H41" s="27"/>
      <c r="I41" s="27"/>
      <c r="L41" s="27"/>
      <c r="M41" s="27"/>
      <c r="N41" s="27"/>
      <c r="O41" s="27"/>
      <c r="P41" s="27" t="str">
        <f t="shared" si="15"/>
        <v/>
      </c>
      <c r="Q41" s="27" t="str">
        <f t="shared" si="16"/>
        <v/>
      </c>
    </row>
    <row r="42" spans="1:17">
      <c r="A42" s="52">
        <f t="shared" si="7"/>
        <v>29</v>
      </c>
      <c r="C42" s="61">
        <v>0</v>
      </c>
      <c r="G42" s="27"/>
      <c r="H42" s="27"/>
      <c r="I42" s="27"/>
      <c r="L42" s="27"/>
      <c r="M42" s="27"/>
      <c r="N42" s="27"/>
      <c r="O42" s="27"/>
      <c r="P42" s="27" t="str">
        <f t="shared" si="15"/>
        <v/>
      </c>
      <c r="Q42" s="27" t="str">
        <f t="shared" si="16"/>
        <v/>
      </c>
    </row>
    <row r="43" spans="1:17">
      <c r="A43" s="52">
        <f t="shared" si="7"/>
        <v>30</v>
      </c>
      <c r="C43" s="61">
        <v>0</v>
      </c>
      <c r="I43" s="27"/>
      <c r="L43" s="27"/>
      <c r="M43" s="27"/>
      <c r="N43" s="27"/>
      <c r="O43" s="27"/>
      <c r="P43" s="27" t="str">
        <f t="shared" si="15"/>
        <v/>
      </c>
      <c r="Q43" s="27" t="str">
        <f t="shared" si="16"/>
        <v/>
      </c>
    </row>
    <row r="44" spans="1:17">
      <c r="A44" s="52">
        <f t="shared" si="7"/>
        <v>31</v>
      </c>
      <c r="G44" s="27">
        <f>SUM(G17:G43)</f>
        <v>625459.26599870017</v>
      </c>
      <c r="H44" s="27">
        <f t="shared" ref="H44:P44" si="17">SUM(H17:H43)</f>
        <v>5466355.512000001</v>
      </c>
      <c r="I44" s="27">
        <f t="shared" si="17"/>
        <v>6091814.7779987007</v>
      </c>
      <c r="J44" s="27">
        <f t="shared" si="17"/>
        <v>1822437.65</v>
      </c>
      <c r="K44" s="27">
        <f t="shared" si="17"/>
        <v>717245.86252825032</v>
      </c>
      <c r="L44" s="27">
        <f t="shared" si="17"/>
        <v>7197006.5654704496</v>
      </c>
      <c r="M44" s="27">
        <f t="shared" si="17"/>
        <v>1511371.3787487943</v>
      </c>
      <c r="N44" s="27">
        <f t="shared" si="17"/>
        <v>377202.57067882764</v>
      </c>
      <c r="O44" s="27">
        <f t="shared" si="17"/>
        <v>-79212.539842553786</v>
      </c>
      <c r="P44" s="27">
        <f t="shared" si="17"/>
        <v>0</v>
      </c>
      <c r="Q44" s="27">
        <f>AVERAGE(Q16:Q28)</f>
        <v>4980316.4619881427</v>
      </c>
    </row>
    <row r="45" spans="1:17">
      <c r="G45" s="27"/>
      <c r="H45" s="27"/>
      <c r="I45" s="27"/>
      <c r="J45" s="27"/>
      <c r="K45" s="62"/>
      <c r="Q45" s="27"/>
    </row>
    <row r="46" spans="1:17">
      <c r="N46" s="27"/>
      <c r="O46" s="27"/>
      <c r="P46" s="27"/>
    </row>
    <row r="47" spans="1:17">
      <c r="B47" s="60" t="s">
        <v>163</v>
      </c>
      <c r="C47" s="52" t="s">
        <v>347</v>
      </c>
      <c r="N47" s="54"/>
      <c r="O47" s="54"/>
      <c r="P47" s="54"/>
    </row>
    <row r="48" spans="1:17">
      <c r="B48" s="60" t="s">
        <v>164</v>
      </c>
      <c r="C48" s="52" t="s">
        <v>346</v>
      </c>
      <c r="D48" s="245"/>
      <c r="N48" s="48"/>
      <c r="O48" s="48"/>
      <c r="P48" s="48"/>
    </row>
    <row r="49" spans="1:17">
      <c r="A49" s="54"/>
      <c r="B49" s="54"/>
      <c r="C49" s="54"/>
      <c r="D49" s="54" t="s">
        <v>24</v>
      </c>
      <c r="E49" s="54"/>
      <c r="F49" s="54"/>
      <c r="G49" s="54"/>
      <c r="H49" s="54"/>
      <c r="I49" s="54"/>
      <c r="J49" s="54"/>
      <c r="K49" s="54"/>
      <c r="L49" s="54"/>
      <c r="M49" s="54"/>
      <c r="N49" s="49"/>
      <c r="O49" s="49"/>
      <c r="P49" s="49"/>
      <c r="Q49" s="54"/>
    </row>
    <row r="50" spans="1:17" ht="25.5">
      <c r="A50" s="54"/>
      <c r="B50" s="54"/>
      <c r="C50" s="55" t="s">
        <v>188</v>
      </c>
      <c r="D50" s="54" t="s">
        <v>25</v>
      </c>
      <c r="E50" s="54"/>
      <c r="F50" s="54"/>
      <c r="G50" s="54">
        <v>2017</v>
      </c>
      <c r="H50" s="54">
        <v>2018</v>
      </c>
      <c r="I50" s="54"/>
      <c r="J50" s="54" t="s">
        <v>35</v>
      </c>
      <c r="K50" s="54"/>
      <c r="L50" s="54"/>
      <c r="M50" s="55" t="s">
        <v>179</v>
      </c>
      <c r="Q50" s="49"/>
    </row>
    <row r="51" spans="1:17">
      <c r="A51" s="54" t="s">
        <v>4</v>
      </c>
      <c r="B51" s="54"/>
      <c r="C51" s="54" t="s">
        <v>26</v>
      </c>
      <c r="D51" s="54" t="s">
        <v>26</v>
      </c>
      <c r="E51" s="54"/>
      <c r="F51" s="54"/>
      <c r="G51" s="54" t="s">
        <v>28</v>
      </c>
      <c r="H51" s="54" t="s">
        <v>29</v>
      </c>
      <c r="I51" s="54" t="s">
        <v>34</v>
      </c>
      <c r="J51" s="54" t="s">
        <v>36</v>
      </c>
      <c r="K51" s="54" t="s">
        <v>38</v>
      </c>
      <c r="L51" s="54"/>
      <c r="M51" s="54" t="s">
        <v>34</v>
      </c>
      <c r="Q51" s="49"/>
    </row>
    <row r="52" spans="1:17">
      <c r="A52" s="184" t="s">
        <v>5</v>
      </c>
      <c r="B52" s="184"/>
      <c r="C52" s="184" t="s">
        <v>2</v>
      </c>
      <c r="D52" s="184" t="s">
        <v>2</v>
      </c>
      <c r="E52" s="184"/>
      <c r="F52" s="184" t="s">
        <v>105</v>
      </c>
      <c r="G52" s="184" t="s">
        <v>20</v>
      </c>
      <c r="H52" s="232" t="s">
        <v>20</v>
      </c>
      <c r="I52" s="184" t="s">
        <v>0</v>
      </c>
      <c r="J52" s="184" t="s">
        <v>37</v>
      </c>
      <c r="K52" s="184" t="s">
        <v>0</v>
      </c>
      <c r="L52" s="184" t="s">
        <v>39</v>
      </c>
      <c r="M52" s="56" t="s">
        <v>453</v>
      </c>
      <c r="Q52" s="49"/>
    </row>
    <row r="53" spans="1:17">
      <c r="C53" s="57"/>
      <c r="D53" s="57" t="s">
        <v>69</v>
      </c>
      <c r="E53" s="58"/>
      <c r="F53" s="58"/>
      <c r="G53" s="58"/>
      <c r="H53" s="58"/>
      <c r="Q53" s="50"/>
    </row>
    <row r="54" spans="1:17">
      <c r="A54" s="52">
        <v>1</v>
      </c>
      <c r="C54" s="57" t="s">
        <v>68</v>
      </c>
      <c r="D54" s="59"/>
      <c r="G54" s="27">
        <f>G11+G13</f>
        <v>13471451.920000002</v>
      </c>
      <c r="H54" s="27">
        <f>H11</f>
        <v>12433934.719999999</v>
      </c>
      <c r="I54" s="62"/>
      <c r="Q54" s="50"/>
    </row>
    <row r="55" spans="1:17">
      <c r="A55" s="52">
        <v>2</v>
      </c>
      <c r="C55" s="57" t="s">
        <v>72</v>
      </c>
      <c r="D55" s="59"/>
      <c r="G55" s="27"/>
      <c r="H55" s="27">
        <f>H12</f>
        <v>5000082.9600000009</v>
      </c>
      <c r="Q55" s="50"/>
    </row>
    <row r="56" spans="1:17">
      <c r="A56" s="52">
        <v>3</v>
      </c>
      <c r="C56" s="57" t="s">
        <v>182</v>
      </c>
      <c r="D56" s="59"/>
      <c r="G56" s="27"/>
      <c r="H56" s="27">
        <f>H13</f>
        <v>0</v>
      </c>
      <c r="Q56" s="50"/>
    </row>
    <row r="57" spans="1:17">
      <c r="C57" s="59"/>
      <c r="Q57" s="50"/>
    </row>
    <row r="58" spans="1:17">
      <c r="G58" s="195"/>
      <c r="H58" s="195"/>
      <c r="I58" s="195"/>
      <c r="J58" s="195"/>
      <c r="K58" s="244"/>
      <c r="Q58" s="50"/>
    </row>
    <row r="59" spans="1:17">
      <c r="Q59" s="51"/>
    </row>
    <row r="60" spans="1:17">
      <c r="A60" s="52">
        <f>A56+1</f>
        <v>4</v>
      </c>
      <c r="C60" s="61">
        <v>3.7499999999999999E-2</v>
      </c>
      <c r="D60" s="61">
        <v>0.05</v>
      </c>
      <c r="F60" s="52">
        <v>1</v>
      </c>
      <c r="G60" s="27">
        <f>$G$54*$C$61/12</f>
        <v>81042.009508733347</v>
      </c>
      <c r="H60" s="27">
        <f>H17</f>
        <v>521537.9896250001</v>
      </c>
      <c r="I60" s="27">
        <f>SUM(G60:H60)</f>
        <v>602579.99913373345</v>
      </c>
      <c r="J60" s="231">
        <f>'201801 Bk Depr'!$L$31</f>
        <v>145490.06000000003</v>
      </c>
      <c r="K60" s="231">
        <f>'201801 Bk Depr'!$P$17</f>
        <v>42026.440119750012</v>
      </c>
      <c r="L60" s="27">
        <f t="shared" ref="L60:L65" si="18">I60+J60-K60</f>
        <v>706043.61901398352</v>
      </c>
      <c r="M60" s="27">
        <f t="shared" ref="M60:M65" si="19">L60*0.05</f>
        <v>35302.180950699178</v>
      </c>
      <c r="Q60" s="51"/>
    </row>
    <row r="61" spans="1:17">
      <c r="A61" s="52">
        <f>A60+1</f>
        <v>5</v>
      </c>
      <c r="C61" s="61">
        <v>7.2190000000000004E-2</v>
      </c>
      <c r="D61" s="61">
        <v>9.5000000000000001E-2</v>
      </c>
      <c r="F61" s="52">
        <v>2</v>
      </c>
      <c r="G61" s="27">
        <f t="shared" ref="G61:G71" si="20">$G$54*$C$61/12</f>
        <v>81042.009508733347</v>
      </c>
      <c r="H61" s="27">
        <f t="shared" ref="H61:H71" si="21">H18</f>
        <v>429630.26712500001</v>
      </c>
      <c r="I61" s="27">
        <f t="shared" ref="I61:I71" si="22">SUM(G61:H61)</f>
        <v>510672.27663373336</v>
      </c>
      <c r="J61" s="231">
        <f>'201802 Bk Depr'!$L$31</f>
        <v>181728.23</v>
      </c>
      <c r="K61" s="231">
        <f>'201802 Bk Depr'!$P$17</f>
        <v>44369.423412750009</v>
      </c>
      <c r="L61" s="27">
        <f t="shared" si="18"/>
        <v>648031.08322098339</v>
      </c>
      <c r="M61" s="27">
        <f t="shared" si="19"/>
        <v>32401.554161049171</v>
      </c>
      <c r="Q61" s="51"/>
    </row>
    <row r="62" spans="1:17">
      <c r="A62" s="52">
        <f t="shared" ref="A62:A87" si="23">A61+1</f>
        <v>6</v>
      </c>
      <c r="C62" s="61">
        <v>6.6769999999999996E-2</v>
      </c>
      <c r="D62" s="61">
        <v>8.5500000000000007E-2</v>
      </c>
      <c r="F62" s="52">
        <v>3</v>
      </c>
      <c r="G62" s="27">
        <f t="shared" si="20"/>
        <v>81042.009508733347</v>
      </c>
      <c r="H62" s="27">
        <f t="shared" si="21"/>
        <v>455162.81837499997</v>
      </c>
      <c r="I62" s="27">
        <f t="shared" si="22"/>
        <v>536204.82788373332</v>
      </c>
      <c r="J62" s="231">
        <f>'201803 Bk Depr'!$L$31</f>
        <v>125258.65</v>
      </c>
      <c r="K62" s="231">
        <f>'201803 Bk Depr'!$P$17</f>
        <v>47112.997916250017</v>
      </c>
      <c r="L62" s="27">
        <f t="shared" si="18"/>
        <v>614350.47996748332</v>
      </c>
      <c r="M62" s="27">
        <f t="shared" si="19"/>
        <v>30717.523998374167</v>
      </c>
      <c r="Q62" s="51"/>
    </row>
    <row r="63" spans="1:17">
      <c r="A63" s="52">
        <f t="shared" si="23"/>
        <v>7</v>
      </c>
      <c r="C63" s="61">
        <v>6.1769999999999999E-2</v>
      </c>
      <c r="D63" s="61">
        <v>7.6999999999999999E-2</v>
      </c>
      <c r="F63" s="52">
        <v>4</v>
      </c>
      <c r="G63" s="27">
        <f t="shared" si="20"/>
        <v>81042.009508733347</v>
      </c>
      <c r="H63" s="27">
        <f t="shared" si="21"/>
        <v>474245.76387500006</v>
      </c>
      <c r="I63" s="27">
        <f t="shared" si="22"/>
        <v>555287.77338373335</v>
      </c>
      <c r="J63" s="231">
        <f>'201804 Bk Depr'!$L$31</f>
        <v>150077.53</v>
      </c>
      <c r="K63" s="231">
        <f>'201804 Bk Depr'!$P$17</f>
        <v>50180.715000000011</v>
      </c>
      <c r="L63" s="27">
        <f t="shared" si="18"/>
        <v>655184.58838373341</v>
      </c>
      <c r="M63" s="27">
        <f t="shared" si="19"/>
        <v>32759.229419186671</v>
      </c>
      <c r="Q63" s="51"/>
    </row>
    <row r="64" spans="1:17">
      <c r="A64" s="52">
        <f t="shared" si="23"/>
        <v>8</v>
      </c>
      <c r="C64" s="61">
        <v>5.713E-2</v>
      </c>
      <c r="D64" s="61">
        <v>6.93E-2</v>
      </c>
      <c r="F64" s="52">
        <v>5</v>
      </c>
      <c r="G64" s="27">
        <f t="shared" si="20"/>
        <v>81042.009508733347</v>
      </c>
      <c r="H64" s="27">
        <f t="shared" si="21"/>
        <v>540638.13262499997</v>
      </c>
      <c r="I64" s="27">
        <f t="shared" si="22"/>
        <v>621680.14213373326</v>
      </c>
      <c r="J64" s="231">
        <f>'201805 Bk Depr'!$L$31</f>
        <v>152014.07</v>
      </c>
      <c r="K64" s="231">
        <f>'201805 Bk Depr'!$P$17</f>
        <v>53121.247220250021</v>
      </c>
      <c r="L64" s="27">
        <f t="shared" si="18"/>
        <v>720572.96491348324</v>
      </c>
      <c r="M64" s="27">
        <f t="shared" si="19"/>
        <v>36028.648245674165</v>
      </c>
      <c r="Q64" s="51"/>
    </row>
    <row r="65" spans="1:17">
      <c r="A65" s="52">
        <f t="shared" si="23"/>
        <v>9</v>
      </c>
      <c r="C65" s="61">
        <v>5.2850000000000001E-2</v>
      </c>
      <c r="D65" s="61">
        <v>6.2300000000000001E-2</v>
      </c>
      <c r="F65" s="52">
        <v>6</v>
      </c>
      <c r="G65" s="27">
        <f t="shared" si="20"/>
        <v>81042.009508733347</v>
      </c>
      <c r="H65" s="27">
        <f t="shared" si="21"/>
        <v>408795.32912499999</v>
      </c>
      <c r="I65" s="27">
        <f t="shared" si="22"/>
        <v>489837.33863373334</v>
      </c>
      <c r="J65" s="231">
        <f>'201806 Bk Depr'!$L$31</f>
        <v>161617.25</v>
      </c>
      <c r="K65" s="231">
        <f>'201806 Bk Depr'!$P$17</f>
        <v>55958.28313500002</v>
      </c>
      <c r="L65" s="27">
        <f t="shared" si="18"/>
        <v>595496.3054987333</v>
      </c>
      <c r="M65" s="27">
        <f t="shared" si="19"/>
        <v>29774.815274936667</v>
      </c>
      <c r="Q65" s="51"/>
    </row>
    <row r="66" spans="1:17">
      <c r="A66" s="52">
        <f t="shared" si="23"/>
        <v>10</v>
      </c>
      <c r="C66" s="61">
        <v>4.888E-2</v>
      </c>
      <c r="D66" s="61">
        <v>5.8999999999999997E-2</v>
      </c>
      <c r="F66" s="52">
        <v>7</v>
      </c>
      <c r="G66" s="27">
        <f t="shared" si="20"/>
        <v>81042.009508733347</v>
      </c>
      <c r="H66" s="27">
        <f t="shared" si="21"/>
        <v>544167.10162499989</v>
      </c>
      <c r="I66" s="27">
        <f t="shared" si="22"/>
        <v>625209.1111337333</v>
      </c>
      <c r="J66" s="231">
        <f>'201807 Bk Depr'!$L$31</f>
        <v>111769.92</v>
      </c>
      <c r="K66" s="231">
        <f>'201807 Bk Depr'!$P$17</f>
        <v>59200.780398750023</v>
      </c>
      <c r="L66" s="27">
        <f t="shared" ref="L66:L71" si="24">I66+J66-K66</f>
        <v>677778.25073498336</v>
      </c>
      <c r="M66" s="27">
        <f t="shared" ref="M66:M71" si="25">L66*0.05</f>
        <v>33888.912536749172</v>
      </c>
      <c r="Q66" s="51"/>
    </row>
    <row r="67" spans="1:17">
      <c r="A67" s="52">
        <f t="shared" si="23"/>
        <v>11</v>
      </c>
      <c r="C67" s="61">
        <v>4.5220000000000003E-2</v>
      </c>
      <c r="D67" s="61">
        <v>5.8999999999999997E-2</v>
      </c>
      <c r="F67" s="52">
        <v>8</v>
      </c>
      <c r="G67" s="27">
        <f t="shared" si="20"/>
        <v>81042.009508733347</v>
      </c>
      <c r="H67" s="27">
        <f t="shared" si="21"/>
        <v>499724.92199999996</v>
      </c>
      <c r="I67" s="27">
        <f t="shared" si="22"/>
        <v>580766.93150873331</v>
      </c>
      <c r="J67" s="231">
        <f>'201808 Bk Depr'!$L$31</f>
        <v>130408.55</v>
      </c>
      <c r="K67" s="231">
        <f>'201808 Bk Depr'!$P$17</f>
        <v>62858.36379600002</v>
      </c>
      <c r="L67" s="27">
        <f t="shared" si="24"/>
        <v>648317.11771273334</v>
      </c>
      <c r="M67" s="27">
        <f t="shared" si="25"/>
        <v>32415.855885636669</v>
      </c>
      <c r="Q67" s="51"/>
    </row>
    <row r="68" spans="1:17">
      <c r="A68" s="52">
        <f t="shared" si="23"/>
        <v>12</v>
      </c>
      <c r="C68" s="61">
        <v>4.462E-2</v>
      </c>
      <c r="D68" s="61">
        <v>5.91E-2</v>
      </c>
      <c r="F68" s="52">
        <v>9</v>
      </c>
      <c r="G68" s="27">
        <f t="shared" si="20"/>
        <v>81042.009508733347</v>
      </c>
      <c r="H68" s="27">
        <f t="shared" si="21"/>
        <v>582807.38650000002</v>
      </c>
      <c r="I68" s="27">
        <f t="shared" si="22"/>
        <v>663849.39600873343</v>
      </c>
      <c r="J68" s="231">
        <f>'201809 Bk Depr'!$L$31</f>
        <v>141993.44</v>
      </c>
      <c r="K68" s="231">
        <f>'201809 Bk Depr'!$P$17</f>
        <v>66764.200671000028</v>
      </c>
      <c r="L68" s="27">
        <f t="shared" si="24"/>
        <v>739078.63533773331</v>
      </c>
      <c r="M68" s="27">
        <f t="shared" si="25"/>
        <v>36953.931766886664</v>
      </c>
      <c r="Q68" s="51"/>
    </row>
    <row r="69" spans="1:17">
      <c r="A69" s="52">
        <f t="shared" si="23"/>
        <v>13</v>
      </c>
      <c r="C69" s="61">
        <v>4.4609999999999997E-2</v>
      </c>
      <c r="D69" s="61">
        <v>5.8999999999999997E-2</v>
      </c>
      <c r="F69" s="52">
        <v>10</v>
      </c>
      <c r="G69" s="27">
        <f t="shared" si="20"/>
        <v>81042.009508733347</v>
      </c>
      <c r="H69" s="27">
        <f t="shared" si="21"/>
        <v>438521.98962499993</v>
      </c>
      <c r="I69" s="27">
        <f t="shared" si="22"/>
        <v>519563.99913373328</v>
      </c>
      <c r="J69" s="231">
        <f>'201810 Bk Depr'!$L$31</f>
        <v>188866.91999999998</v>
      </c>
      <c r="K69" s="231">
        <f>'201810 Bk Depr'!$P$17</f>
        <v>70877.309904000023</v>
      </c>
      <c r="L69" s="27">
        <f t="shared" si="24"/>
        <v>637553.60922973324</v>
      </c>
      <c r="M69" s="27">
        <f t="shared" si="25"/>
        <v>31877.680461486663</v>
      </c>
      <c r="Q69" s="51"/>
    </row>
    <row r="70" spans="1:17">
      <c r="A70" s="52">
        <f t="shared" si="23"/>
        <v>14</v>
      </c>
      <c r="C70" s="61">
        <v>4.462E-2</v>
      </c>
      <c r="D70" s="61">
        <v>5.91E-2</v>
      </c>
      <c r="F70" s="52">
        <v>11</v>
      </c>
      <c r="G70" s="27">
        <f t="shared" si="20"/>
        <v>81042.009508733347</v>
      </c>
      <c r="H70" s="27">
        <f t="shared" si="21"/>
        <v>507218.38775000029</v>
      </c>
      <c r="I70" s="27">
        <f t="shared" si="22"/>
        <v>588260.39725873363</v>
      </c>
      <c r="J70" s="231">
        <f>'201811 Bk Depr'!$L$31</f>
        <v>166180.36000000002</v>
      </c>
      <c r="K70" s="231">
        <f>'201811 Bk Depr'!$P$17</f>
        <v>81355.923446500034</v>
      </c>
      <c r="L70" s="27">
        <f t="shared" si="24"/>
        <v>673084.83381223353</v>
      </c>
      <c r="M70" s="27">
        <f t="shared" si="25"/>
        <v>33654.241690611678</v>
      </c>
      <c r="Q70" s="51"/>
    </row>
    <row r="71" spans="1:17">
      <c r="A71" s="52">
        <f t="shared" si="23"/>
        <v>15</v>
      </c>
      <c r="C71" s="61">
        <v>4.4609999999999997E-2</v>
      </c>
      <c r="D71" s="61">
        <v>5.8999999999999997E-2</v>
      </c>
      <c r="F71" s="52">
        <v>12</v>
      </c>
      <c r="G71" s="27">
        <f t="shared" si="20"/>
        <v>81042.009508733347</v>
      </c>
      <c r="H71" s="27">
        <f t="shared" si="21"/>
        <v>63905.423749999987</v>
      </c>
      <c r="I71" s="27">
        <f t="shared" si="22"/>
        <v>144947.43325873333</v>
      </c>
      <c r="J71" s="231">
        <f>'201812 Bk Depr'!$L$31</f>
        <v>167032.67000000001</v>
      </c>
      <c r="K71" s="231">
        <f>'201812 Bk Depr'!$P$17</f>
        <v>83420.177508000022</v>
      </c>
      <c r="L71" s="27">
        <f t="shared" si="24"/>
        <v>228559.92575073332</v>
      </c>
      <c r="M71" s="27">
        <f t="shared" si="25"/>
        <v>11427.996287536667</v>
      </c>
      <c r="Q71" s="51"/>
    </row>
    <row r="72" spans="1:17">
      <c r="A72" s="52">
        <f t="shared" si="23"/>
        <v>16</v>
      </c>
      <c r="C72" s="61">
        <v>4.462E-2</v>
      </c>
      <c r="D72" s="61">
        <v>5.91E-2</v>
      </c>
      <c r="G72" s="27"/>
      <c r="H72" s="27"/>
      <c r="I72" s="27"/>
      <c r="J72" s="27"/>
      <c r="K72" s="27"/>
      <c r="L72" s="27" t="str">
        <f t="shared" ref="L72:L86" si="26">IF(K72=0,"",I72+J72-K72)</f>
        <v/>
      </c>
      <c r="M72" s="27" t="str">
        <f t="shared" ref="M72:M86" si="27">IF(L72="","",L72*0.389)</f>
        <v/>
      </c>
      <c r="N72" s="51"/>
      <c r="O72" s="51"/>
      <c r="P72" s="51"/>
      <c r="Q72" s="27" t="str">
        <f t="shared" ref="Q72:Q86" si="28">IF(M72="","",Q71+M72)</f>
        <v/>
      </c>
    </row>
    <row r="73" spans="1:17">
      <c r="A73" s="52">
        <f t="shared" si="23"/>
        <v>17</v>
      </c>
      <c r="C73" s="61">
        <v>4.4609999999999997E-2</v>
      </c>
      <c r="D73" s="61">
        <v>5.8999999999999997E-2</v>
      </c>
      <c r="G73" s="27"/>
      <c r="H73" s="27"/>
      <c r="I73" s="27"/>
      <c r="J73" s="27"/>
      <c r="K73" s="27"/>
      <c r="L73" s="27" t="str">
        <f t="shared" si="26"/>
        <v/>
      </c>
      <c r="M73" s="27" t="str">
        <f t="shared" si="27"/>
        <v/>
      </c>
      <c r="N73" s="51"/>
      <c r="O73" s="51"/>
      <c r="P73" s="51"/>
      <c r="Q73" s="27" t="str">
        <f t="shared" si="28"/>
        <v/>
      </c>
    </row>
    <row r="74" spans="1:17">
      <c r="A74" s="52">
        <f t="shared" si="23"/>
        <v>18</v>
      </c>
      <c r="C74" s="61">
        <v>4.462E-2</v>
      </c>
      <c r="D74" s="61">
        <v>5.91E-2</v>
      </c>
      <c r="G74" s="27"/>
      <c r="H74" s="27"/>
      <c r="I74" s="27"/>
      <c r="J74" s="27"/>
      <c r="K74" s="27"/>
      <c r="L74" s="27" t="str">
        <f t="shared" si="26"/>
        <v/>
      </c>
      <c r="M74" s="27" t="str">
        <f t="shared" si="27"/>
        <v/>
      </c>
      <c r="N74" s="51"/>
      <c r="O74" s="51"/>
      <c r="P74" s="51"/>
      <c r="Q74" s="27" t="str">
        <f t="shared" si="28"/>
        <v/>
      </c>
    </row>
    <row r="75" spans="1:17">
      <c r="A75" s="52">
        <f t="shared" si="23"/>
        <v>19</v>
      </c>
      <c r="C75" s="61">
        <v>4.4609999999999997E-2</v>
      </c>
      <c r="D75" s="61">
        <v>2.9499999999999998E-2</v>
      </c>
      <c r="G75" s="27"/>
      <c r="H75" s="27"/>
      <c r="I75" s="27"/>
      <c r="J75" s="27"/>
      <c r="K75" s="27"/>
      <c r="L75" s="27" t="str">
        <f t="shared" si="26"/>
        <v/>
      </c>
      <c r="M75" s="27" t="str">
        <f t="shared" si="27"/>
        <v/>
      </c>
      <c r="N75" s="51"/>
      <c r="O75" s="51"/>
      <c r="P75" s="51"/>
      <c r="Q75" s="27" t="str">
        <f t="shared" si="28"/>
        <v/>
      </c>
    </row>
    <row r="76" spans="1:17">
      <c r="A76" s="52">
        <f t="shared" si="23"/>
        <v>20</v>
      </c>
      <c r="C76" s="61">
        <v>4.462E-2</v>
      </c>
      <c r="D76" s="61">
        <v>0</v>
      </c>
      <c r="G76" s="27"/>
      <c r="H76" s="27"/>
      <c r="I76" s="27"/>
      <c r="J76" s="27"/>
      <c r="K76" s="27"/>
      <c r="L76" s="27" t="str">
        <f t="shared" si="26"/>
        <v/>
      </c>
      <c r="M76" s="27" t="str">
        <f t="shared" si="27"/>
        <v/>
      </c>
      <c r="N76" s="51"/>
      <c r="O76" s="51"/>
      <c r="P76" s="51"/>
      <c r="Q76" s="27" t="str">
        <f t="shared" si="28"/>
        <v/>
      </c>
    </row>
    <row r="77" spans="1:17">
      <c r="A77" s="52">
        <f t="shared" si="23"/>
        <v>21</v>
      </c>
      <c r="C77" s="61">
        <v>4.4609999999999997E-2</v>
      </c>
      <c r="D77" s="61">
        <v>0</v>
      </c>
      <c r="G77" s="27"/>
      <c r="H77" s="27"/>
      <c r="I77" s="27"/>
      <c r="J77" s="27"/>
      <c r="K77" s="27"/>
      <c r="L77" s="27" t="str">
        <f t="shared" si="26"/>
        <v/>
      </c>
      <c r="M77" s="27" t="str">
        <f t="shared" si="27"/>
        <v/>
      </c>
      <c r="N77" s="51"/>
      <c r="O77" s="51"/>
      <c r="P77" s="51"/>
      <c r="Q77" s="27" t="str">
        <f t="shared" si="28"/>
        <v/>
      </c>
    </row>
    <row r="78" spans="1:17">
      <c r="A78" s="52">
        <f t="shared" si="23"/>
        <v>22</v>
      </c>
      <c r="C78" s="61">
        <v>4.462E-2</v>
      </c>
      <c r="D78" s="61">
        <v>0</v>
      </c>
      <c r="G78" s="27"/>
      <c r="H78" s="27"/>
      <c r="I78" s="27"/>
      <c r="J78" s="27"/>
      <c r="K78" s="27"/>
      <c r="L78" s="27" t="str">
        <f t="shared" si="26"/>
        <v/>
      </c>
      <c r="M78" s="27" t="str">
        <f t="shared" si="27"/>
        <v/>
      </c>
      <c r="N78" s="51"/>
      <c r="O78" s="51"/>
      <c r="P78" s="51"/>
      <c r="Q78" s="27" t="str">
        <f t="shared" si="28"/>
        <v/>
      </c>
    </row>
    <row r="79" spans="1:17">
      <c r="A79" s="52">
        <f t="shared" si="23"/>
        <v>23</v>
      </c>
      <c r="C79" s="61">
        <v>4.4609999999999997E-2</v>
      </c>
      <c r="D79" s="61">
        <v>0</v>
      </c>
      <c r="G79" s="27"/>
      <c r="H79" s="27"/>
      <c r="I79" s="27"/>
      <c r="J79" s="27"/>
      <c r="K79" s="27"/>
      <c r="L79" s="27" t="str">
        <f t="shared" si="26"/>
        <v/>
      </c>
      <c r="M79" s="27" t="str">
        <f t="shared" si="27"/>
        <v/>
      </c>
      <c r="N79" s="51"/>
      <c r="O79" s="51"/>
      <c r="P79" s="51"/>
      <c r="Q79" s="27" t="str">
        <f t="shared" si="28"/>
        <v/>
      </c>
    </row>
    <row r="80" spans="1:17">
      <c r="A80" s="52">
        <f t="shared" si="23"/>
        <v>24</v>
      </c>
      <c r="C80" s="61">
        <v>2.231E-2</v>
      </c>
      <c r="D80" s="61">
        <v>0</v>
      </c>
      <c r="G80" s="27"/>
      <c r="H80" s="27"/>
      <c r="I80" s="27"/>
      <c r="J80" s="27"/>
      <c r="K80" s="27"/>
      <c r="L80" s="27" t="str">
        <f t="shared" si="26"/>
        <v/>
      </c>
      <c r="M80" s="27" t="str">
        <f t="shared" si="27"/>
        <v/>
      </c>
      <c r="N80" s="51"/>
      <c r="O80" s="51"/>
      <c r="P80" s="51"/>
      <c r="Q80" s="27" t="str">
        <f t="shared" si="28"/>
        <v/>
      </c>
    </row>
    <row r="81" spans="1:17">
      <c r="A81" s="52">
        <f t="shared" si="23"/>
        <v>25</v>
      </c>
      <c r="C81" s="61">
        <v>0</v>
      </c>
      <c r="D81" s="61">
        <v>0</v>
      </c>
      <c r="G81" s="27"/>
      <c r="H81" s="27"/>
      <c r="I81" s="27"/>
      <c r="J81" s="27"/>
      <c r="K81" s="27"/>
      <c r="L81" s="27" t="str">
        <f t="shared" si="26"/>
        <v/>
      </c>
      <c r="M81" s="27" t="str">
        <f t="shared" si="27"/>
        <v/>
      </c>
      <c r="N81" s="51"/>
      <c r="O81" s="51"/>
      <c r="P81" s="51"/>
      <c r="Q81" s="27" t="str">
        <f t="shared" si="28"/>
        <v/>
      </c>
    </row>
    <row r="82" spans="1:17">
      <c r="A82" s="52">
        <f t="shared" si="23"/>
        <v>26</v>
      </c>
      <c r="C82" s="61">
        <v>0</v>
      </c>
      <c r="G82" s="27"/>
      <c r="H82" s="27"/>
      <c r="I82" s="27"/>
      <c r="L82" s="27" t="str">
        <f t="shared" si="26"/>
        <v/>
      </c>
      <c r="M82" s="27" t="str">
        <f t="shared" si="27"/>
        <v/>
      </c>
      <c r="N82" s="51"/>
      <c r="O82" s="51"/>
      <c r="P82" s="51"/>
      <c r="Q82" s="27" t="str">
        <f t="shared" si="28"/>
        <v/>
      </c>
    </row>
    <row r="83" spans="1:17">
      <c r="A83" s="52">
        <f t="shared" si="23"/>
        <v>27</v>
      </c>
      <c r="C83" s="61">
        <v>0</v>
      </c>
      <c r="G83" s="27"/>
      <c r="H83" s="27"/>
      <c r="I83" s="27"/>
      <c r="L83" s="27" t="str">
        <f t="shared" si="26"/>
        <v/>
      </c>
      <c r="M83" s="27" t="str">
        <f t="shared" si="27"/>
        <v/>
      </c>
      <c r="N83" s="51"/>
      <c r="O83" s="51"/>
      <c r="P83" s="51"/>
      <c r="Q83" s="27" t="str">
        <f t="shared" si="28"/>
        <v/>
      </c>
    </row>
    <row r="84" spans="1:17">
      <c r="A84" s="52">
        <f t="shared" si="23"/>
        <v>28</v>
      </c>
      <c r="C84" s="61">
        <v>0</v>
      </c>
      <c r="G84" s="27"/>
      <c r="H84" s="27"/>
      <c r="I84" s="27"/>
      <c r="L84" s="27" t="str">
        <f t="shared" si="26"/>
        <v/>
      </c>
      <c r="M84" s="27" t="str">
        <f t="shared" si="27"/>
        <v/>
      </c>
      <c r="N84" s="51"/>
      <c r="O84" s="51"/>
      <c r="P84" s="51"/>
      <c r="Q84" s="27" t="str">
        <f t="shared" si="28"/>
        <v/>
      </c>
    </row>
    <row r="85" spans="1:17">
      <c r="A85" s="52">
        <f t="shared" si="23"/>
        <v>29</v>
      </c>
      <c r="C85" s="61">
        <v>0</v>
      </c>
      <c r="G85" s="27"/>
      <c r="H85" s="27"/>
      <c r="I85" s="27"/>
      <c r="L85" s="27" t="str">
        <f t="shared" si="26"/>
        <v/>
      </c>
      <c r="M85" s="27" t="str">
        <f t="shared" si="27"/>
        <v/>
      </c>
      <c r="N85" s="51"/>
      <c r="O85" s="51"/>
      <c r="P85" s="51"/>
      <c r="Q85" s="27" t="str">
        <f t="shared" si="28"/>
        <v/>
      </c>
    </row>
    <row r="86" spans="1:17">
      <c r="A86" s="52">
        <f t="shared" si="23"/>
        <v>30</v>
      </c>
      <c r="C86" s="61">
        <v>0</v>
      </c>
      <c r="I86" s="27"/>
      <c r="L86" s="27" t="str">
        <f t="shared" si="26"/>
        <v/>
      </c>
      <c r="M86" s="27" t="str">
        <f t="shared" si="27"/>
        <v/>
      </c>
      <c r="Q86" s="27" t="str">
        <f t="shared" si="28"/>
        <v/>
      </c>
    </row>
    <row r="87" spans="1:17">
      <c r="A87" s="52">
        <f t="shared" si="23"/>
        <v>31</v>
      </c>
      <c r="G87" s="27">
        <f t="shared" ref="G87:M87" si="29">SUM(G60:G86)</f>
        <v>972504.11410480039</v>
      </c>
      <c r="H87" s="27">
        <f t="shared" si="29"/>
        <v>5466355.512000001</v>
      </c>
      <c r="I87" s="27">
        <f t="shared" si="29"/>
        <v>6438859.6261048</v>
      </c>
      <c r="J87" s="27">
        <f t="shared" si="29"/>
        <v>1822437.65</v>
      </c>
      <c r="K87" s="27">
        <f t="shared" si="29"/>
        <v>717245.86252825032</v>
      </c>
      <c r="L87" s="27">
        <f t="shared" si="29"/>
        <v>7544051.4135765499</v>
      </c>
      <c r="M87" s="27">
        <f t="shared" si="29"/>
        <v>377202.57067882764</v>
      </c>
      <c r="N87" s="27"/>
      <c r="O87" s="27"/>
      <c r="P87" s="27"/>
      <c r="Q87" s="27"/>
    </row>
    <row r="88" spans="1:17">
      <c r="G88" s="27"/>
      <c r="H88" s="27"/>
      <c r="I88" s="27"/>
      <c r="J88" s="27"/>
      <c r="K88" s="27"/>
      <c r="Q88" s="27"/>
    </row>
    <row r="90" spans="1:17">
      <c r="B90" s="60" t="s">
        <v>163</v>
      </c>
      <c r="C90" s="52" t="s">
        <v>349</v>
      </c>
    </row>
    <row r="91" spans="1:17">
      <c r="B91" s="60" t="s">
        <v>164</v>
      </c>
      <c r="C91" s="52" t="s">
        <v>348</v>
      </c>
      <c r="D91" s="245"/>
    </row>
  </sheetData>
  <pageMargins left="0.7" right="0.7" top="0.75" bottom="0.75" header="0.3" footer="0.3"/>
  <pageSetup scale="60" orientation="landscape" r:id="rId1"/>
  <headerFooter>
    <oddFooter>&amp;R&amp;"Times New Roman,Bold"&amp;17Exhibit 4
Page 17 of 17&amp;L&amp;1#&amp;"Calibri"&amp;14&amp;K000000Business Use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39997558519241921"/>
  </sheetPr>
  <dimension ref="A1:S63"/>
  <sheetViews>
    <sheetView workbookViewId="0"/>
  </sheetViews>
  <sheetFormatPr defaultColWidth="9.140625" defaultRowHeight="12.75"/>
  <cols>
    <col min="1" max="1" width="6.42578125" style="199" customWidth="1"/>
    <col min="2" max="2" width="12" style="199" bestFit="1" customWidth="1"/>
    <col min="3" max="3" width="13.85546875" style="199" bestFit="1" customWidth="1"/>
    <col min="4" max="4" width="34.85546875" style="199" bestFit="1" customWidth="1"/>
    <col min="5" max="5" width="7" style="199" bestFit="1" customWidth="1"/>
    <col min="6" max="17" width="9.85546875" style="199" customWidth="1"/>
    <col min="18" max="18" width="11.5703125" style="199" customWidth="1"/>
    <col min="19" max="16384" width="9.140625" style="199"/>
  </cols>
  <sheetData>
    <row r="1" spans="1:19">
      <c r="A1" s="198" t="s">
        <v>267</v>
      </c>
    </row>
    <row r="2" spans="1:19">
      <c r="A2" s="198" t="s">
        <v>268</v>
      </c>
      <c r="F2" s="340" t="s">
        <v>451</v>
      </c>
      <c r="G2" s="339"/>
      <c r="H2" s="339"/>
      <c r="J2" s="513" t="s">
        <v>688</v>
      </c>
    </row>
    <row r="3" spans="1:19">
      <c r="A3" s="198" t="s">
        <v>269</v>
      </c>
    </row>
    <row r="6" spans="1:19">
      <c r="A6" s="200" t="s">
        <v>270</v>
      </c>
      <c r="B6" s="200" t="s">
        <v>136</v>
      </c>
      <c r="C6" s="200" t="s">
        <v>138</v>
      </c>
      <c r="D6" s="200" t="s">
        <v>271</v>
      </c>
      <c r="E6" s="200" t="s">
        <v>140</v>
      </c>
      <c r="F6" s="200" t="s">
        <v>272</v>
      </c>
      <c r="G6" s="200" t="s">
        <v>273</v>
      </c>
      <c r="H6" s="200" t="s">
        <v>274</v>
      </c>
      <c r="I6" s="200" t="s">
        <v>275</v>
      </c>
      <c r="J6" s="200" t="s">
        <v>276</v>
      </c>
      <c r="K6" s="200" t="s">
        <v>277</v>
      </c>
      <c r="L6" s="200" t="s">
        <v>278</v>
      </c>
      <c r="M6" s="200" t="s">
        <v>279</v>
      </c>
      <c r="N6" s="200" t="s">
        <v>280</v>
      </c>
      <c r="O6" s="200" t="s">
        <v>281</v>
      </c>
      <c r="P6" s="200" t="s">
        <v>282</v>
      </c>
      <c r="Q6" s="200" t="s">
        <v>283</v>
      </c>
      <c r="R6" s="200" t="s">
        <v>284</v>
      </c>
    </row>
    <row r="7" spans="1:19">
      <c r="A7" s="201" t="s">
        <v>285</v>
      </c>
      <c r="B7" s="201"/>
      <c r="C7" s="201"/>
      <c r="D7" s="201"/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spans="1:19">
      <c r="B8" s="203" t="s">
        <v>110</v>
      </c>
      <c r="C8" s="214" t="s">
        <v>286</v>
      </c>
      <c r="D8" s="215" t="s">
        <v>287</v>
      </c>
      <c r="E8" s="199">
        <v>2018</v>
      </c>
      <c r="F8" s="246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>
        <f t="shared" ref="R8:R38" si="0">SUM(F8:Q8)</f>
        <v>0</v>
      </c>
    </row>
    <row r="9" spans="1:19">
      <c r="B9" s="203"/>
      <c r="C9" s="218" t="s">
        <v>111</v>
      </c>
      <c r="D9" s="219" t="s">
        <v>112</v>
      </c>
      <c r="E9" s="199">
        <v>2018</v>
      </c>
      <c r="F9" s="246">
        <v>217390.26</v>
      </c>
      <c r="G9" s="204">
        <v>202240.54</v>
      </c>
      <c r="H9" s="204">
        <v>173100.85</v>
      </c>
      <c r="I9" s="204">
        <v>177538.88</v>
      </c>
      <c r="J9" s="204">
        <v>269120.84000000003</v>
      </c>
      <c r="K9" s="204">
        <v>182699.61</v>
      </c>
      <c r="L9" s="204">
        <v>234832.89</v>
      </c>
      <c r="M9" s="204">
        <v>217422.93</v>
      </c>
      <c r="N9" s="204">
        <v>246311.61</v>
      </c>
      <c r="O9" s="204">
        <v>178474.34999999986</v>
      </c>
      <c r="P9" s="204">
        <v>114089.67</v>
      </c>
      <c r="Q9" s="204">
        <v>0</v>
      </c>
      <c r="R9" s="204">
        <f t="shared" si="0"/>
        <v>2213222.4299999997</v>
      </c>
    </row>
    <row r="10" spans="1:19">
      <c r="B10" s="203"/>
      <c r="C10" s="218" t="s">
        <v>113</v>
      </c>
      <c r="D10" s="219" t="s">
        <v>114</v>
      </c>
      <c r="E10" s="199">
        <v>2018</v>
      </c>
      <c r="F10" s="246">
        <v>4555.67</v>
      </c>
      <c r="G10" s="205">
        <v>0</v>
      </c>
      <c r="H10" s="205">
        <v>6485.59</v>
      </c>
      <c r="I10" s="205">
        <v>709.28</v>
      </c>
      <c r="J10" s="205">
        <v>304.47000000000003</v>
      </c>
      <c r="K10" s="205">
        <v>1091.6400000000001</v>
      </c>
      <c r="L10" s="205">
        <v>568.69000000000005</v>
      </c>
      <c r="M10" s="205">
        <v>605.04999999999995</v>
      </c>
      <c r="N10" s="205">
        <v>10761.12</v>
      </c>
      <c r="O10" s="205">
        <v>281.58</v>
      </c>
      <c r="P10" s="205">
        <v>1.8189894035458565E-12</v>
      </c>
      <c r="Q10" s="205">
        <v>2414.0100000000002</v>
      </c>
      <c r="R10" s="204">
        <f t="shared" si="0"/>
        <v>27777.100000000006</v>
      </c>
      <c r="S10" s="204"/>
    </row>
    <row r="11" spans="1:19">
      <c r="B11" s="203"/>
      <c r="C11" s="218" t="s">
        <v>115</v>
      </c>
      <c r="D11" s="219" t="s">
        <v>116</v>
      </c>
      <c r="E11" s="199">
        <v>2018</v>
      </c>
      <c r="F11" s="246">
        <v>2251.94</v>
      </c>
      <c r="G11" s="205">
        <v>66767.149999999994</v>
      </c>
      <c r="H11" s="205">
        <v>43946.32</v>
      </c>
      <c r="I11" s="205">
        <v>35317.1</v>
      </c>
      <c r="J11" s="205">
        <v>13431.47</v>
      </c>
      <c r="K11" s="205">
        <v>1302.33</v>
      </c>
      <c r="L11" s="205">
        <v>2177.8000000000002</v>
      </c>
      <c r="M11" s="205">
        <v>5359.92</v>
      </c>
      <c r="N11" s="205">
        <v>-823.38</v>
      </c>
      <c r="O11" s="205">
        <v>659.10000000000582</v>
      </c>
      <c r="P11" s="205">
        <v>1356.67</v>
      </c>
      <c r="Q11" s="205">
        <v>12230.3</v>
      </c>
      <c r="R11" s="204">
        <f t="shared" si="0"/>
        <v>183976.72</v>
      </c>
    </row>
    <row r="12" spans="1:19">
      <c r="B12" s="203"/>
      <c r="C12" s="220" t="s">
        <v>117</v>
      </c>
      <c r="D12" s="219" t="s">
        <v>118</v>
      </c>
      <c r="E12" s="199">
        <v>2018</v>
      </c>
      <c r="F12" s="248">
        <v>337544.33</v>
      </c>
      <c r="G12" s="205">
        <v>356424.65</v>
      </c>
      <c r="H12" s="205">
        <v>301082.81000000029</v>
      </c>
      <c r="I12" s="205">
        <v>192702.77</v>
      </c>
      <c r="J12" s="205">
        <v>164688.87</v>
      </c>
      <c r="K12" s="205">
        <v>166689.12</v>
      </c>
      <c r="L12" s="205">
        <v>217527.12</v>
      </c>
      <c r="M12" s="205">
        <v>167700.97</v>
      </c>
      <c r="N12" s="205">
        <v>175800.9</v>
      </c>
      <c r="O12" s="205">
        <v>207949.38</v>
      </c>
      <c r="P12" s="205">
        <v>1849284.33</v>
      </c>
      <c r="Q12" s="205">
        <v>482005.01</v>
      </c>
      <c r="R12" s="204">
        <f t="shared" si="0"/>
        <v>4619400.2600000007</v>
      </c>
    </row>
    <row r="13" spans="1:19">
      <c r="B13" s="203"/>
      <c r="C13" s="218" t="s">
        <v>119</v>
      </c>
      <c r="D13" s="219" t="s">
        <v>216</v>
      </c>
      <c r="E13" s="199">
        <v>2018</v>
      </c>
      <c r="F13" s="248">
        <v>4525.0600000000004</v>
      </c>
      <c r="G13" s="205">
        <v>1168.0999999999999</v>
      </c>
      <c r="H13" s="205">
        <v>10436.489999999998</v>
      </c>
      <c r="I13" s="205">
        <v>893.99</v>
      </c>
      <c r="J13" s="205">
        <v>608.49</v>
      </c>
      <c r="K13" s="205">
        <v>270.51</v>
      </c>
      <c r="L13" s="205">
        <v>1473.28</v>
      </c>
      <c r="M13" s="205">
        <v>1991.2</v>
      </c>
      <c r="N13" s="205">
        <v>1313.62</v>
      </c>
      <c r="O13" s="205">
        <v>852.07</v>
      </c>
      <c r="P13" s="205">
        <v>10716.72</v>
      </c>
      <c r="Q13" s="205">
        <v>1096.79</v>
      </c>
      <c r="R13" s="204">
        <f t="shared" si="0"/>
        <v>35346.32</v>
      </c>
      <c r="S13" s="204"/>
    </row>
    <row r="14" spans="1:19">
      <c r="B14" s="203"/>
      <c r="C14" s="218" t="s">
        <v>288</v>
      </c>
      <c r="D14" s="219" t="s">
        <v>289</v>
      </c>
      <c r="E14" s="199">
        <v>2018</v>
      </c>
      <c r="F14" s="248">
        <v>0</v>
      </c>
      <c r="G14" s="205">
        <v>0</v>
      </c>
      <c r="H14" s="205">
        <v>35378.97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60697.9</v>
      </c>
      <c r="Q14" s="205">
        <v>4732.75</v>
      </c>
      <c r="R14" s="204">
        <f t="shared" si="0"/>
        <v>100809.62</v>
      </c>
    </row>
    <row r="15" spans="1:19">
      <c r="B15" s="203"/>
      <c r="C15" s="218" t="s">
        <v>290</v>
      </c>
      <c r="D15" s="219" t="s">
        <v>291</v>
      </c>
      <c r="E15" s="199">
        <v>2018</v>
      </c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204">
        <f t="shared" si="0"/>
        <v>0</v>
      </c>
    </row>
    <row r="16" spans="1:19">
      <c r="B16" s="203"/>
      <c r="C16" s="218" t="s">
        <v>292</v>
      </c>
      <c r="D16" s="219" t="s">
        <v>293</v>
      </c>
      <c r="E16" s="199">
        <v>2018</v>
      </c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4">
        <f t="shared" si="0"/>
        <v>0</v>
      </c>
    </row>
    <row r="17" spans="1:19">
      <c r="B17" s="203"/>
      <c r="C17" s="218" t="s">
        <v>294</v>
      </c>
      <c r="D17" s="219" t="s">
        <v>295</v>
      </c>
      <c r="E17" s="199">
        <v>2018</v>
      </c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4">
        <f t="shared" si="0"/>
        <v>0</v>
      </c>
    </row>
    <row r="18" spans="1:19">
      <c r="B18" s="203"/>
      <c r="C18" s="218" t="s">
        <v>220</v>
      </c>
      <c r="D18" s="219" t="s">
        <v>221</v>
      </c>
      <c r="E18" s="199">
        <v>2018</v>
      </c>
      <c r="F18" s="509">
        <v>0</v>
      </c>
      <c r="G18" s="509">
        <v>0</v>
      </c>
      <c r="H18" s="509">
        <v>322649.24</v>
      </c>
      <c r="I18" s="509">
        <v>293853.83</v>
      </c>
      <c r="J18" s="509">
        <v>409703.2</v>
      </c>
      <c r="K18" s="509">
        <v>291381.5</v>
      </c>
      <c r="L18" s="509">
        <v>570136.19999999995</v>
      </c>
      <c r="M18" s="509">
        <v>542621.73</v>
      </c>
      <c r="N18" s="509">
        <v>624144.54</v>
      </c>
      <c r="O18" s="509">
        <v>735682.49</v>
      </c>
      <c r="P18" s="509">
        <v>541028.06999999995</v>
      </c>
      <c r="Q18" s="509">
        <v>680888.33</v>
      </c>
      <c r="R18" s="204">
        <f t="shared" si="0"/>
        <v>5012089.1300000008</v>
      </c>
    </row>
    <row r="19" spans="1:19">
      <c r="B19" s="203"/>
      <c r="C19" s="218" t="s">
        <v>296</v>
      </c>
      <c r="D19" s="219" t="s">
        <v>297</v>
      </c>
      <c r="E19" s="199">
        <v>2018</v>
      </c>
      <c r="F19" s="509"/>
      <c r="G19" s="509"/>
      <c r="H19" s="509"/>
      <c r="I19" s="509"/>
      <c r="J19" s="509"/>
      <c r="K19" s="509"/>
      <c r="L19" s="509"/>
      <c r="M19" s="509"/>
      <c r="N19" s="509"/>
      <c r="O19" s="509"/>
      <c r="P19" s="509"/>
      <c r="Q19" s="509"/>
      <c r="R19" s="204">
        <f t="shared" si="0"/>
        <v>0</v>
      </c>
    </row>
    <row r="20" spans="1:19">
      <c r="B20" s="203"/>
      <c r="C20" s="218" t="s">
        <v>298</v>
      </c>
      <c r="D20" s="219" t="s">
        <v>299</v>
      </c>
      <c r="E20" s="199">
        <v>2018</v>
      </c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09"/>
      <c r="R20" s="204">
        <f t="shared" si="0"/>
        <v>0</v>
      </c>
    </row>
    <row r="21" spans="1:19">
      <c r="B21" s="203"/>
      <c r="C21" s="218" t="s">
        <v>300</v>
      </c>
      <c r="D21" s="219" t="s">
        <v>301</v>
      </c>
      <c r="E21" s="199">
        <v>2018</v>
      </c>
      <c r="F21" s="509"/>
      <c r="G21" s="509"/>
      <c r="H21" s="509"/>
      <c r="I21" s="509"/>
      <c r="J21" s="509"/>
      <c r="K21" s="509"/>
      <c r="L21" s="509"/>
      <c r="M21" s="509"/>
      <c r="N21" s="509"/>
      <c r="O21" s="509"/>
      <c r="P21" s="509"/>
      <c r="Q21" s="509"/>
      <c r="R21" s="204">
        <f t="shared" si="0"/>
        <v>0</v>
      </c>
    </row>
    <row r="22" spans="1:19">
      <c r="A22" s="199">
        <v>376</v>
      </c>
      <c r="B22" s="203"/>
      <c r="C22" s="214" t="s">
        <v>120</v>
      </c>
      <c r="D22" s="215" t="s">
        <v>121</v>
      </c>
      <c r="E22" s="199">
        <v>2018</v>
      </c>
      <c r="F22" s="509">
        <v>42464.18</v>
      </c>
      <c r="G22" s="509">
        <v>44275.18</v>
      </c>
      <c r="H22" s="509">
        <v>40750.949999999997</v>
      </c>
      <c r="I22" s="509">
        <v>50856.52</v>
      </c>
      <c r="J22" s="509">
        <v>131457.69</v>
      </c>
      <c r="K22" s="509">
        <v>313602.87</v>
      </c>
      <c r="L22" s="509">
        <v>306703.24</v>
      </c>
      <c r="M22" s="509">
        <v>264804.42</v>
      </c>
      <c r="N22" s="509">
        <v>586532.19999999995</v>
      </c>
      <c r="O22" s="509">
        <v>-325151.6099999994</v>
      </c>
      <c r="P22" s="509">
        <v>254024.01</v>
      </c>
      <c r="Q22" s="509">
        <v>130130.53</v>
      </c>
      <c r="R22" s="204">
        <f t="shared" si="0"/>
        <v>1840450.1800000006</v>
      </c>
    </row>
    <row r="23" spans="1:19">
      <c r="A23" s="199">
        <v>380</v>
      </c>
      <c r="B23" s="203"/>
      <c r="C23" s="212" t="s">
        <v>120</v>
      </c>
      <c r="D23" s="213" t="s">
        <v>121</v>
      </c>
      <c r="E23" s="199">
        <v>2018</v>
      </c>
      <c r="F23" s="509">
        <v>0</v>
      </c>
      <c r="G23" s="509">
        <v>0</v>
      </c>
      <c r="H23" s="509">
        <v>0</v>
      </c>
      <c r="I23" s="509">
        <v>0</v>
      </c>
      <c r="J23" s="509">
        <v>0</v>
      </c>
      <c r="K23" s="509">
        <v>0</v>
      </c>
      <c r="L23" s="509">
        <v>0</v>
      </c>
      <c r="M23" s="509">
        <v>0</v>
      </c>
      <c r="N23" s="509">
        <v>0</v>
      </c>
      <c r="O23" s="509">
        <v>135205.72999999998</v>
      </c>
      <c r="P23" s="509">
        <v>0</v>
      </c>
      <c r="Q23" s="509">
        <v>0</v>
      </c>
      <c r="R23" s="204">
        <f t="shared" si="0"/>
        <v>135205.72999999998</v>
      </c>
    </row>
    <row r="24" spans="1:19">
      <c r="B24" s="203"/>
      <c r="C24" s="216" t="s">
        <v>302</v>
      </c>
      <c r="D24" s="217" t="s">
        <v>303</v>
      </c>
      <c r="E24" s="199">
        <v>2018</v>
      </c>
      <c r="F24" s="509">
        <v>84429.82</v>
      </c>
      <c r="G24" s="509">
        <v>10382.83</v>
      </c>
      <c r="H24" s="509">
        <v>9001.0099999997765</v>
      </c>
      <c r="I24" s="509">
        <v>1263.3699999999999</v>
      </c>
      <c r="J24" s="509">
        <v>1265.82</v>
      </c>
      <c r="K24" s="509">
        <v>2.44</v>
      </c>
      <c r="L24" s="509">
        <v>0</v>
      </c>
      <c r="M24" s="509">
        <v>0</v>
      </c>
      <c r="N24" s="509">
        <v>0</v>
      </c>
      <c r="O24" s="509">
        <v>0</v>
      </c>
      <c r="P24" s="509">
        <v>7187.22</v>
      </c>
      <c r="Q24" s="509">
        <v>0</v>
      </c>
      <c r="R24" s="204">
        <f t="shared" si="0"/>
        <v>113532.50999999979</v>
      </c>
    </row>
    <row r="25" spans="1:19">
      <c r="A25" s="199">
        <v>376</v>
      </c>
      <c r="B25" s="203"/>
      <c r="C25" s="214" t="s">
        <v>123</v>
      </c>
      <c r="D25" s="215" t="s">
        <v>124</v>
      </c>
      <c r="E25" s="199">
        <v>2018</v>
      </c>
      <c r="F25" s="509">
        <v>2595.8000000000002</v>
      </c>
      <c r="G25" s="509">
        <v>50256.63</v>
      </c>
      <c r="H25" s="509">
        <v>247899.42</v>
      </c>
      <c r="I25" s="509">
        <v>241926.69</v>
      </c>
      <c r="J25" s="509">
        <v>-22115.200000000001</v>
      </c>
      <c r="K25" s="509">
        <v>6966.07</v>
      </c>
      <c r="L25" s="509">
        <v>8318.07</v>
      </c>
      <c r="M25" s="509">
        <v>6126</v>
      </c>
      <c r="N25" s="509">
        <v>19066.78</v>
      </c>
      <c r="O25" s="509">
        <v>11497.93</v>
      </c>
      <c r="P25" s="509">
        <v>1854.49</v>
      </c>
      <c r="Q25" s="509">
        <v>2708.2899999999208</v>
      </c>
      <c r="R25" s="204">
        <f t="shared" si="0"/>
        <v>577100.97</v>
      </c>
    </row>
    <row r="26" spans="1:19">
      <c r="B26" s="203"/>
      <c r="C26" s="216" t="s">
        <v>304</v>
      </c>
      <c r="D26" s="217" t="s">
        <v>305</v>
      </c>
      <c r="E26" s="199">
        <v>2018</v>
      </c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4">
        <f t="shared" si="0"/>
        <v>0</v>
      </c>
    </row>
    <row r="27" spans="1:19">
      <c r="A27" s="199">
        <v>376</v>
      </c>
      <c r="B27" s="203"/>
      <c r="C27" s="214" t="s">
        <v>125</v>
      </c>
      <c r="D27" s="215" t="s">
        <v>126</v>
      </c>
      <c r="E27" s="199">
        <v>2018</v>
      </c>
      <c r="F27" s="509">
        <v>5265.3</v>
      </c>
      <c r="G27" s="509">
        <v>-301.89</v>
      </c>
      <c r="H27" s="509">
        <v>-495.95</v>
      </c>
      <c r="I27" s="509">
        <v>0</v>
      </c>
      <c r="J27" s="509">
        <v>0</v>
      </c>
      <c r="K27" s="509">
        <v>0</v>
      </c>
      <c r="L27" s="509">
        <v>0</v>
      </c>
      <c r="M27" s="509">
        <v>1014.44</v>
      </c>
      <c r="N27" s="509">
        <v>-509.46</v>
      </c>
      <c r="O27" s="509">
        <v>34344.129999999983</v>
      </c>
      <c r="P27" s="509">
        <v>40217.909999999996</v>
      </c>
      <c r="Q27" s="509">
        <v>57.06</v>
      </c>
      <c r="R27" s="204">
        <f t="shared" si="0"/>
        <v>79591.539999999979</v>
      </c>
    </row>
    <row r="28" spans="1:19">
      <c r="A28" s="199">
        <v>376</v>
      </c>
      <c r="B28" s="203"/>
      <c r="C28" s="214" t="s">
        <v>127</v>
      </c>
      <c r="D28" s="215" t="s">
        <v>128</v>
      </c>
      <c r="E28" s="199">
        <v>2018</v>
      </c>
      <c r="F28" s="509">
        <v>51363.75</v>
      </c>
      <c r="G28" s="509">
        <v>31444.82</v>
      </c>
      <c r="H28" s="509">
        <v>31813</v>
      </c>
      <c r="I28" s="509">
        <v>44361.599999999999</v>
      </c>
      <c r="J28" s="509">
        <v>46468.79</v>
      </c>
      <c r="K28" s="509">
        <v>38957.120000000003</v>
      </c>
      <c r="L28" s="509">
        <v>53237.36</v>
      </c>
      <c r="M28" s="509">
        <v>47690.2</v>
      </c>
      <c r="N28" s="509">
        <v>54862.080000000002</v>
      </c>
      <c r="O28" s="509">
        <v>39207.31</v>
      </c>
      <c r="P28" s="509">
        <v>-637460.44999999995</v>
      </c>
      <c r="Q28" s="509">
        <v>79.099999999999994</v>
      </c>
      <c r="R28" s="204">
        <f t="shared" si="0"/>
        <v>-197975.31999999992</v>
      </c>
    </row>
    <row r="29" spans="1:19">
      <c r="A29" s="199">
        <v>380</v>
      </c>
      <c r="B29" s="203"/>
      <c r="C29" s="212" t="s">
        <v>127</v>
      </c>
      <c r="D29" s="213" t="s">
        <v>128</v>
      </c>
      <c r="E29" s="199">
        <v>2018</v>
      </c>
      <c r="F29" s="246">
        <v>205454.91999999998</v>
      </c>
      <c r="G29" s="205">
        <v>125779.21999999999</v>
      </c>
      <c r="H29" s="205">
        <v>127251.93</v>
      </c>
      <c r="I29" s="205">
        <v>177446.32</v>
      </c>
      <c r="J29" s="205">
        <v>185875.08000000002</v>
      </c>
      <c r="K29" s="205">
        <v>155828.41</v>
      </c>
      <c r="L29" s="205">
        <v>212949.36</v>
      </c>
      <c r="M29" s="205">
        <v>190760.71999999997</v>
      </c>
      <c r="N29" s="205">
        <v>219448.24</v>
      </c>
      <c r="O29" s="205">
        <v>156829.16999999998</v>
      </c>
      <c r="P29" s="205">
        <v>867473.23000000021</v>
      </c>
      <c r="Q29" s="205">
        <v>316.39</v>
      </c>
      <c r="R29" s="204">
        <f t="shared" si="0"/>
        <v>2625412.9900000002</v>
      </c>
    </row>
    <row r="30" spans="1:19">
      <c r="B30" s="203"/>
      <c r="C30" s="212" t="s">
        <v>129</v>
      </c>
      <c r="D30" s="213" t="s">
        <v>130</v>
      </c>
      <c r="E30" s="199">
        <v>2018</v>
      </c>
      <c r="F30" s="246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19361.63</v>
      </c>
      <c r="Q30" s="205">
        <v>0</v>
      </c>
      <c r="R30" s="204">
        <f t="shared" si="0"/>
        <v>19361.63</v>
      </c>
      <c r="S30" s="204"/>
    </row>
    <row r="31" spans="1:19">
      <c r="B31" s="203"/>
      <c r="C31" s="212" t="s">
        <v>306</v>
      </c>
      <c r="D31" s="213" t="s">
        <v>307</v>
      </c>
      <c r="E31" s="199">
        <v>2018</v>
      </c>
      <c r="F31" s="246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4">
        <f t="shared" si="0"/>
        <v>0</v>
      </c>
      <c r="S31" s="204"/>
    </row>
    <row r="32" spans="1:19">
      <c r="B32" s="203"/>
      <c r="C32" s="216" t="s">
        <v>308</v>
      </c>
      <c r="D32" s="217" t="s">
        <v>309</v>
      </c>
      <c r="E32" s="199">
        <v>2018</v>
      </c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4">
        <f t="shared" si="0"/>
        <v>0</v>
      </c>
    </row>
    <row r="33" spans="1:18">
      <c r="B33" s="203"/>
      <c r="C33" s="221" t="s">
        <v>310</v>
      </c>
      <c r="D33" s="222" t="s">
        <v>311</v>
      </c>
      <c r="E33" s="199">
        <v>2018</v>
      </c>
      <c r="F33" s="509"/>
      <c r="G33" s="509"/>
      <c r="H33" s="509"/>
      <c r="I33" s="509"/>
      <c r="J33" s="509"/>
      <c r="K33" s="509"/>
      <c r="L33" s="509"/>
      <c r="M33" s="509"/>
      <c r="N33" s="509"/>
      <c r="O33" s="509"/>
      <c r="P33" s="509"/>
      <c r="Q33" s="509"/>
      <c r="R33" s="204">
        <f t="shared" si="0"/>
        <v>0</v>
      </c>
    </row>
    <row r="34" spans="1:18">
      <c r="B34" s="203"/>
      <c r="C34" s="221" t="s">
        <v>312</v>
      </c>
      <c r="D34" s="222" t="s">
        <v>313</v>
      </c>
      <c r="E34" s="199">
        <v>2018</v>
      </c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204">
        <f t="shared" si="0"/>
        <v>0</v>
      </c>
    </row>
    <row r="35" spans="1:18">
      <c r="B35" s="203"/>
      <c r="C35" s="221" t="s">
        <v>314</v>
      </c>
      <c r="D35" s="222" t="s">
        <v>315</v>
      </c>
      <c r="E35" s="199">
        <v>2018</v>
      </c>
      <c r="F35" s="509"/>
      <c r="G35" s="509"/>
      <c r="H35" s="509"/>
      <c r="I35" s="509"/>
      <c r="J35" s="509"/>
      <c r="K35" s="509"/>
      <c r="L35" s="509"/>
      <c r="M35" s="509"/>
      <c r="N35" s="509"/>
      <c r="O35" s="509"/>
      <c r="P35" s="509"/>
      <c r="Q35" s="509"/>
      <c r="R35" s="204">
        <f t="shared" si="0"/>
        <v>0</v>
      </c>
    </row>
    <row r="36" spans="1:18">
      <c r="B36" s="203"/>
      <c r="C36" s="221" t="s">
        <v>316</v>
      </c>
      <c r="D36" s="222" t="s">
        <v>317</v>
      </c>
      <c r="E36" s="199">
        <v>2018</v>
      </c>
      <c r="F36" s="509"/>
      <c r="G36" s="509"/>
      <c r="H36" s="509"/>
      <c r="I36" s="509"/>
      <c r="J36" s="509"/>
      <c r="K36" s="509"/>
      <c r="L36" s="509"/>
      <c r="M36" s="509"/>
      <c r="N36" s="509"/>
      <c r="O36" s="509"/>
      <c r="P36" s="509"/>
      <c r="Q36" s="509"/>
      <c r="R36" s="204">
        <f t="shared" si="0"/>
        <v>0</v>
      </c>
    </row>
    <row r="37" spans="1:18">
      <c r="A37" s="199">
        <v>380</v>
      </c>
      <c r="B37" s="203"/>
      <c r="C37" s="212" t="s">
        <v>189</v>
      </c>
      <c r="D37" s="213" t="s">
        <v>190</v>
      </c>
      <c r="E37" s="199">
        <v>2018</v>
      </c>
      <c r="F37" s="509">
        <v>8786.34</v>
      </c>
      <c r="G37" s="509">
        <v>-6821.81</v>
      </c>
      <c r="H37" s="509">
        <v>18395.55</v>
      </c>
      <c r="I37" s="509">
        <v>4783.21</v>
      </c>
      <c r="J37" s="509">
        <v>-136.41999999999999</v>
      </c>
      <c r="K37" s="509">
        <v>-146.5</v>
      </c>
      <c r="L37" s="509">
        <v>-502.46</v>
      </c>
      <c r="M37" s="509">
        <v>0</v>
      </c>
      <c r="N37" s="509">
        <v>0</v>
      </c>
      <c r="O37" s="509">
        <v>287864.76000000007</v>
      </c>
      <c r="P37" s="509">
        <v>0</v>
      </c>
      <c r="Q37" s="509">
        <v>0</v>
      </c>
      <c r="R37" s="204">
        <f t="shared" si="0"/>
        <v>312222.67000000004</v>
      </c>
    </row>
    <row r="38" spans="1:18">
      <c r="A38" s="199">
        <v>376</v>
      </c>
      <c r="B38" s="203"/>
      <c r="C38" s="214" t="s">
        <v>189</v>
      </c>
      <c r="D38" s="215" t="s">
        <v>190</v>
      </c>
      <c r="E38" s="199">
        <v>2018</v>
      </c>
      <c r="F38" s="509">
        <v>8786.34</v>
      </c>
      <c r="G38" s="509">
        <v>-6821.79</v>
      </c>
      <c r="H38" s="509">
        <v>18395.57</v>
      </c>
      <c r="I38" s="509">
        <v>4783.2299999999996</v>
      </c>
      <c r="J38" s="509">
        <v>-136.43</v>
      </c>
      <c r="K38" s="509">
        <v>-146.5</v>
      </c>
      <c r="L38" s="509">
        <v>-502.46</v>
      </c>
      <c r="M38" s="509">
        <v>0</v>
      </c>
      <c r="N38" s="509">
        <v>0</v>
      </c>
      <c r="O38" s="509">
        <v>-287864.76</v>
      </c>
      <c r="P38" s="509">
        <v>0</v>
      </c>
      <c r="Q38" s="509">
        <v>0</v>
      </c>
      <c r="R38" s="204">
        <f t="shared" si="0"/>
        <v>-263506.8</v>
      </c>
    </row>
    <row r="39" spans="1:18">
      <c r="A39" s="206" t="s">
        <v>318</v>
      </c>
      <c r="B39" s="206"/>
      <c r="C39" s="206"/>
      <c r="D39" s="206"/>
      <c r="E39" s="206"/>
      <c r="F39" s="207">
        <f>SUM(F8:F38)</f>
        <v>975413.7100000002</v>
      </c>
      <c r="G39" s="207">
        <f t="shared" ref="G39:R39" si="1">SUM(G8:G38)</f>
        <v>874793.62999999989</v>
      </c>
      <c r="H39" s="207">
        <f t="shared" si="1"/>
        <v>1386091.75</v>
      </c>
      <c r="I39" s="207">
        <f t="shared" si="1"/>
        <v>1226436.79</v>
      </c>
      <c r="J39" s="207">
        <f t="shared" si="1"/>
        <v>1200536.6700000002</v>
      </c>
      <c r="K39" s="207">
        <f t="shared" si="1"/>
        <v>1158498.6199999999</v>
      </c>
      <c r="L39" s="207">
        <f t="shared" si="1"/>
        <v>1606919.0900000003</v>
      </c>
      <c r="M39" s="207">
        <f t="shared" si="1"/>
        <v>1446097.5799999998</v>
      </c>
      <c r="N39" s="207">
        <f t="shared" si="1"/>
        <v>1936908.2500000002</v>
      </c>
      <c r="O39" s="207">
        <f t="shared" si="1"/>
        <v>1175831.6300000004</v>
      </c>
      <c r="P39" s="207">
        <f t="shared" si="1"/>
        <v>3129831.4000000013</v>
      </c>
      <c r="Q39" s="207">
        <f t="shared" si="1"/>
        <v>1316658.5599999998</v>
      </c>
      <c r="R39" s="207">
        <f t="shared" si="1"/>
        <v>17434017.68</v>
      </c>
    </row>
    <row r="40" spans="1:18"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</row>
    <row r="41" spans="1:18">
      <c r="A41" s="201" t="s">
        <v>319</v>
      </c>
      <c r="B41" s="201"/>
      <c r="C41" s="201"/>
      <c r="D41" s="201"/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</row>
    <row r="42" spans="1:18">
      <c r="B42" s="203" t="s">
        <v>132</v>
      </c>
      <c r="C42" s="214" t="s">
        <v>286</v>
      </c>
      <c r="D42" s="215" t="s">
        <v>287</v>
      </c>
      <c r="E42" s="199">
        <v>2018</v>
      </c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>
        <f>SUM(F42:Q42)</f>
        <v>0</v>
      </c>
    </row>
    <row r="43" spans="1:18">
      <c r="B43" s="203"/>
      <c r="C43" s="218" t="s">
        <v>220</v>
      </c>
      <c r="D43" s="219" t="s">
        <v>221</v>
      </c>
      <c r="E43" s="199">
        <v>2018</v>
      </c>
      <c r="F43" s="509">
        <v>0</v>
      </c>
      <c r="G43" s="509">
        <v>0</v>
      </c>
      <c r="H43" s="509">
        <v>0</v>
      </c>
      <c r="I43" s="509">
        <v>75006.649999999994</v>
      </c>
      <c r="J43" s="509">
        <v>41467.480000000003</v>
      </c>
      <c r="K43" s="509">
        <v>127514.49</v>
      </c>
      <c r="L43" s="509">
        <v>88252.12</v>
      </c>
      <c r="M43" s="509">
        <v>97597.62</v>
      </c>
      <c r="N43" s="509">
        <v>75420.41</v>
      </c>
      <c r="O43" s="509">
        <v>172051</v>
      </c>
      <c r="P43" s="509">
        <v>126221.87</v>
      </c>
      <c r="Q43" s="509">
        <v>127553.22</v>
      </c>
      <c r="R43" s="204">
        <f>SUM(F43:Q43)</f>
        <v>931084.86</v>
      </c>
    </row>
    <row r="44" spans="1:18">
      <c r="B44" s="203"/>
      <c r="C44" s="214" t="s">
        <v>120</v>
      </c>
      <c r="D44" s="215" t="s">
        <v>121</v>
      </c>
      <c r="E44" s="199">
        <v>2018</v>
      </c>
      <c r="F44" s="509">
        <v>33792.19</v>
      </c>
      <c r="G44" s="509">
        <v>-3157.52</v>
      </c>
      <c r="H44" s="509">
        <v>1518.04</v>
      </c>
      <c r="I44" s="509">
        <v>-759.02</v>
      </c>
      <c r="J44" s="509">
        <v>4344.43</v>
      </c>
      <c r="K44" s="509">
        <v>211.63</v>
      </c>
      <c r="L44" s="509">
        <v>0</v>
      </c>
      <c r="M44" s="509">
        <v>0</v>
      </c>
      <c r="N44" s="509">
        <v>320.45</v>
      </c>
      <c r="O44" s="509">
        <v>0</v>
      </c>
      <c r="P44" s="509">
        <v>0</v>
      </c>
      <c r="Q44" s="509">
        <v>0</v>
      </c>
      <c r="R44" s="204">
        <f t="shared" ref="R44:R52" si="2">SUM(F44:Q44)</f>
        <v>36270.199999999997</v>
      </c>
    </row>
    <row r="45" spans="1:18">
      <c r="B45" s="203"/>
      <c r="C45" s="214" t="s">
        <v>123</v>
      </c>
      <c r="D45" s="215" t="s">
        <v>124</v>
      </c>
      <c r="E45" s="199">
        <v>2018</v>
      </c>
      <c r="F45" s="509">
        <v>100338.52</v>
      </c>
      <c r="G45" s="509">
        <v>152868.07999999999</v>
      </c>
      <c r="H45" s="509">
        <v>72636.03</v>
      </c>
      <c r="I45" s="509">
        <v>27486.36</v>
      </c>
      <c r="J45" s="509">
        <v>75969.759999999995</v>
      </c>
      <c r="K45" s="509">
        <v>613.74</v>
      </c>
      <c r="L45" s="509">
        <v>0</v>
      </c>
      <c r="M45" s="509">
        <v>82.15</v>
      </c>
      <c r="N45" s="509">
        <v>0</v>
      </c>
      <c r="O45" s="509">
        <v>0</v>
      </c>
      <c r="P45" s="509">
        <v>2387.9699999999998</v>
      </c>
      <c r="Q45" s="509">
        <v>178.61</v>
      </c>
      <c r="R45" s="204">
        <f t="shared" si="2"/>
        <v>432561.22</v>
      </c>
    </row>
    <row r="46" spans="1:18">
      <c r="B46" s="203"/>
      <c r="C46" s="214" t="s">
        <v>125</v>
      </c>
      <c r="D46" s="215" t="s">
        <v>126</v>
      </c>
      <c r="E46" s="199">
        <v>2018</v>
      </c>
      <c r="F46" s="509">
        <v>0</v>
      </c>
      <c r="G46" s="509">
        <v>1078.1600000000001</v>
      </c>
      <c r="H46" s="509">
        <v>-539.08000000000004</v>
      </c>
      <c r="I46" s="509">
        <v>0</v>
      </c>
      <c r="J46" s="509">
        <v>0</v>
      </c>
      <c r="K46" s="509">
        <v>0</v>
      </c>
      <c r="L46" s="509">
        <v>0</v>
      </c>
      <c r="M46" s="509">
        <v>0</v>
      </c>
      <c r="N46" s="509">
        <v>0</v>
      </c>
      <c r="O46" s="509">
        <v>0</v>
      </c>
      <c r="P46" s="509">
        <v>0</v>
      </c>
      <c r="Q46" s="509">
        <v>0</v>
      </c>
      <c r="R46" s="204">
        <f t="shared" si="2"/>
        <v>539.08000000000004</v>
      </c>
    </row>
    <row r="47" spans="1:18">
      <c r="B47" s="203"/>
      <c r="C47" s="218" t="s">
        <v>127</v>
      </c>
      <c r="D47" s="219" t="s">
        <v>128</v>
      </c>
      <c r="E47" s="199">
        <v>2018</v>
      </c>
      <c r="F47" s="204">
        <v>2787.54</v>
      </c>
      <c r="G47" s="204">
        <v>19841.490000000002</v>
      </c>
      <c r="H47" s="204">
        <v>34812.839999999997</v>
      </c>
      <c r="I47" s="204">
        <v>34184.660000000003</v>
      </c>
      <c r="J47" s="204">
        <v>20003.12</v>
      </c>
      <c r="K47" s="204">
        <v>24477.54</v>
      </c>
      <c r="L47" s="204">
        <v>19806.77</v>
      </c>
      <c r="M47" s="204">
        <v>18843.04</v>
      </c>
      <c r="N47" s="204">
        <v>57754.62</v>
      </c>
      <c r="O47" s="204">
        <v>14594.11</v>
      </c>
      <c r="P47" s="204">
        <v>35168.199999999997</v>
      </c>
      <c r="Q47" s="204">
        <v>34852.67</v>
      </c>
      <c r="R47" s="204">
        <f t="shared" si="2"/>
        <v>317126.59999999998</v>
      </c>
    </row>
    <row r="48" spans="1:18">
      <c r="B48" s="203"/>
      <c r="C48" s="218" t="s">
        <v>129</v>
      </c>
      <c r="D48" s="219" t="s">
        <v>130</v>
      </c>
      <c r="E48" s="199">
        <v>2018</v>
      </c>
      <c r="F48" s="204">
        <v>8590.5</v>
      </c>
      <c r="G48" s="204">
        <v>11098.02</v>
      </c>
      <c r="H48" s="204">
        <v>16830.82</v>
      </c>
      <c r="I48" s="204">
        <v>14158.88</v>
      </c>
      <c r="J48" s="204">
        <v>10229.280000000001</v>
      </c>
      <c r="K48" s="204">
        <v>8799.85</v>
      </c>
      <c r="L48" s="204">
        <v>3711.03</v>
      </c>
      <c r="M48" s="204">
        <v>13885.74</v>
      </c>
      <c r="N48" s="204">
        <v>8497.9599999999991</v>
      </c>
      <c r="O48" s="204">
        <v>2221.81</v>
      </c>
      <c r="P48" s="204">
        <v>2402.3200000000002</v>
      </c>
      <c r="Q48" s="204">
        <v>4448.17</v>
      </c>
      <c r="R48" s="204">
        <f t="shared" si="2"/>
        <v>104874.37999999999</v>
      </c>
    </row>
    <row r="49" spans="1:18">
      <c r="B49" s="203"/>
      <c r="C49" s="221" t="s">
        <v>310</v>
      </c>
      <c r="D49" s="222" t="s">
        <v>311</v>
      </c>
      <c r="E49" s="199">
        <v>2018</v>
      </c>
      <c r="F49" s="509"/>
      <c r="G49" s="509"/>
      <c r="H49" s="509"/>
      <c r="I49" s="509"/>
      <c r="J49" s="509"/>
      <c r="K49" s="509"/>
      <c r="L49" s="509"/>
      <c r="M49" s="509"/>
      <c r="N49" s="509"/>
      <c r="O49" s="509"/>
      <c r="P49" s="509"/>
      <c r="Q49" s="509"/>
      <c r="R49" s="204">
        <f t="shared" si="2"/>
        <v>0</v>
      </c>
    </row>
    <row r="50" spans="1:18">
      <c r="B50" s="203"/>
      <c r="C50" s="221" t="s">
        <v>312</v>
      </c>
      <c r="D50" s="222" t="s">
        <v>313</v>
      </c>
      <c r="E50" s="199">
        <v>2018</v>
      </c>
      <c r="F50" s="509"/>
      <c r="G50" s="509"/>
      <c r="H50" s="509"/>
      <c r="I50" s="509"/>
      <c r="J50" s="509"/>
      <c r="K50" s="509"/>
      <c r="L50" s="509"/>
      <c r="M50" s="509"/>
      <c r="N50" s="509"/>
      <c r="O50" s="509"/>
      <c r="P50" s="509"/>
      <c r="Q50" s="509"/>
      <c r="R50" s="204">
        <f t="shared" si="2"/>
        <v>0</v>
      </c>
    </row>
    <row r="51" spans="1:18">
      <c r="B51" s="203"/>
      <c r="C51" s="221" t="s">
        <v>314</v>
      </c>
      <c r="D51" s="222" t="s">
        <v>315</v>
      </c>
      <c r="E51" s="199">
        <v>2018</v>
      </c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204">
        <f t="shared" si="2"/>
        <v>0</v>
      </c>
    </row>
    <row r="52" spans="1:18">
      <c r="B52" s="203"/>
      <c r="C52" s="214" t="s">
        <v>189</v>
      </c>
      <c r="D52" s="215" t="s">
        <v>190</v>
      </c>
      <c r="E52" s="199">
        <v>2018</v>
      </c>
      <c r="F52" s="509">
        <v>-18.690000000000001</v>
      </c>
      <c r="G52" s="509">
        <v>0</v>
      </c>
      <c r="H52" s="509">
        <v>0</v>
      </c>
      <c r="I52" s="509"/>
      <c r="J52" s="509"/>
      <c r="K52" s="509"/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0</v>
      </c>
      <c r="R52" s="204">
        <f t="shared" si="2"/>
        <v>-18.690000000000001</v>
      </c>
    </row>
    <row r="53" spans="1:18">
      <c r="A53" s="206" t="s">
        <v>320</v>
      </c>
      <c r="B53" s="206"/>
      <c r="C53" s="206"/>
      <c r="D53" s="206"/>
      <c r="E53" s="206"/>
      <c r="F53" s="207">
        <f>SUM(F42:F52)</f>
        <v>145490.06000000003</v>
      </c>
      <c r="G53" s="207">
        <f t="shared" ref="G53:R53" si="3">SUM(G42:G52)</f>
        <v>181728.22999999998</v>
      </c>
      <c r="H53" s="207">
        <f t="shared" si="3"/>
        <v>125258.65</v>
      </c>
      <c r="I53" s="207">
        <f t="shared" si="3"/>
        <v>150077.53</v>
      </c>
      <c r="J53" s="207">
        <f t="shared" si="3"/>
        <v>152014.07</v>
      </c>
      <c r="K53" s="207">
        <f t="shared" si="3"/>
        <v>161617.25000000003</v>
      </c>
      <c r="L53" s="207">
        <f t="shared" si="3"/>
        <v>111769.92</v>
      </c>
      <c r="M53" s="207">
        <f t="shared" si="3"/>
        <v>130408.55</v>
      </c>
      <c r="N53" s="207">
        <f t="shared" si="3"/>
        <v>141993.44</v>
      </c>
      <c r="O53" s="207">
        <f t="shared" si="3"/>
        <v>188866.91999999998</v>
      </c>
      <c r="P53" s="207">
        <f t="shared" si="3"/>
        <v>166180.35999999999</v>
      </c>
      <c r="Q53" s="207">
        <f t="shared" si="3"/>
        <v>167032.67000000001</v>
      </c>
      <c r="R53" s="207">
        <f t="shared" si="3"/>
        <v>1822437.65</v>
      </c>
    </row>
    <row r="54" spans="1:18"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</row>
    <row r="55" spans="1:18">
      <c r="A55" s="208" t="s">
        <v>321</v>
      </c>
      <c r="B55" s="208"/>
      <c r="C55" s="208"/>
      <c r="D55" s="208"/>
      <c r="E55" s="208"/>
      <c r="F55" s="209">
        <f>F39+F53</f>
        <v>1120903.7700000003</v>
      </c>
      <c r="G55" s="209">
        <f t="shared" ref="G55:R55" si="4">G39+G53</f>
        <v>1056521.8599999999</v>
      </c>
      <c r="H55" s="209">
        <f t="shared" si="4"/>
        <v>1511350.4</v>
      </c>
      <c r="I55" s="209">
        <f t="shared" si="4"/>
        <v>1376514.32</v>
      </c>
      <c r="J55" s="209">
        <f t="shared" si="4"/>
        <v>1352550.7400000002</v>
      </c>
      <c r="K55" s="209">
        <f t="shared" si="4"/>
        <v>1320115.8699999999</v>
      </c>
      <c r="L55" s="209">
        <f t="shared" si="4"/>
        <v>1718689.0100000002</v>
      </c>
      <c r="M55" s="209">
        <f t="shared" si="4"/>
        <v>1576506.13</v>
      </c>
      <c r="N55" s="209">
        <f t="shared" si="4"/>
        <v>2078901.6900000002</v>
      </c>
      <c r="O55" s="209">
        <f t="shared" si="4"/>
        <v>1364698.5500000003</v>
      </c>
      <c r="P55" s="209">
        <f t="shared" si="4"/>
        <v>3296011.7600000012</v>
      </c>
      <c r="Q55" s="209">
        <f t="shared" si="4"/>
        <v>1483691.2299999997</v>
      </c>
      <c r="R55" s="209">
        <f t="shared" si="4"/>
        <v>19256455.329999998</v>
      </c>
    </row>
    <row r="56" spans="1:18">
      <c r="Q56" s="210"/>
      <c r="R56" s="211"/>
    </row>
    <row r="57" spans="1:18">
      <c r="Q57" s="210"/>
      <c r="R57" s="211"/>
    </row>
    <row r="58" spans="1:18">
      <c r="Q58" s="210"/>
      <c r="R58" s="204"/>
    </row>
    <row r="60" spans="1:18">
      <c r="D60" s="199" t="s">
        <v>532</v>
      </c>
      <c r="F60" s="514">
        <v>3370480.97</v>
      </c>
      <c r="G60" s="514">
        <v>4342215.1900000004</v>
      </c>
      <c r="H60" s="514">
        <v>5166106.24</v>
      </c>
      <c r="I60" s="514">
        <v>6250879.4800000004</v>
      </c>
      <c r="J60" s="514">
        <v>6515328.0999999996</v>
      </c>
      <c r="K60" s="514">
        <v>6722508.1899999995</v>
      </c>
      <c r="L60" s="514">
        <v>6758536.7399999993</v>
      </c>
      <c r="M60" s="514">
        <v>7338384.1799999997</v>
      </c>
      <c r="N60" s="514">
        <v>9347877.8699999992</v>
      </c>
      <c r="O60" s="514">
        <v>9803648.7100000009</v>
      </c>
      <c r="P60" s="514">
        <v>10436606.98</v>
      </c>
      <c r="Q60" s="514">
        <v>11207438.539999999</v>
      </c>
      <c r="R60" s="204"/>
    </row>
    <row r="61" spans="1:18">
      <c r="F61" s="204">
        <f>F60-'Rev Req 2017-Trans'!P11</f>
        <v>307839.76000000024</v>
      </c>
      <c r="G61" s="204">
        <f>G60-F60</f>
        <v>971734.2200000002</v>
      </c>
      <c r="H61" s="204">
        <f t="shared" ref="H61:Q61" si="5">H60-G60</f>
        <v>823891.04999999981</v>
      </c>
      <c r="I61" s="204">
        <f t="shared" si="5"/>
        <v>1084773.2400000002</v>
      </c>
      <c r="J61" s="204">
        <f t="shared" si="5"/>
        <v>264448.61999999918</v>
      </c>
      <c r="K61" s="204">
        <f t="shared" si="5"/>
        <v>207180.08999999985</v>
      </c>
      <c r="L61" s="204">
        <f t="shared" si="5"/>
        <v>36028.549999999814</v>
      </c>
      <c r="M61" s="204">
        <f t="shared" si="5"/>
        <v>579847.44000000041</v>
      </c>
      <c r="N61" s="204">
        <f t="shared" si="5"/>
        <v>2009493.6899999995</v>
      </c>
      <c r="O61" s="204">
        <f t="shared" si="5"/>
        <v>455770.84000000171</v>
      </c>
      <c r="P61" s="204">
        <f t="shared" si="5"/>
        <v>632958.26999999955</v>
      </c>
      <c r="Q61" s="204">
        <f t="shared" si="5"/>
        <v>770831.55999999866</v>
      </c>
    </row>
    <row r="62" spans="1:18"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</row>
    <row r="63" spans="1:18"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39997558519241921"/>
  </sheetPr>
  <dimension ref="A1:AJ1048575"/>
  <sheetViews>
    <sheetView zoomScale="70" zoomScaleNormal="70" workbookViewId="0"/>
  </sheetViews>
  <sheetFormatPr defaultColWidth="9.140625" defaultRowHeight="20.25"/>
  <cols>
    <col min="1" max="1" width="9.5703125" style="72" customWidth="1"/>
    <col min="2" max="2" width="9.140625" style="72"/>
    <col min="3" max="3" width="54.85546875" style="72" customWidth="1"/>
    <col min="4" max="17" width="21.8554687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1597" t="s">
        <v>250</v>
      </c>
      <c r="E5" s="1598"/>
      <c r="F5" s="1598"/>
      <c r="G5" s="1598"/>
      <c r="H5" s="1598"/>
      <c r="I5" s="1598"/>
      <c r="J5" s="1599"/>
      <c r="K5" s="1600"/>
      <c r="L5" s="1601"/>
      <c r="M5" s="1601"/>
      <c r="N5" s="1601"/>
      <c r="O5" s="1601"/>
      <c r="P5" s="1601"/>
      <c r="Q5" s="1602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88" t="s">
        <v>4</v>
      </c>
      <c r="B6" s="32"/>
      <c r="D6" s="100">
        <v>2016</v>
      </c>
      <c r="E6" s="96">
        <v>2017</v>
      </c>
      <c r="F6" s="96">
        <f t="shared" ref="F6:P6" si="0">$E$6</f>
        <v>2017</v>
      </c>
      <c r="G6" s="96">
        <f t="shared" si="0"/>
        <v>2017</v>
      </c>
      <c r="H6" s="96">
        <f t="shared" si="0"/>
        <v>2017</v>
      </c>
      <c r="I6" s="96">
        <f t="shared" si="0"/>
        <v>2017</v>
      </c>
      <c r="J6" s="101">
        <f t="shared" si="0"/>
        <v>2017</v>
      </c>
      <c r="K6" s="115">
        <f t="shared" si="0"/>
        <v>2017</v>
      </c>
      <c r="L6" s="95">
        <f t="shared" si="0"/>
        <v>2017</v>
      </c>
      <c r="M6" s="95">
        <f t="shared" si="0"/>
        <v>2017</v>
      </c>
      <c r="N6" s="95">
        <f t="shared" si="0"/>
        <v>2017</v>
      </c>
      <c r="O6" s="95">
        <f t="shared" si="0"/>
        <v>2017</v>
      </c>
      <c r="P6" s="95">
        <f t="shared" si="0"/>
        <v>2017</v>
      </c>
      <c r="Q6" s="116">
        <v>2017</v>
      </c>
      <c r="R6"/>
      <c r="U6" s="90"/>
      <c r="V6" s="16"/>
      <c r="W6" s="90"/>
      <c r="X6" s="90"/>
      <c r="Y6" s="90"/>
      <c r="Z6" s="90"/>
      <c r="AA6" s="90"/>
      <c r="AB6" s="90"/>
      <c r="AC6" s="90"/>
      <c r="AD6" s="90"/>
      <c r="AE6" s="90"/>
      <c r="AF6" s="16"/>
      <c r="AG6" s="90"/>
      <c r="AH6" s="90"/>
      <c r="AI6" s="90"/>
      <c r="AJ6" s="90"/>
    </row>
    <row r="7" spans="1:36" s="31" customFormat="1">
      <c r="A7" s="74" t="s">
        <v>5</v>
      </c>
      <c r="B7" s="32"/>
      <c r="C7" s="74" t="s">
        <v>6</v>
      </c>
      <c r="D7" s="102" t="s">
        <v>104</v>
      </c>
      <c r="E7" s="97" t="s">
        <v>92</v>
      </c>
      <c r="F7" s="97" t="s">
        <v>95</v>
      </c>
      <c r="G7" s="97" t="s">
        <v>96</v>
      </c>
      <c r="H7" s="97" t="s">
        <v>97</v>
      </c>
      <c r="I7" s="97" t="s">
        <v>85</v>
      </c>
      <c r="J7" s="103" t="s">
        <v>98</v>
      </c>
      <c r="K7" s="117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239</v>
      </c>
      <c r="R7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16"/>
      <c r="AG7" s="90"/>
      <c r="AH7" s="90"/>
      <c r="AI7" s="90"/>
      <c r="AJ7" s="90"/>
    </row>
    <row r="8" spans="1:36" s="31" customFormat="1">
      <c r="A8" s="88"/>
      <c r="B8" s="32"/>
      <c r="C8" s="76">
        <v>-1</v>
      </c>
      <c r="D8" s="104">
        <v>-2</v>
      </c>
      <c r="E8" s="105">
        <v>-3</v>
      </c>
      <c r="F8" s="105">
        <v>-4</v>
      </c>
      <c r="G8" s="105">
        <v>-5</v>
      </c>
      <c r="H8" s="105">
        <v>-6</v>
      </c>
      <c r="I8" s="105">
        <v>-7</v>
      </c>
      <c r="J8" s="106">
        <v>-8</v>
      </c>
      <c r="K8" s="119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07"/>
      <c r="E9" s="108"/>
      <c r="F9" s="108"/>
      <c r="G9" s="108"/>
      <c r="H9" s="108"/>
      <c r="I9" s="108"/>
      <c r="J9" s="109"/>
      <c r="K9" s="122"/>
      <c r="L9" s="13"/>
      <c r="M9" s="13"/>
      <c r="N9" s="13"/>
      <c r="O9" s="13"/>
      <c r="P9" s="13"/>
      <c r="Q9" s="123"/>
      <c r="R9"/>
      <c r="U9" s="90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07"/>
      <c r="E10" s="108"/>
      <c r="F10" s="108"/>
      <c r="G10" s="108"/>
      <c r="H10" s="108"/>
      <c r="I10" s="108"/>
      <c r="J10" s="109"/>
      <c r="K10" s="122"/>
      <c r="L10" s="13"/>
      <c r="M10" s="13"/>
      <c r="N10" s="13"/>
      <c r="O10" s="13"/>
      <c r="P10" s="13"/>
      <c r="Q10" s="123"/>
      <c r="R10"/>
      <c r="U10" s="90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412</v>
      </c>
      <c r="D11" s="306">
        <v>218673518.64999992</v>
      </c>
      <c r="E11" s="307">
        <v>221555022.26999992</v>
      </c>
      <c r="F11" s="307">
        <v>224484281.51999995</v>
      </c>
      <c r="G11" s="307">
        <v>228235660.75999993</v>
      </c>
      <c r="H11" s="307">
        <v>232266198.41999993</v>
      </c>
      <c r="I11" s="307">
        <v>236524388.05999991</v>
      </c>
      <c r="J11" s="308">
        <v>240904618.2599999</v>
      </c>
      <c r="K11" s="284">
        <f>'201707 Bk Depr'!$R25</f>
        <v>3037429.9600000004</v>
      </c>
      <c r="L11" s="285">
        <f>'201708 Bk Depr'!$R25</f>
        <v>6302967.0000000009</v>
      </c>
      <c r="M11" s="285">
        <f>'201709 Bk Depr'!$R25</f>
        <v>9459921.3600000013</v>
      </c>
      <c r="N11" s="285">
        <f>'201710 Bk Depr'!$R25</f>
        <v>13359775.57</v>
      </c>
      <c r="O11" s="285">
        <f>'201711 Bk Depr'!$R25</f>
        <v>16010268.989999998</v>
      </c>
      <c r="P11" s="285">
        <f>'201712 Bk Depr'!$R25</f>
        <v>17681979.870000001</v>
      </c>
      <c r="Q11" s="286">
        <f>SUM(K11:P11)/7</f>
        <v>9407477.5357142854</v>
      </c>
      <c r="R11"/>
      <c r="U11" s="90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06">
        <v>4540286.8899999997</v>
      </c>
      <c r="E12" s="307">
        <v>4642448.26</v>
      </c>
      <c r="F12" s="307">
        <v>4749273.92</v>
      </c>
      <c r="G12" s="307">
        <v>4859999.8599999994</v>
      </c>
      <c r="H12" s="307">
        <v>4969441.51</v>
      </c>
      <c r="I12" s="307">
        <v>5089001.5799999991</v>
      </c>
      <c r="J12" s="308">
        <v>5209606.8599999994</v>
      </c>
      <c r="K12" s="284">
        <f>'201707 Bk Depr'!$R31</f>
        <v>221050.71000000002</v>
      </c>
      <c r="L12" s="285">
        <f>'201708 Bk Depr'!$R31</f>
        <v>354600.65</v>
      </c>
      <c r="M12" s="285">
        <f>'201709 Bk Depr'!$R31</f>
        <v>502267.67000000004</v>
      </c>
      <c r="N12" s="285">
        <f>'201710 Bk Depr'!$R31</f>
        <v>903421.45</v>
      </c>
      <c r="O12" s="285">
        <f>'201711 Bk Depr'!$R31</f>
        <v>1192482.7000000002</v>
      </c>
      <c r="P12" s="285">
        <f>'201712 Bk Depr'!$R31</f>
        <v>1643717.13</v>
      </c>
      <c r="Q12" s="286">
        <f t="shared" ref="Q12:Q13" si="1">SUM(K12:P12)/7</f>
        <v>688220.04428571439</v>
      </c>
      <c r="R12"/>
      <c r="U12" s="90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09">
        <v>-11624581.388949178</v>
      </c>
      <c r="E13" s="310">
        <v>-12223718.714747511</v>
      </c>
      <c r="F13" s="310">
        <v>-12830571.515023053</v>
      </c>
      <c r="G13" s="310">
        <v>-13446162.154084053</v>
      </c>
      <c r="H13" s="310">
        <v>-14071952.10238922</v>
      </c>
      <c r="I13" s="310">
        <v>-14708754.916368136</v>
      </c>
      <c r="J13" s="311">
        <v>-15357043.41514772</v>
      </c>
      <c r="K13" s="292">
        <f>-'Cap&amp;OpEx 2017'!C$22-'201707 Bk Depr'!P17</f>
        <v>-3483.0979357500009</v>
      </c>
      <c r="L13" s="293">
        <f>-'Cap&amp;OpEx 2017'!D$22-'201708 Bk Depr'!P17+K13</f>
        <v>-41623.970000000008</v>
      </c>
      <c r="M13" s="293">
        <f>-'Cap&amp;OpEx 2017'!E$22-'201709 Bk Depr'!P17+L13</f>
        <v>-60027.202751000012</v>
      </c>
      <c r="N13" s="293">
        <f>-'Cap&amp;OpEx 2017'!F$22-'201710 Bk Depr'!P17+M13</f>
        <v>-86150.91145325001</v>
      </c>
      <c r="O13" s="293">
        <f>-'Cap&amp;OpEx 2017'!G$22-'201711 Bk Depr'!P17+N13</f>
        <v>-119677.57448000001</v>
      </c>
      <c r="P13" s="293">
        <f>-'Cap&amp;OpEx 2017'!H$22-'201712 Bk Depr'!P17+O13</f>
        <v>-158385.19315550002</v>
      </c>
      <c r="Q13" s="291">
        <f t="shared" si="1"/>
        <v>-67049.707110785734</v>
      </c>
      <c r="R13"/>
      <c r="U13" s="90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06">
        <v>211589224.15105072</v>
      </c>
      <c r="E14" s="307">
        <v>213973751.81525239</v>
      </c>
      <c r="F14" s="307">
        <v>216402983.92497689</v>
      </c>
      <c r="G14" s="307">
        <v>219649498.46591589</v>
      </c>
      <c r="H14" s="307">
        <v>223163687.8276107</v>
      </c>
      <c r="I14" s="307">
        <v>226904634.7236318</v>
      </c>
      <c r="J14" s="308">
        <v>230757181.70485216</v>
      </c>
      <c r="K14" s="284">
        <f t="shared" ref="K14:Q14" si="2">SUM(K11:K13)</f>
        <v>3254997.5720642502</v>
      </c>
      <c r="L14" s="285">
        <f t="shared" si="2"/>
        <v>6615943.6800000016</v>
      </c>
      <c r="M14" s="285">
        <f t="shared" si="2"/>
        <v>9902161.8272490017</v>
      </c>
      <c r="N14" s="285">
        <f t="shared" si="2"/>
        <v>14177046.108546749</v>
      </c>
      <c r="O14" s="285">
        <f t="shared" si="2"/>
        <v>17083074.115519997</v>
      </c>
      <c r="P14" s="285">
        <f t="shared" si="2"/>
        <v>19167311.806844499</v>
      </c>
      <c r="Q14" s="286">
        <f t="shared" si="2"/>
        <v>10028647.872889215</v>
      </c>
      <c r="R14"/>
      <c r="U14" s="90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10"/>
      <c r="E15" s="98"/>
      <c r="F15" s="98"/>
      <c r="G15" s="98"/>
      <c r="H15" s="98"/>
      <c r="I15" s="98"/>
      <c r="J15" s="111"/>
      <c r="K15" s="124"/>
      <c r="L15" s="47"/>
      <c r="M15" s="47"/>
      <c r="N15" s="47"/>
      <c r="O15" s="47"/>
      <c r="P15" s="47"/>
      <c r="Q15" s="125"/>
      <c r="R15"/>
      <c r="U15" s="90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09">
        <v>-29925580.547962356</v>
      </c>
      <c r="E16" s="310">
        <v>-36933741.090531789</v>
      </c>
      <c r="F16" s="310">
        <v>-37531662.582907513</v>
      </c>
      <c r="G16" s="310">
        <v>-38157645.852782331</v>
      </c>
      <c r="H16" s="310">
        <v>-38708863.869166292</v>
      </c>
      <c r="I16" s="310">
        <v>-39205882.884475417</v>
      </c>
      <c r="J16" s="311">
        <v>-39638805.084670633</v>
      </c>
      <c r="K16" s="292">
        <f>-'Tax Depr 2017'!$U23</f>
        <v>-682357.10493865982</v>
      </c>
      <c r="L16" s="293">
        <f>-'Tax Depr 2017'!$U24</f>
        <v>-1359777.5027772083</v>
      </c>
      <c r="M16" s="293">
        <f>-'Tax Depr 2017'!$U25</f>
        <v>-2110623.5092823608</v>
      </c>
      <c r="N16" s="293">
        <f>-'Tax Depr 2017'!$U26</f>
        <v>-2781518.3930213526</v>
      </c>
      <c r="O16" s="293">
        <f>-'Tax Depr 2017'!$U27</f>
        <v>-3338390.2492788634</v>
      </c>
      <c r="P16" s="293">
        <f>-'Tax Depr 2017'!$U28</f>
        <v>-4031690.8392467606</v>
      </c>
      <c r="Q16" s="291">
        <f t="shared" ref="Q16" si="3">SUM(K16:P16)/7</f>
        <v>-2043479.6569350294</v>
      </c>
      <c r="R16"/>
      <c r="U16" s="90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10"/>
      <c r="E17" s="98"/>
      <c r="F17" s="98"/>
      <c r="G17" s="98"/>
      <c r="H17" s="98"/>
      <c r="I17" s="98"/>
      <c r="J17" s="111"/>
      <c r="K17" s="124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06">
        <v>181663643.60308835</v>
      </c>
      <c r="E18" s="307">
        <v>177040010.7247206</v>
      </c>
      <c r="F18" s="307">
        <v>178871321.34206939</v>
      </c>
      <c r="G18" s="307">
        <v>181491852.61313355</v>
      </c>
      <c r="H18" s="307">
        <v>184454823.95844442</v>
      </c>
      <c r="I18" s="307">
        <v>187698751.83915639</v>
      </c>
      <c r="J18" s="308">
        <v>191118376.62018153</v>
      </c>
      <c r="K18" s="284">
        <f t="shared" ref="K18:Q18" si="4">SUM(K14:K16)</f>
        <v>2572640.4671255904</v>
      </c>
      <c r="L18" s="285">
        <f t="shared" si="4"/>
        <v>5256166.177222793</v>
      </c>
      <c r="M18" s="285">
        <f t="shared" si="4"/>
        <v>7791538.3179666409</v>
      </c>
      <c r="N18" s="285">
        <f t="shared" si="4"/>
        <v>11395527.715525396</v>
      </c>
      <c r="O18" s="285">
        <f t="shared" si="4"/>
        <v>13744683.866241133</v>
      </c>
      <c r="P18" s="285">
        <f t="shared" si="4"/>
        <v>15135620.967597738</v>
      </c>
      <c r="Q18" s="286">
        <f t="shared" si="4"/>
        <v>7985168.2159541855</v>
      </c>
      <c r="R18"/>
      <c r="S18" s="80"/>
    </row>
    <row r="19" spans="1:19" s="31" customFormat="1">
      <c r="A19" s="32"/>
      <c r="B19" s="32"/>
      <c r="D19" s="107"/>
      <c r="E19" s="108"/>
      <c r="F19" s="108"/>
      <c r="G19" s="108"/>
      <c r="H19" s="108"/>
      <c r="I19" s="108"/>
      <c r="J19" s="109"/>
      <c r="K19" s="122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12">
        <v>8.7039841473943429E-3</v>
      </c>
      <c r="E20" s="99">
        <v>8.7039841473943429E-3</v>
      </c>
      <c r="F20" s="99">
        <v>8.7039841473943429E-3</v>
      </c>
      <c r="G20" s="99">
        <v>8.7039841473943429E-3</v>
      </c>
      <c r="H20" s="99">
        <v>8.7039841473943429E-3</v>
      </c>
      <c r="I20" s="99">
        <v>8.7039841473943429E-3</v>
      </c>
      <c r="J20" s="113">
        <v>8.7039841473943429E-3</v>
      </c>
      <c r="K20" s="126">
        <v>8.5431530257663712E-3</v>
      </c>
      <c r="L20" s="37">
        <v>8.5431530257663712E-3</v>
      </c>
      <c r="M20" s="37">
        <v>8.5431530257663712E-3</v>
      </c>
      <c r="N20" s="37">
        <v>8.5431530257663712E-3</v>
      </c>
      <c r="O20" s="37">
        <v>8.5431530257663712E-3</v>
      </c>
      <c r="P20" s="37">
        <v>8.5431530257663712E-3</v>
      </c>
      <c r="Q20" s="127">
        <f>SUM(K20:P20)</f>
        <v>5.1258918154598231E-2</v>
      </c>
      <c r="R20"/>
    </row>
    <row r="21" spans="1:19" s="31" customFormat="1">
      <c r="A21" s="32"/>
      <c r="B21" s="32"/>
      <c r="D21" s="114"/>
      <c r="E21" s="108"/>
      <c r="F21" s="108"/>
      <c r="G21" s="108"/>
      <c r="H21" s="108"/>
      <c r="I21" s="108"/>
      <c r="J21" s="109"/>
      <c r="K21" s="122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12">
        <v>1581197.4740791768</v>
      </c>
      <c r="E22" s="313">
        <v>1540953.4468024925</v>
      </c>
      <c r="F22" s="313">
        <v>1556893.1453848514</v>
      </c>
      <c r="G22" s="313">
        <v>1579702.2080259449</v>
      </c>
      <c r="H22" s="313">
        <v>1605491.8636447145</v>
      </c>
      <c r="I22" s="313">
        <v>1633726.960493722</v>
      </c>
      <c r="J22" s="314">
        <v>1663491.3203778018</v>
      </c>
      <c r="K22" s="315">
        <f t="shared" ref="K22:Q22" si="5">K18*K20</f>
        <v>21978.461190932998</v>
      </c>
      <c r="L22" s="316">
        <f t="shared" si="5"/>
        <v>44904.231980871766</v>
      </c>
      <c r="M22" s="316">
        <f t="shared" si="5"/>
        <v>66564.304156511324</v>
      </c>
      <c r="N22" s="316">
        <f t="shared" si="5"/>
        <v>97353.73708309533</v>
      </c>
      <c r="O22" s="316">
        <f t="shared" si="5"/>
        <v>117422.93756008016</v>
      </c>
      <c r="P22" s="316">
        <f t="shared" si="5"/>
        <v>129305.92606618555</v>
      </c>
      <c r="Q22" s="317">
        <f t="shared" si="5"/>
        <v>409311.08403229475</v>
      </c>
      <c r="R22"/>
    </row>
    <row r="23" spans="1:19" s="31" customFormat="1">
      <c r="A23" s="32"/>
      <c r="B23" s="32"/>
      <c r="D23" s="114"/>
      <c r="E23" s="108"/>
      <c r="F23" s="108"/>
      <c r="G23" s="108"/>
      <c r="H23" s="108"/>
      <c r="I23" s="108"/>
      <c r="J23" s="109"/>
      <c r="K23" s="122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07"/>
      <c r="E24" s="108"/>
      <c r="F24" s="108"/>
      <c r="G24" s="108"/>
      <c r="H24" s="108"/>
      <c r="I24" s="108"/>
      <c r="J24" s="109"/>
      <c r="K24" s="122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06">
        <v>579467.52354124992</v>
      </c>
      <c r="E25" s="307">
        <v>588476.18058408331</v>
      </c>
      <c r="F25" s="307">
        <v>596191.65506129165</v>
      </c>
      <c r="G25" s="307">
        <v>604929.49384674989</v>
      </c>
      <c r="H25" s="307">
        <v>615128.8030909166</v>
      </c>
      <c r="I25" s="307">
        <v>626141.66876466665</v>
      </c>
      <c r="J25" s="308">
        <v>637627.35356533329</v>
      </c>
      <c r="K25" s="284">
        <f>'201707 Bk Depr'!$P25</f>
        <v>3483.0979357500009</v>
      </c>
      <c r="L25" s="285">
        <f>'201708 Bk Depr'!$P25</f>
        <v>38140.872064250005</v>
      </c>
      <c r="M25" s="285">
        <f>'201709 Bk Depr'!$P25</f>
        <v>18403.232751000003</v>
      </c>
      <c r="N25" s="285">
        <f>'201710 Bk Depr'!$P25</f>
        <v>26123.708702250005</v>
      </c>
      <c r="O25" s="285">
        <f>'201711 Bk Depr'!$P25</f>
        <v>33526.663026750008</v>
      </c>
      <c r="P25" s="285">
        <f>'201712 Bk Depr'!$P25</f>
        <v>38707.618675500009</v>
      </c>
      <c r="Q25" s="286">
        <f>SUM(K25:P25)</f>
        <v>158385.19315550002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06">
        <v>117915.46000000002</v>
      </c>
      <c r="E26" s="307">
        <v>139510.51999999999</v>
      </c>
      <c r="F26" s="307">
        <v>73320.98000000001</v>
      </c>
      <c r="G26" s="307">
        <v>111290.44000000003</v>
      </c>
      <c r="H26" s="307">
        <v>45198.47</v>
      </c>
      <c r="I26" s="307">
        <v>140279.72</v>
      </c>
      <c r="J26" s="308">
        <v>120955.86000000002</v>
      </c>
      <c r="K26" s="284">
        <f>'Cap&amp;OpEx 2017'!C29</f>
        <v>62063.899999999994</v>
      </c>
      <c r="L26" s="285">
        <f>'Cap&amp;OpEx 2017'!D29</f>
        <v>85274.15</v>
      </c>
      <c r="M26" s="285">
        <f>'Cap&amp;OpEx 2017'!E29</f>
        <v>64736.08</v>
      </c>
      <c r="N26" s="285">
        <f>'Cap&amp;OpEx 2017'!F29</f>
        <v>107597.89000000001</v>
      </c>
      <c r="O26" s="285">
        <f>'Cap&amp;OpEx 2017'!G29</f>
        <v>78694.020000000019</v>
      </c>
      <c r="P26" s="285">
        <f>'Cap&amp;OpEx 2017'!H29</f>
        <v>88839.3</v>
      </c>
      <c r="Q26" s="286">
        <f>SUM(K26:P26)</f>
        <v>487205.34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306">
        <v>178960</v>
      </c>
      <c r="E27" s="307">
        <v>237772.02999999994</v>
      </c>
      <c r="F27" s="307">
        <v>237772.02999999994</v>
      </c>
      <c r="G27" s="307">
        <v>237772.02999999994</v>
      </c>
      <c r="H27" s="307">
        <v>237772.02999999994</v>
      </c>
      <c r="I27" s="307">
        <v>237772.02999999994</v>
      </c>
      <c r="J27" s="308">
        <v>237772.02999999994</v>
      </c>
      <c r="K27" s="284">
        <f>'Cap&amp;OpEx 2017'!C30</f>
        <v>0</v>
      </c>
      <c r="L27" s="285">
        <f>'Cap&amp;OpEx 2017'!D30</f>
        <v>0</v>
      </c>
      <c r="M27" s="285">
        <f>'Cap&amp;OpEx 2017'!E30</f>
        <v>0</v>
      </c>
      <c r="N27" s="285">
        <f>'Cap&amp;OpEx 2017'!F30</f>
        <v>0</v>
      </c>
      <c r="O27" s="285">
        <f>'Cap&amp;OpEx 2017'!G30</f>
        <v>0</v>
      </c>
      <c r="P27" s="285">
        <f>'Cap&amp;OpEx 2017'!H30</f>
        <v>0</v>
      </c>
      <c r="Q27" s="286">
        <f>SUM(K27:P27)</f>
        <v>0</v>
      </c>
      <c r="R27"/>
      <c r="S27" s="80"/>
    </row>
    <row r="28" spans="1:19" s="31" customFormat="1">
      <c r="A28" s="32"/>
      <c r="B28" s="32"/>
      <c r="D28" s="110"/>
      <c r="E28" s="98"/>
      <c r="F28" s="98"/>
      <c r="G28" s="98"/>
      <c r="H28" s="98"/>
      <c r="I28" s="98"/>
      <c r="J28" s="111"/>
      <c r="K28" s="124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06">
        <v>876342.98354125</v>
      </c>
      <c r="E29" s="307">
        <v>965758.73058408324</v>
      </c>
      <c r="F29" s="307">
        <v>907284.66506129154</v>
      </c>
      <c r="G29" s="307">
        <v>953991.96384674986</v>
      </c>
      <c r="H29" s="307">
        <v>898099.30309091648</v>
      </c>
      <c r="I29" s="307">
        <v>1004193.4187646665</v>
      </c>
      <c r="J29" s="308">
        <v>996355.24356533319</v>
      </c>
      <c r="K29" s="284">
        <f t="shared" ref="K29:Q29" si="6">SUM(K25:K28)</f>
        <v>65546.997935749998</v>
      </c>
      <c r="L29" s="285">
        <f t="shared" si="6"/>
        <v>123415.02206424999</v>
      </c>
      <c r="M29" s="285">
        <f t="shared" si="6"/>
        <v>83139.312751000005</v>
      </c>
      <c r="N29" s="285">
        <f t="shared" si="6"/>
        <v>133721.59870225002</v>
      </c>
      <c r="O29" s="285">
        <f t="shared" si="6"/>
        <v>112220.68302675002</v>
      </c>
      <c r="P29" s="285">
        <f t="shared" si="6"/>
        <v>127546.91867550001</v>
      </c>
      <c r="Q29" s="286">
        <f t="shared" si="6"/>
        <v>645590.53315550007</v>
      </c>
      <c r="R29"/>
    </row>
    <row r="30" spans="1:19" s="31" customFormat="1">
      <c r="A30" s="32"/>
      <c r="B30" s="32"/>
      <c r="D30" s="107"/>
      <c r="E30" s="108"/>
      <c r="F30" s="108"/>
      <c r="G30" s="108"/>
      <c r="H30" s="108"/>
      <c r="I30" s="108"/>
      <c r="J30" s="109"/>
      <c r="K30" s="122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318">
        <v>2457540.457620427</v>
      </c>
      <c r="E31" s="319">
        <v>2506712.1773865758</v>
      </c>
      <c r="F31" s="319">
        <v>2464177.8104461432</v>
      </c>
      <c r="G31" s="319">
        <v>2533694.171872695</v>
      </c>
      <c r="H31" s="319">
        <v>2503591.1667356309</v>
      </c>
      <c r="I31" s="319">
        <v>2637920.3792583887</v>
      </c>
      <c r="J31" s="320">
        <v>2659846.5639431351</v>
      </c>
      <c r="K31" s="321">
        <f t="shared" ref="K31:Q31" si="7">K22+K29</f>
        <v>87525.459126682996</v>
      </c>
      <c r="L31" s="322">
        <f t="shared" si="7"/>
        <v>168319.25404512175</v>
      </c>
      <c r="M31" s="322">
        <f t="shared" si="7"/>
        <v>149703.61690751131</v>
      </c>
      <c r="N31" s="322">
        <f t="shared" si="7"/>
        <v>231075.33578534535</v>
      </c>
      <c r="O31" s="322">
        <f t="shared" si="7"/>
        <v>229643.62058683019</v>
      </c>
      <c r="P31" s="322">
        <f t="shared" si="7"/>
        <v>256852.84474168555</v>
      </c>
      <c r="Q31" s="323">
        <f t="shared" si="7"/>
        <v>1054901.6171877948</v>
      </c>
      <c r="R31"/>
    </row>
    <row r="32" spans="1:19" s="31" customFormat="1">
      <c r="A32" s="32"/>
      <c r="B32" s="32"/>
      <c r="D32" s="80"/>
      <c r="P32" s="80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467"/>
      <c r="L33" s="81"/>
      <c r="M33" s="81"/>
      <c r="N33" s="81"/>
      <c r="O33" s="81"/>
      <c r="R33"/>
    </row>
    <row r="34" spans="1:28" s="31" customFormat="1">
      <c r="A34" s="157"/>
      <c r="B34" s="158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>
      <c r="A35" s="159"/>
      <c r="B35" s="160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6" spans="1:28">
      <c r="A36" s="159"/>
      <c r="B36" s="159"/>
      <c r="C36" s="161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23"/>
      <c r="B40" s="23"/>
      <c r="C40" s="16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164"/>
      <c r="C41" s="1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23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0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167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20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159"/>
      <c r="B50" s="159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19"/>
      <c r="V50" s="20"/>
      <c r="W50" s="20"/>
      <c r="X50" s="20"/>
      <c r="Y50" s="20"/>
      <c r="Z50" s="20"/>
      <c r="AA50" s="20"/>
      <c r="AB50" s="20"/>
      <c r="AC50" s="94"/>
      <c r="AD50" s="94"/>
      <c r="AE50" s="94"/>
      <c r="AF50" s="94"/>
      <c r="AG50" s="94"/>
      <c r="AH50" s="94"/>
      <c r="AI50" s="94"/>
      <c r="AJ50" s="94"/>
    </row>
    <row r="51" spans="1:36">
      <c r="A51" s="21"/>
      <c r="B51" s="159"/>
      <c r="C51" s="23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S51" s="23"/>
      <c r="T51" s="23"/>
      <c r="U51" s="21"/>
      <c r="V51" s="22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</row>
    <row r="52" spans="1:36">
      <c r="A52" s="84"/>
      <c r="B52" s="159"/>
      <c r="C52" s="84"/>
      <c r="D52" s="83"/>
      <c r="E52" s="84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S52" s="23"/>
      <c r="T52" s="23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21"/>
      <c r="B53" s="159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S53" s="23"/>
      <c r="T53" s="23"/>
      <c r="U53" s="21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</row>
    <row r="54" spans="1:36">
      <c r="A54" s="159"/>
      <c r="B54" s="159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S54" s="23"/>
      <c r="T54" s="23"/>
      <c r="U54" s="21"/>
      <c r="V54" s="24"/>
      <c r="W54" s="24"/>
      <c r="X54" s="24"/>
      <c r="Y54" s="24"/>
      <c r="Z54" s="24"/>
      <c r="AA54" s="24"/>
      <c r="AB54" s="25"/>
      <c r="AC54" s="24"/>
      <c r="AD54" s="25"/>
      <c r="AE54" s="25"/>
      <c r="AF54" s="25"/>
      <c r="AG54" s="24"/>
      <c r="AH54" s="24"/>
      <c r="AI54" s="24"/>
      <c r="AJ54" s="24"/>
    </row>
    <row r="55" spans="1:36">
      <c r="A55" s="159"/>
      <c r="B55" s="16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4"/>
      <c r="AE55" s="24"/>
      <c r="AF55" s="25"/>
      <c r="AG55" s="24"/>
      <c r="AH55" s="24"/>
      <c r="AI55" s="24"/>
      <c r="AJ55" s="24"/>
    </row>
    <row r="56" spans="1:36">
      <c r="A56" s="159"/>
      <c r="B56" s="159"/>
      <c r="C56" s="161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23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3"/>
      <c r="W59" s="23"/>
      <c r="X59" s="23"/>
      <c r="Y59" s="23"/>
      <c r="Z59" s="23"/>
      <c r="AA59" s="23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3" spans="1:36">
      <c r="A63" s="159"/>
      <c r="B63" s="159"/>
      <c r="C63" s="161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6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59"/>
      <c r="C70" s="23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69"/>
      <c r="C75" s="2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59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69"/>
      <c r="C77" s="23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59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60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59"/>
      <c r="C81" s="161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7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64"/>
      <c r="C86" s="165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59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10" spans="1:28">
      <c r="A110" s="128"/>
      <c r="B110" s="128"/>
      <c r="C110" s="129"/>
      <c r="D110" s="129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82"/>
    </row>
    <row r="118" spans="14:19">
      <c r="N118"/>
      <c r="O118"/>
      <c r="P118"/>
      <c r="Q118"/>
      <c r="S118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048575" spans="19:19">
      <c r="S1048575" s="80">
        <f>SUM(D1048575:P1048576)</f>
        <v>0</v>
      </c>
    </row>
  </sheetData>
  <mergeCells count="3">
    <mergeCell ref="AC5:AJ5"/>
    <mergeCell ref="D5:J5"/>
    <mergeCell ref="K5:Q5"/>
  </mergeCells>
  <pageMargins left="0.7" right="0.7" top="0.75" bottom="0.75" header="0.3" footer="0.3"/>
  <pageSetup scale="29" fitToWidth="0" fitToHeight="0" orientation="landscape" r:id="rId1"/>
  <headerFooter scaleWithDoc="0">
    <oddFooter>&amp;R&amp;"Times New Roman,Bold"&amp;12Exhibit CMG-5
Page 2 of 12&amp;L&amp;1#&amp;"Calibri"&amp;14&amp;K000000Business Use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39997558519241921"/>
    <pageSetUpPr fitToPage="1"/>
  </sheetPr>
  <dimension ref="A1:AJ1048490"/>
  <sheetViews>
    <sheetView zoomScale="70" zoomScaleNormal="70" workbookViewId="0"/>
  </sheetViews>
  <sheetFormatPr defaultColWidth="9.140625" defaultRowHeight="20.25"/>
  <cols>
    <col min="1" max="1" width="9.5703125" style="72" customWidth="1"/>
    <col min="2" max="2" width="9.140625" style="72"/>
    <col min="3" max="3" width="68.85546875" style="72" customWidth="1"/>
    <col min="4" max="5" width="19.140625" style="72" customWidth="1"/>
    <col min="6" max="6" width="20.85546875" style="72" customWidth="1"/>
    <col min="7" max="7" width="19" style="72" customWidth="1"/>
    <col min="8" max="8" width="19.5703125" style="72" customWidth="1"/>
    <col min="9" max="9" width="19.140625" style="72" customWidth="1"/>
    <col min="10" max="10" width="19" style="72" customWidth="1"/>
    <col min="11" max="11" width="19.140625" style="72" customWidth="1"/>
    <col min="12" max="14" width="22.5703125" style="72" bestFit="1" customWidth="1"/>
    <col min="15" max="16" width="19.140625" style="72" bestFit="1" customWidth="1"/>
    <col min="17" max="17" width="20.85546875" style="72" bestFit="1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1603"/>
      <c r="E5" s="1604"/>
      <c r="F5" s="1604"/>
      <c r="G5" s="1604"/>
      <c r="H5" s="1604"/>
      <c r="I5" s="1604"/>
      <c r="J5" s="1605"/>
      <c r="K5" s="1600"/>
      <c r="L5" s="1601"/>
      <c r="M5" s="1601"/>
      <c r="N5" s="1601"/>
      <c r="O5" s="1601"/>
      <c r="P5" s="1601"/>
      <c r="Q5" s="1602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92" t="s">
        <v>4</v>
      </c>
      <c r="B6" s="32"/>
      <c r="D6" s="134">
        <v>2016</v>
      </c>
      <c r="E6" s="135">
        <v>2017</v>
      </c>
      <c r="F6" s="135">
        <f t="shared" ref="F6:Q6" si="0">$E$6</f>
        <v>2017</v>
      </c>
      <c r="G6" s="135">
        <f t="shared" si="0"/>
        <v>2017</v>
      </c>
      <c r="H6" s="135">
        <f t="shared" si="0"/>
        <v>2017</v>
      </c>
      <c r="I6" s="135">
        <f t="shared" si="0"/>
        <v>2017</v>
      </c>
      <c r="J6" s="136">
        <f t="shared" si="0"/>
        <v>2017</v>
      </c>
      <c r="K6" s="131">
        <f t="shared" si="0"/>
        <v>2017</v>
      </c>
      <c r="L6" s="132">
        <f t="shared" si="0"/>
        <v>2017</v>
      </c>
      <c r="M6" s="132">
        <f t="shared" si="0"/>
        <v>2017</v>
      </c>
      <c r="N6" s="132">
        <f t="shared" si="0"/>
        <v>2017</v>
      </c>
      <c r="O6" s="132">
        <f t="shared" si="0"/>
        <v>2017</v>
      </c>
      <c r="P6" s="132">
        <f t="shared" si="0"/>
        <v>2017</v>
      </c>
      <c r="Q6" s="133">
        <f t="shared" si="0"/>
        <v>2017</v>
      </c>
      <c r="R6"/>
      <c r="U6" s="93"/>
      <c r="V6" s="16"/>
      <c r="W6" s="93"/>
      <c r="X6" s="93"/>
      <c r="Y6" s="93"/>
      <c r="Z6" s="93"/>
      <c r="AA6" s="93"/>
      <c r="AB6" s="93"/>
      <c r="AC6" s="93"/>
      <c r="AD6" s="93"/>
      <c r="AE6" s="93"/>
      <c r="AF6" s="16"/>
      <c r="AG6" s="93"/>
      <c r="AH6" s="93"/>
      <c r="AI6" s="93"/>
      <c r="AJ6" s="93"/>
    </row>
    <row r="7" spans="1:36" s="31" customFormat="1">
      <c r="A7" s="74" t="s">
        <v>5</v>
      </c>
      <c r="B7" s="32"/>
      <c r="C7" s="74" t="s">
        <v>6</v>
      </c>
      <c r="D7" s="137" t="s">
        <v>104</v>
      </c>
      <c r="E7" s="138" t="s">
        <v>92</v>
      </c>
      <c r="F7" s="138" t="s">
        <v>95</v>
      </c>
      <c r="G7" s="138" t="s">
        <v>96</v>
      </c>
      <c r="H7" s="138" t="s">
        <v>97</v>
      </c>
      <c r="I7" s="138" t="s">
        <v>85</v>
      </c>
      <c r="J7" s="139" t="s">
        <v>98</v>
      </c>
      <c r="K7" s="117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239</v>
      </c>
      <c r="R7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16"/>
      <c r="AG7" s="93"/>
      <c r="AH7" s="93"/>
      <c r="AI7" s="93"/>
      <c r="AJ7" s="93"/>
    </row>
    <row r="8" spans="1:36" s="31" customFormat="1">
      <c r="A8" s="92"/>
      <c r="B8" s="32"/>
      <c r="C8" s="76">
        <v>-1</v>
      </c>
      <c r="D8" s="140">
        <v>-2</v>
      </c>
      <c r="E8" s="141">
        <v>-3</v>
      </c>
      <c r="F8" s="141">
        <v>-4</v>
      </c>
      <c r="G8" s="141">
        <v>-5</v>
      </c>
      <c r="H8" s="141">
        <v>-6</v>
      </c>
      <c r="I8" s="141">
        <v>-7</v>
      </c>
      <c r="J8" s="142">
        <v>-8</v>
      </c>
      <c r="K8" s="119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43"/>
      <c r="E9" s="144"/>
      <c r="F9" s="144"/>
      <c r="G9" s="144"/>
      <c r="H9" s="144"/>
      <c r="I9" s="144"/>
      <c r="J9" s="145"/>
      <c r="K9" s="122"/>
      <c r="L9" s="13"/>
      <c r="M9" s="13"/>
      <c r="N9" s="13"/>
      <c r="O9" s="13"/>
      <c r="P9" s="13"/>
      <c r="Q9" s="123"/>
      <c r="R9"/>
      <c r="U9" s="93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43"/>
      <c r="E10" s="144"/>
      <c r="F10" s="144"/>
      <c r="G10" s="144"/>
      <c r="H10" s="144"/>
      <c r="I10" s="144"/>
      <c r="J10" s="145"/>
      <c r="K10" s="122"/>
      <c r="L10" s="13"/>
      <c r="M10" s="13"/>
      <c r="N10" s="13"/>
      <c r="O10" s="13"/>
      <c r="P10" s="13"/>
      <c r="Q10" s="123"/>
      <c r="R10"/>
      <c r="U10" s="93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419</v>
      </c>
      <c r="D11" s="300">
        <v>0</v>
      </c>
      <c r="E11" s="301"/>
      <c r="F11" s="301"/>
      <c r="G11" s="301"/>
      <c r="H11" s="301"/>
      <c r="I11" s="301"/>
      <c r="J11" s="302"/>
      <c r="K11" s="284">
        <f>'Cap&amp;OpEx 2017'!C11</f>
        <v>239723.06</v>
      </c>
      <c r="L11" s="285">
        <f>'Cap&amp;OpEx 2017'!D11+K11</f>
        <v>310103.82</v>
      </c>
      <c r="M11" s="285">
        <f>'Cap&amp;OpEx 2017'!E11+L11</f>
        <v>616593.07000000007</v>
      </c>
      <c r="N11" s="285">
        <f>'Cap&amp;OpEx 2017'!F11+M11</f>
        <v>1046533.8500000001</v>
      </c>
      <c r="O11" s="285">
        <f>'Cap&amp;OpEx 2017'!G11+N11</f>
        <v>1439946.39</v>
      </c>
      <c r="P11" s="285">
        <f>'Cap&amp;OpEx 2017'!H11+O11</f>
        <v>3062641.21</v>
      </c>
      <c r="Q11" s="286">
        <f>SUM(K11:P11)/7</f>
        <v>959363.05714285723</v>
      </c>
      <c r="R11"/>
      <c r="U11" s="93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00">
        <v>0</v>
      </c>
      <c r="E12" s="301"/>
      <c r="F12" s="301"/>
      <c r="G12" s="301"/>
      <c r="H12" s="301"/>
      <c r="I12" s="301"/>
      <c r="J12" s="302"/>
      <c r="K12" s="287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6">
        <f t="shared" ref="Q12:Q13" si="1">SUM(K12:P12)/7</f>
        <v>0</v>
      </c>
      <c r="R12"/>
      <c r="U12" s="93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03">
        <v>0</v>
      </c>
      <c r="E13" s="304"/>
      <c r="F13" s="304"/>
      <c r="G13" s="304"/>
      <c r="H13" s="304"/>
      <c r="I13" s="304"/>
      <c r="J13" s="305"/>
      <c r="K13" s="289">
        <v>0</v>
      </c>
      <c r="L13" s="290">
        <v>0</v>
      </c>
      <c r="M13" s="290">
        <v>0</v>
      </c>
      <c r="N13" s="290">
        <v>0</v>
      </c>
      <c r="O13" s="290">
        <v>0</v>
      </c>
      <c r="P13" s="290">
        <v>0</v>
      </c>
      <c r="Q13" s="291">
        <f t="shared" si="1"/>
        <v>0</v>
      </c>
      <c r="R13"/>
      <c r="U13" s="93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00">
        <f t="shared" ref="D14:Q14" si="2">SUM(D11:D13)</f>
        <v>0</v>
      </c>
      <c r="E14" s="301">
        <f t="shared" si="2"/>
        <v>0</v>
      </c>
      <c r="F14" s="301">
        <f t="shared" si="2"/>
        <v>0</v>
      </c>
      <c r="G14" s="301">
        <f t="shared" si="2"/>
        <v>0</v>
      </c>
      <c r="H14" s="301">
        <f t="shared" si="2"/>
        <v>0</v>
      </c>
      <c r="I14" s="301">
        <f t="shared" si="2"/>
        <v>0</v>
      </c>
      <c r="J14" s="302">
        <f t="shared" si="2"/>
        <v>0</v>
      </c>
      <c r="K14" s="284">
        <f t="shared" si="2"/>
        <v>239723.06</v>
      </c>
      <c r="L14" s="285">
        <f t="shared" si="2"/>
        <v>310103.82</v>
      </c>
      <c r="M14" s="285">
        <f t="shared" si="2"/>
        <v>616593.07000000007</v>
      </c>
      <c r="N14" s="285">
        <f t="shared" si="2"/>
        <v>1046533.8500000001</v>
      </c>
      <c r="O14" s="285">
        <f t="shared" si="2"/>
        <v>1439946.39</v>
      </c>
      <c r="P14" s="285">
        <f t="shared" si="2"/>
        <v>3062641.21</v>
      </c>
      <c r="Q14" s="286">
        <f t="shared" si="2"/>
        <v>959363.05714285723</v>
      </c>
      <c r="R14"/>
      <c r="U14" s="93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46"/>
      <c r="E15" s="147"/>
      <c r="F15" s="147"/>
      <c r="G15" s="147"/>
      <c r="H15" s="147"/>
      <c r="I15" s="147"/>
      <c r="J15" s="148"/>
      <c r="K15" s="124"/>
      <c r="L15" s="47"/>
      <c r="M15" s="47"/>
      <c r="N15" s="47"/>
      <c r="O15" s="47"/>
      <c r="P15" s="47"/>
      <c r="Q15" s="125"/>
      <c r="R15"/>
      <c r="U15" s="93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03">
        <v>0</v>
      </c>
      <c r="E16" s="304"/>
      <c r="F16" s="304"/>
      <c r="G16" s="304"/>
      <c r="H16" s="304"/>
      <c r="I16" s="304"/>
      <c r="J16" s="305"/>
      <c r="K16" s="289">
        <v>0</v>
      </c>
      <c r="L16" s="290">
        <v>0</v>
      </c>
      <c r="M16" s="290">
        <v>0</v>
      </c>
      <c r="N16" s="290">
        <v>0</v>
      </c>
      <c r="O16" s="290">
        <v>0</v>
      </c>
      <c r="P16" s="290">
        <v>0</v>
      </c>
      <c r="Q16" s="291">
        <f>SUM(K16:P16)/7</f>
        <v>0</v>
      </c>
      <c r="R16"/>
      <c r="U16" s="93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46"/>
      <c r="E17" s="147"/>
      <c r="F17" s="147"/>
      <c r="G17" s="147"/>
      <c r="H17" s="147"/>
      <c r="I17" s="147"/>
      <c r="J17" s="148"/>
      <c r="K17" s="124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00">
        <f t="shared" ref="D18:Q18" si="3">SUM(D14:D16)</f>
        <v>0</v>
      </c>
      <c r="E18" s="301">
        <f t="shared" si="3"/>
        <v>0</v>
      </c>
      <c r="F18" s="301">
        <f t="shared" si="3"/>
        <v>0</v>
      </c>
      <c r="G18" s="301">
        <f t="shared" si="3"/>
        <v>0</v>
      </c>
      <c r="H18" s="301">
        <f t="shared" si="3"/>
        <v>0</v>
      </c>
      <c r="I18" s="301">
        <f t="shared" si="3"/>
        <v>0</v>
      </c>
      <c r="J18" s="302">
        <f t="shared" si="3"/>
        <v>0</v>
      </c>
      <c r="K18" s="284">
        <f t="shared" si="3"/>
        <v>239723.06</v>
      </c>
      <c r="L18" s="285">
        <f t="shared" si="3"/>
        <v>310103.82</v>
      </c>
      <c r="M18" s="285">
        <f t="shared" si="3"/>
        <v>616593.07000000007</v>
      </c>
      <c r="N18" s="285">
        <f t="shared" si="3"/>
        <v>1046533.8500000001</v>
      </c>
      <c r="O18" s="285">
        <f t="shared" si="3"/>
        <v>1439946.39</v>
      </c>
      <c r="P18" s="285">
        <f t="shared" si="3"/>
        <v>3062641.21</v>
      </c>
      <c r="Q18" s="286">
        <f t="shared" si="3"/>
        <v>959363.05714285723</v>
      </c>
      <c r="R18"/>
      <c r="S18" s="80"/>
    </row>
    <row r="19" spans="1:19" s="31" customFormat="1">
      <c r="A19" s="32"/>
      <c r="B19" s="32"/>
      <c r="D19" s="143"/>
      <c r="E19" s="144"/>
      <c r="F19" s="144"/>
      <c r="G19" s="144"/>
      <c r="H19" s="144"/>
      <c r="I19" s="144"/>
      <c r="J19" s="145"/>
      <c r="K19" s="122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49"/>
      <c r="E20" s="150">
        <v>8.7039841473943429E-3</v>
      </c>
      <c r="F20" s="150">
        <v>8.7039841473943429E-3</v>
      </c>
      <c r="G20" s="150">
        <v>8.7039841473943429E-3</v>
      </c>
      <c r="H20" s="150">
        <v>8.7039841473943429E-3</v>
      </c>
      <c r="I20" s="150">
        <v>8.7039841473943429E-3</v>
      </c>
      <c r="J20" s="151">
        <v>8.7039841473943429E-3</v>
      </c>
      <c r="K20" s="126">
        <v>8.5431530257663712E-3</v>
      </c>
      <c r="L20" s="37">
        <v>8.5431530257663712E-3</v>
      </c>
      <c r="M20" s="37">
        <v>8.5431530257663712E-3</v>
      </c>
      <c r="N20" s="37">
        <v>8.5431530257663712E-3</v>
      </c>
      <c r="O20" s="37">
        <v>8.5431530257663712E-3</v>
      </c>
      <c r="P20" s="37">
        <v>8.5431530257663712E-3</v>
      </c>
      <c r="Q20" s="127">
        <f>SUM(K20:P20)</f>
        <v>5.1258918154598231E-2</v>
      </c>
      <c r="R20"/>
    </row>
    <row r="21" spans="1:19" s="31" customFormat="1">
      <c r="A21" s="32"/>
      <c r="B21" s="32"/>
      <c r="D21" s="152"/>
      <c r="E21" s="144"/>
      <c r="F21" s="144"/>
      <c r="G21" s="144"/>
      <c r="H21" s="144"/>
      <c r="I21" s="144"/>
      <c r="J21" s="145"/>
      <c r="K21" s="122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03">
        <f t="shared" ref="D22:Q22" si="4">D18*D20</f>
        <v>0</v>
      </c>
      <c r="E22" s="304">
        <f t="shared" si="4"/>
        <v>0</v>
      </c>
      <c r="F22" s="304">
        <f t="shared" si="4"/>
        <v>0</v>
      </c>
      <c r="G22" s="304">
        <f t="shared" si="4"/>
        <v>0</v>
      </c>
      <c r="H22" s="304">
        <f t="shared" si="4"/>
        <v>0</v>
      </c>
      <c r="I22" s="304">
        <f t="shared" si="4"/>
        <v>0</v>
      </c>
      <c r="J22" s="305">
        <f t="shared" si="4"/>
        <v>0</v>
      </c>
      <c r="K22" s="292">
        <f t="shared" si="4"/>
        <v>2047.9907853849734</v>
      </c>
      <c r="L22" s="293">
        <f t="shared" si="4"/>
        <v>2649.2643881347103</v>
      </c>
      <c r="M22" s="293">
        <f t="shared" si="4"/>
        <v>5267.6489516370766</v>
      </c>
      <c r="N22" s="293">
        <f t="shared" si="4"/>
        <v>8940.6988271944301</v>
      </c>
      <c r="O22" s="293">
        <f t="shared" si="4"/>
        <v>12301.682358669863</v>
      </c>
      <c r="P22" s="293">
        <f t="shared" si="4"/>
        <v>26164.612520048278</v>
      </c>
      <c r="Q22" s="291">
        <f t="shared" si="4"/>
        <v>49175.912426630865</v>
      </c>
      <c r="R22"/>
    </row>
    <row r="23" spans="1:19" s="31" customFormat="1">
      <c r="A23" s="32"/>
      <c r="B23" s="32"/>
      <c r="D23" s="152"/>
      <c r="E23" s="144"/>
      <c r="F23" s="144"/>
      <c r="G23" s="144"/>
      <c r="H23" s="144"/>
      <c r="I23" s="144"/>
      <c r="J23" s="145"/>
      <c r="K23" s="122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43"/>
      <c r="E24" s="144"/>
      <c r="F24" s="144"/>
      <c r="G24" s="144"/>
      <c r="H24" s="144"/>
      <c r="I24" s="144"/>
      <c r="J24" s="145"/>
      <c r="K24" s="122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00">
        <v>0</v>
      </c>
      <c r="E25" s="301"/>
      <c r="F25" s="301"/>
      <c r="G25" s="301"/>
      <c r="H25" s="301"/>
      <c r="I25" s="301"/>
      <c r="J25" s="302"/>
      <c r="K25" s="287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00">
        <v>0</v>
      </c>
      <c r="E26" s="301"/>
      <c r="F26" s="301"/>
      <c r="G26" s="301"/>
      <c r="H26" s="301"/>
      <c r="I26" s="301"/>
      <c r="J26" s="302"/>
      <c r="K26" s="287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175</v>
      </c>
      <c r="D27" s="300">
        <v>0</v>
      </c>
      <c r="E27" s="301"/>
      <c r="F27" s="301"/>
      <c r="G27" s="301"/>
      <c r="H27" s="301"/>
      <c r="I27" s="301"/>
      <c r="J27" s="302"/>
      <c r="K27" s="284">
        <f>'Cap&amp;OpEx 2017'!C31</f>
        <v>0</v>
      </c>
      <c r="L27" s="285">
        <f>'Cap&amp;OpEx 2017'!D31</f>
        <v>0</v>
      </c>
      <c r="M27" s="285">
        <f>'Cap&amp;OpEx 2017'!E31</f>
        <v>0</v>
      </c>
      <c r="N27" s="285">
        <f>'Cap&amp;OpEx 2017'!F31</f>
        <v>0</v>
      </c>
      <c r="O27" s="285">
        <f>'Cap&amp;OpEx 2017'!G31</f>
        <v>0</v>
      </c>
      <c r="P27" s="285">
        <f>'Cap&amp;OpEx 2017'!H31</f>
        <v>0</v>
      </c>
      <c r="Q27" s="286">
        <f>SUM(E27:P27)</f>
        <v>0</v>
      </c>
      <c r="R27"/>
      <c r="S27" s="80"/>
    </row>
    <row r="28" spans="1:19" s="31" customFormat="1">
      <c r="A28" s="32"/>
      <c r="B28" s="32"/>
      <c r="D28" s="146"/>
      <c r="E28" s="147"/>
      <c r="F28" s="147"/>
      <c r="G28" s="147"/>
      <c r="H28" s="147"/>
      <c r="I28" s="147"/>
      <c r="J28" s="148"/>
      <c r="K28" s="124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00">
        <f t="shared" ref="D29:Q29" si="5">SUM(D25:D28)</f>
        <v>0</v>
      </c>
      <c r="E29" s="301">
        <f t="shared" si="5"/>
        <v>0</v>
      </c>
      <c r="F29" s="301">
        <f t="shared" si="5"/>
        <v>0</v>
      </c>
      <c r="G29" s="301">
        <f t="shared" si="5"/>
        <v>0</v>
      </c>
      <c r="H29" s="301">
        <f t="shared" si="5"/>
        <v>0</v>
      </c>
      <c r="I29" s="301">
        <f t="shared" si="5"/>
        <v>0</v>
      </c>
      <c r="J29" s="302">
        <f t="shared" si="5"/>
        <v>0</v>
      </c>
      <c r="K29" s="284">
        <f t="shared" si="5"/>
        <v>0</v>
      </c>
      <c r="L29" s="285">
        <f t="shared" si="5"/>
        <v>0</v>
      </c>
      <c r="M29" s="285">
        <f t="shared" si="5"/>
        <v>0</v>
      </c>
      <c r="N29" s="285">
        <f t="shared" si="5"/>
        <v>0</v>
      </c>
      <c r="O29" s="285">
        <f t="shared" si="5"/>
        <v>0</v>
      </c>
      <c r="P29" s="285">
        <f t="shared" si="5"/>
        <v>0</v>
      </c>
      <c r="Q29" s="286">
        <f t="shared" si="5"/>
        <v>0</v>
      </c>
      <c r="R29"/>
    </row>
    <row r="30" spans="1:19" s="31" customFormat="1">
      <c r="A30" s="32"/>
      <c r="B30" s="32"/>
      <c r="D30" s="143"/>
      <c r="E30" s="144"/>
      <c r="F30" s="144"/>
      <c r="G30" s="144"/>
      <c r="H30" s="144"/>
      <c r="I30" s="144"/>
      <c r="J30" s="145"/>
      <c r="K30" s="122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162</v>
      </c>
      <c r="D31" s="297">
        <f t="shared" ref="D31:Q31" si="6">D22+D29</f>
        <v>0</v>
      </c>
      <c r="E31" s="298">
        <f t="shared" si="6"/>
        <v>0</v>
      </c>
      <c r="F31" s="298">
        <f t="shared" si="6"/>
        <v>0</v>
      </c>
      <c r="G31" s="298">
        <f t="shared" si="6"/>
        <v>0</v>
      </c>
      <c r="H31" s="298">
        <f t="shared" si="6"/>
        <v>0</v>
      </c>
      <c r="I31" s="298">
        <f t="shared" si="6"/>
        <v>0</v>
      </c>
      <c r="J31" s="299">
        <f t="shared" si="6"/>
        <v>0</v>
      </c>
      <c r="K31" s="294">
        <f t="shared" si="6"/>
        <v>2047.9907853849734</v>
      </c>
      <c r="L31" s="295">
        <f t="shared" si="6"/>
        <v>2649.2643881347103</v>
      </c>
      <c r="M31" s="295">
        <f t="shared" si="6"/>
        <v>5267.6489516370766</v>
      </c>
      <c r="N31" s="295">
        <f t="shared" si="6"/>
        <v>8940.6988271944301</v>
      </c>
      <c r="O31" s="295">
        <f t="shared" si="6"/>
        <v>12301.682358669863</v>
      </c>
      <c r="P31" s="295">
        <f t="shared" si="6"/>
        <v>26164.612520048278</v>
      </c>
      <c r="Q31" s="296">
        <f t="shared" si="6"/>
        <v>49175.912426630865</v>
      </c>
      <c r="R31"/>
    </row>
    <row r="32" spans="1:19" s="31" customFormat="1">
      <c r="A32" s="32"/>
      <c r="B32" s="32"/>
      <c r="D32" s="80"/>
      <c r="P32" s="80"/>
      <c r="R32"/>
    </row>
    <row r="1048490" spans="19:19">
      <c r="S1048490" s="80">
        <f>SUM(D1048490:P1048576)</f>
        <v>0</v>
      </c>
    </row>
  </sheetData>
  <mergeCells count="3">
    <mergeCell ref="AC5:AJ5"/>
    <mergeCell ref="K5:Q5"/>
    <mergeCell ref="D5:J5"/>
  </mergeCells>
  <pageMargins left="0.7" right="0.7" top="0.75" bottom="0.75" header="0.3" footer="0.3"/>
  <pageSetup scale="33" orientation="landscape" r:id="rId1"/>
  <headerFooter scaleWithDoc="0">
    <oddFooter>&amp;R&amp;"Arial,Bold"Exhibit CMG-5
Page 3 of 12&amp;L&amp;1#&amp;"Calibri"&amp;14&amp;K000000Business Use</oddFooter>
  </headerFooter>
  <rowBreaks count="1" manualBreakCount="1">
    <brk id="3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12B1-ED5B-4E9B-B013-11360E1DA73B}">
  <sheetPr>
    <tabColor rgb="FFD8E4BC"/>
    <pageSetUpPr autoPageBreaks="0" fitToPage="1"/>
  </sheetPr>
  <dimension ref="A1:Q41"/>
  <sheetViews>
    <sheetView showGridLines="0" view="pageBreakPreview" zoomScale="80" zoomScaleNormal="90" zoomScaleSheetLayoutView="80" workbookViewId="0">
      <selection activeCell="U8" sqref="U8"/>
    </sheetView>
  </sheetViews>
  <sheetFormatPr defaultColWidth="9.140625" defaultRowHeight="15.75"/>
  <cols>
    <col min="1" max="1" width="5.140625" style="6" bestFit="1" customWidth="1"/>
    <col min="2" max="2" width="26.28515625" style="4" customWidth="1"/>
    <col min="3" max="3" width="6.42578125" style="4" bestFit="1" customWidth="1"/>
    <col min="4" max="4" width="26.42578125" style="4" bestFit="1" customWidth="1"/>
    <col min="5" max="5" width="18.42578125" style="4" bestFit="1" customWidth="1"/>
    <col min="6" max="17" width="15.42578125" style="4" customWidth="1"/>
    <col min="18" max="16384" width="9.140625" style="4"/>
  </cols>
  <sheetData>
    <row r="1" spans="1:17" ht="21" customHeight="1">
      <c r="A1" s="4"/>
      <c r="C1" s="1422"/>
      <c r="D1" s="1422"/>
      <c r="E1" s="1422"/>
      <c r="F1" s="1422"/>
      <c r="G1" s="1422"/>
      <c r="H1" s="1422"/>
      <c r="I1" s="1417" t="s">
        <v>669</v>
      </c>
      <c r="J1" s="1422"/>
      <c r="K1" s="1422"/>
      <c r="L1" s="1422"/>
      <c r="M1" s="1422"/>
      <c r="N1" s="1422"/>
      <c r="O1" s="1422"/>
      <c r="P1" s="1422"/>
      <c r="Q1" s="1422"/>
    </row>
    <row r="2" spans="1:17" ht="21" customHeight="1">
      <c r="A2" s="4"/>
      <c r="C2" s="1422"/>
      <c r="D2" s="1422"/>
      <c r="E2" s="1422"/>
      <c r="F2" s="1422"/>
      <c r="G2" s="1422"/>
      <c r="H2" s="1422"/>
      <c r="I2" s="1417" t="s">
        <v>961</v>
      </c>
      <c r="J2" s="1422"/>
      <c r="K2" s="1422"/>
      <c r="L2" s="1422"/>
      <c r="M2" s="1422"/>
      <c r="N2" s="1422"/>
      <c r="O2" s="1422"/>
      <c r="P2" s="1422"/>
      <c r="Q2" s="1422"/>
    </row>
    <row r="3" spans="1:17" ht="21" customHeight="1">
      <c r="A3" s="4"/>
      <c r="C3" s="1422"/>
      <c r="D3" s="1422"/>
      <c r="E3" s="1422"/>
      <c r="F3" s="1422"/>
      <c r="G3" s="1422"/>
      <c r="H3" s="1422"/>
      <c r="I3" s="1417" t="s">
        <v>1001</v>
      </c>
      <c r="J3" s="1422"/>
      <c r="K3" s="1422"/>
      <c r="L3" s="1422"/>
      <c r="M3" s="1422"/>
      <c r="N3" s="1422"/>
      <c r="O3" s="1422"/>
      <c r="P3" s="1422"/>
      <c r="Q3" s="1422"/>
    </row>
    <row r="4" spans="1:17" s="26" customFormat="1">
      <c r="A4" s="66"/>
      <c r="D4" s="66"/>
      <c r="E4" s="843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</row>
    <row r="5" spans="1:17" s="1428" customFormat="1" ht="32.25" customHeight="1">
      <c r="A5" s="1423" t="s">
        <v>4</v>
      </c>
      <c r="B5" s="1424" t="s">
        <v>999</v>
      </c>
      <c r="C5" s="1425"/>
      <c r="D5" s="1426" t="s">
        <v>938</v>
      </c>
      <c r="E5" s="1427">
        <v>45261</v>
      </c>
      <c r="F5" s="1427">
        <v>45292</v>
      </c>
      <c r="G5" s="1427">
        <v>45323</v>
      </c>
      <c r="H5" s="1427">
        <v>45352</v>
      </c>
      <c r="I5" s="1427">
        <v>45383</v>
      </c>
      <c r="J5" s="1427">
        <v>45413</v>
      </c>
      <c r="K5" s="1427">
        <v>45444</v>
      </c>
      <c r="L5" s="1427">
        <v>45474</v>
      </c>
      <c r="M5" s="1427">
        <v>45505</v>
      </c>
      <c r="N5" s="1427">
        <v>45536</v>
      </c>
      <c r="O5" s="1427">
        <v>45566</v>
      </c>
      <c r="P5" s="1427">
        <v>45597</v>
      </c>
      <c r="Q5" s="1427">
        <v>45627</v>
      </c>
    </row>
    <row r="6" spans="1:17" s="6" customFormat="1" ht="21.75" customHeight="1">
      <c r="A6" s="6">
        <v>1</v>
      </c>
      <c r="B6" s="1567" t="s">
        <v>608</v>
      </c>
      <c r="C6" s="1569"/>
      <c r="D6" s="1429" t="s">
        <v>9</v>
      </c>
      <c r="E6" s="1430">
        <f>'202312 Bk Depr'!R15</f>
        <v>24780864.400000013</v>
      </c>
      <c r="F6" s="1431">
        <f t="shared" ref="F6:Q6" si="0">E6+F7</f>
        <v>25554631.490000013</v>
      </c>
      <c r="G6" s="1431">
        <f t="shared" si="0"/>
        <v>26328398.580000013</v>
      </c>
      <c r="H6" s="1431">
        <f t="shared" si="0"/>
        <v>27102165.670000013</v>
      </c>
      <c r="I6" s="1431">
        <f t="shared" si="0"/>
        <v>27875932.760000013</v>
      </c>
      <c r="J6" s="1431">
        <f t="shared" si="0"/>
        <v>28649699.850000013</v>
      </c>
      <c r="K6" s="1431">
        <f t="shared" si="0"/>
        <v>29423466.940000013</v>
      </c>
      <c r="L6" s="1431">
        <f t="shared" si="0"/>
        <v>30197234.030000012</v>
      </c>
      <c r="M6" s="1431">
        <f t="shared" si="0"/>
        <v>30971001.120000012</v>
      </c>
      <c r="N6" s="1431">
        <f t="shared" si="0"/>
        <v>31744768.210000012</v>
      </c>
      <c r="O6" s="1431">
        <f t="shared" si="0"/>
        <v>32518535.300000012</v>
      </c>
      <c r="P6" s="1431">
        <f t="shared" si="0"/>
        <v>33292302.390000012</v>
      </c>
      <c r="Q6" s="1431">
        <f t="shared" si="0"/>
        <v>34066069.480000012</v>
      </c>
    </row>
    <row r="7" spans="1:17" s="1435" customFormat="1" ht="27" customHeight="1">
      <c r="A7" s="6">
        <v>2</v>
      </c>
      <c r="B7" s="1568"/>
      <c r="C7" s="1569"/>
      <c r="D7" s="1432" t="s">
        <v>20</v>
      </c>
      <c r="E7" s="1433"/>
      <c r="F7" s="1434">
        <f>'Cap&amp;OpEx 2024'!C10</f>
        <v>773767.09</v>
      </c>
      <c r="G7" s="1434">
        <f>'Cap&amp;OpEx 2024'!D10</f>
        <v>773767.09000000008</v>
      </c>
      <c r="H7" s="1434">
        <f>'Cap&amp;OpEx 2024'!E10</f>
        <v>773767.09000000008</v>
      </c>
      <c r="I7" s="1434">
        <f>'Cap&amp;OpEx 2024'!F10</f>
        <v>773767.09000000008</v>
      </c>
      <c r="J7" s="1434">
        <f>'Cap&amp;OpEx 2024'!G10</f>
        <v>773767.09000000008</v>
      </c>
      <c r="K7" s="1434">
        <f>'Cap&amp;OpEx 2024'!H10</f>
        <v>773767.09000000008</v>
      </c>
      <c r="L7" s="1434">
        <f>'Cap&amp;OpEx 2024'!I10</f>
        <v>773767.09000000008</v>
      </c>
      <c r="M7" s="1434">
        <f>'Cap&amp;OpEx 2024'!J10</f>
        <v>773767.09000000008</v>
      </c>
      <c r="N7" s="1434">
        <f>'Cap&amp;OpEx 2024'!K10</f>
        <v>773767.09000000008</v>
      </c>
      <c r="O7" s="1434">
        <f>'Cap&amp;OpEx 2024'!L10</f>
        <v>773767.09000000008</v>
      </c>
      <c r="P7" s="1434">
        <f>'Cap&amp;OpEx 2024'!M10</f>
        <v>773767.09000000008</v>
      </c>
      <c r="Q7" s="1434">
        <f>'Cap&amp;OpEx 2024'!N10</f>
        <v>773767.09000000008</v>
      </c>
    </row>
    <row r="8" spans="1:17" s="1362" customFormat="1" ht="27" customHeight="1">
      <c r="A8" s="397">
        <v>3</v>
      </c>
      <c r="B8" s="1570" t="s">
        <v>596</v>
      </c>
      <c r="C8" s="1569"/>
      <c r="D8" s="1436" t="s">
        <v>9</v>
      </c>
      <c r="E8" s="1437">
        <f>'202312 Bk Depr'!R17</f>
        <v>54567480.759999983</v>
      </c>
      <c r="F8" s="1438">
        <f t="shared" ref="F8:Q8" si="1">E8+F9</f>
        <v>55575879.299999982</v>
      </c>
      <c r="G8" s="1438">
        <f t="shared" si="1"/>
        <v>56584278.05999998</v>
      </c>
      <c r="H8" s="1438">
        <f t="shared" si="1"/>
        <v>57592676.819999978</v>
      </c>
      <c r="I8" s="1438">
        <f t="shared" si="1"/>
        <v>58601075.579999976</v>
      </c>
      <c r="J8" s="1438">
        <f t="shared" si="1"/>
        <v>59609474.339999974</v>
      </c>
      <c r="K8" s="1438">
        <f t="shared" si="1"/>
        <v>60617873.099999972</v>
      </c>
      <c r="L8" s="1438">
        <f t="shared" si="1"/>
        <v>61626271.85999997</v>
      </c>
      <c r="M8" s="1438">
        <f t="shared" si="1"/>
        <v>62634670.619999968</v>
      </c>
      <c r="N8" s="1438">
        <f t="shared" si="1"/>
        <v>63643069.379999965</v>
      </c>
      <c r="O8" s="1438">
        <f t="shared" si="1"/>
        <v>64651468.139999963</v>
      </c>
      <c r="P8" s="1438">
        <f t="shared" si="1"/>
        <v>65659866.899999961</v>
      </c>
      <c r="Q8" s="1438">
        <f t="shared" si="1"/>
        <v>66668265.659999959</v>
      </c>
    </row>
    <row r="9" spans="1:17" s="1362" customFormat="1" ht="27" customHeight="1">
      <c r="A9" s="397">
        <v>4</v>
      </c>
      <c r="B9" s="1568"/>
      <c r="C9" s="1569"/>
      <c r="D9" s="1432" t="s">
        <v>20</v>
      </c>
      <c r="E9" s="1433"/>
      <c r="F9" s="1434">
        <f>'Cap&amp;OpEx 2024'!C12</f>
        <v>1008398.54</v>
      </c>
      <c r="G9" s="1434">
        <f>'Cap&amp;OpEx 2024'!D12</f>
        <v>1008398.7600000001</v>
      </c>
      <c r="H9" s="1434">
        <f>'Cap&amp;OpEx 2024'!E12</f>
        <v>1008398.7600000001</v>
      </c>
      <c r="I9" s="1434">
        <f>'Cap&amp;OpEx 2024'!F12</f>
        <v>1008398.7600000001</v>
      </c>
      <c r="J9" s="1434">
        <f>'Cap&amp;OpEx 2024'!G12</f>
        <v>1008398.7600000001</v>
      </c>
      <c r="K9" s="1434">
        <f>'Cap&amp;OpEx 2024'!H12</f>
        <v>1008398.7600000001</v>
      </c>
      <c r="L9" s="1434">
        <f>'Cap&amp;OpEx 2024'!I12</f>
        <v>1008398.7600000001</v>
      </c>
      <c r="M9" s="1434">
        <f>'Cap&amp;OpEx 2024'!J12</f>
        <v>1008398.7600000001</v>
      </c>
      <c r="N9" s="1434">
        <f>'Cap&amp;OpEx 2024'!K12</f>
        <v>1008398.7600000001</v>
      </c>
      <c r="O9" s="1434">
        <f>'Cap&amp;OpEx 2024'!L12</f>
        <v>1008398.7600000001</v>
      </c>
      <c r="P9" s="1434">
        <f>'Cap&amp;OpEx 2024'!M12</f>
        <v>1008398.7600000001</v>
      </c>
      <c r="Q9" s="1434">
        <f>'Cap&amp;OpEx 2024'!N12</f>
        <v>1008398.7600000001</v>
      </c>
    </row>
    <row r="10" spans="1:17" s="1362" customFormat="1" ht="27" customHeight="1">
      <c r="A10" s="6">
        <v>5</v>
      </c>
      <c r="B10" s="1571" t="s">
        <v>939</v>
      </c>
      <c r="C10" s="1440"/>
      <c r="D10" s="1441" t="s">
        <v>9</v>
      </c>
      <c r="E10" s="1442">
        <f>E6+E8</f>
        <v>79348345.159999996</v>
      </c>
      <c r="F10" s="1443">
        <f t="shared" ref="F10:Q10" si="2">E10+F11</f>
        <v>81130510.789999992</v>
      </c>
      <c r="G10" s="1443">
        <f t="shared" si="2"/>
        <v>82912676.639999986</v>
      </c>
      <c r="H10" s="1443">
        <f t="shared" si="2"/>
        <v>84694842.48999998</v>
      </c>
      <c r="I10" s="1443">
        <f t="shared" si="2"/>
        <v>86477008.339999974</v>
      </c>
      <c r="J10" s="1443">
        <f t="shared" si="2"/>
        <v>88259174.189999968</v>
      </c>
      <c r="K10" s="1443">
        <f t="shared" si="2"/>
        <v>90041340.039999962</v>
      </c>
      <c r="L10" s="1443">
        <f t="shared" si="2"/>
        <v>91823505.889999956</v>
      </c>
      <c r="M10" s="1443">
        <f t="shared" si="2"/>
        <v>93605671.73999995</v>
      </c>
      <c r="N10" s="1443">
        <f t="shared" si="2"/>
        <v>95387837.589999944</v>
      </c>
      <c r="O10" s="1443">
        <f t="shared" si="2"/>
        <v>97170003.439999938</v>
      </c>
      <c r="P10" s="1443">
        <f t="shared" si="2"/>
        <v>98952169.289999932</v>
      </c>
      <c r="Q10" s="1443">
        <f t="shared" si="2"/>
        <v>100734335.13999993</v>
      </c>
    </row>
    <row r="11" spans="1:17" s="1362" customFormat="1" ht="27" customHeight="1">
      <c r="A11" s="6">
        <v>6</v>
      </c>
      <c r="B11" s="1572"/>
      <c r="C11" s="1440"/>
      <c r="D11" s="1444" t="s">
        <v>20</v>
      </c>
      <c r="E11" s="1433"/>
      <c r="F11" s="1434">
        <f t="shared" ref="F11:Q11" si="3">F7+F9</f>
        <v>1782165.63</v>
      </c>
      <c r="G11" s="1434">
        <f t="shared" si="3"/>
        <v>1782165.85</v>
      </c>
      <c r="H11" s="1434">
        <f t="shared" si="3"/>
        <v>1782165.85</v>
      </c>
      <c r="I11" s="1434">
        <f t="shared" si="3"/>
        <v>1782165.85</v>
      </c>
      <c r="J11" s="1434">
        <f t="shared" si="3"/>
        <v>1782165.85</v>
      </c>
      <c r="K11" s="1434">
        <f t="shared" si="3"/>
        <v>1782165.85</v>
      </c>
      <c r="L11" s="1434">
        <f t="shared" si="3"/>
        <v>1782165.85</v>
      </c>
      <c r="M11" s="1434">
        <f t="shared" si="3"/>
        <v>1782165.85</v>
      </c>
      <c r="N11" s="1434">
        <f t="shared" si="3"/>
        <v>1782165.85</v>
      </c>
      <c r="O11" s="1434">
        <f t="shared" si="3"/>
        <v>1782165.85</v>
      </c>
      <c r="P11" s="1434">
        <f t="shared" si="3"/>
        <v>1782165.85</v>
      </c>
      <c r="Q11" s="1434">
        <f t="shared" si="3"/>
        <v>1782165.85</v>
      </c>
    </row>
    <row r="12" spans="1:17" s="841" customFormat="1" ht="27" customHeight="1">
      <c r="A12" s="66"/>
      <c r="B12" s="845"/>
      <c r="C12" s="845"/>
      <c r="D12" s="1445"/>
      <c r="E12" s="1439"/>
      <c r="F12" s="1439"/>
      <c r="G12" s="1439"/>
      <c r="H12" s="1439"/>
      <c r="I12" s="1439"/>
      <c r="J12" s="1439"/>
      <c r="K12" s="1439"/>
      <c r="L12" s="1439"/>
      <c r="M12" s="1439"/>
      <c r="N12" s="1439"/>
      <c r="O12" s="1439"/>
      <c r="P12" s="1439"/>
      <c r="Q12" s="1439"/>
    </row>
    <row r="13" spans="1:17" s="1428" customFormat="1" ht="32.25" customHeight="1">
      <c r="A13" s="1446"/>
      <c r="B13" s="1447"/>
      <c r="C13" s="1448" t="s">
        <v>947</v>
      </c>
      <c r="D13" s="1426" t="s">
        <v>938</v>
      </c>
      <c r="E13" s="1448" t="s">
        <v>997</v>
      </c>
      <c r="F13" s="1449">
        <f t="shared" ref="F13:Q13" si="4">F5</f>
        <v>45292</v>
      </c>
      <c r="G13" s="1449">
        <f t="shared" si="4"/>
        <v>45323</v>
      </c>
      <c r="H13" s="1449">
        <f t="shared" si="4"/>
        <v>45352</v>
      </c>
      <c r="I13" s="1449">
        <f t="shared" si="4"/>
        <v>45383</v>
      </c>
      <c r="J13" s="1449">
        <f t="shared" si="4"/>
        <v>45413</v>
      </c>
      <c r="K13" s="1449">
        <f t="shared" si="4"/>
        <v>45444</v>
      </c>
      <c r="L13" s="1449">
        <f t="shared" si="4"/>
        <v>45474</v>
      </c>
      <c r="M13" s="1449">
        <f t="shared" si="4"/>
        <v>45505</v>
      </c>
      <c r="N13" s="1449">
        <f t="shared" si="4"/>
        <v>45536</v>
      </c>
      <c r="O13" s="1449">
        <f t="shared" si="4"/>
        <v>45566</v>
      </c>
      <c r="P13" s="1449">
        <f t="shared" si="4"/>
        <v>45597</v>
      </c>
      <c r="Q13" s="1449">
        <f t="shared" si="4"/>
        <v>45627</v>
      </c>
    </row>
    <row r="14" spans="1:17" s="190" customFormat="1">
      <c r="A14" s="66">
        <v>7</v>
      </c>
      <c r="B14" s="1418" t="s">
        <v>0</v>
      </c>
      <c r="C14" s="1565">
        <v>380</v>
      </c>
      <c r="D14" s="1429" t="s">
        <v>9</v>
      </c>
      <c r="E14" s="1566">
        <f>3.24%/12</f>
        <v>2.7000000000000006E-3</v>
      </c>
      <c r="F14" s="1443">
        <f t="shared" ref="F14:Q14" si="5">E10*$E$14</f>
        <v>214240.53193200004</v>
      </c>
      <c r="G14" s="1443">
        <f t="shared" si="5"/>
        <v>219052.37913300004</v>
      </c>
      <c r="H14" s="1443">
        <f t="shared" si="5"/>
        <v>223864.22692800002</v>
      </c>
      <c r="I14" s="1443">
        <f t="shared" si="5"/>
        <v>228676.074723</v>
      </c>
      <c r="J14" s="1443">
        <f t="shared" si="5"/>
        <v>233487.92251799998</v>
      </c>
      <c r="K14" s="1443">
        <f t="shared" si="5"/>
        <v>238299.77031299996</v>
      </c>
      <c r="L14" s="1443">
        <f t="shared" si="5"/>
        <v>243111.61810799994</v>
      </c>
      <c r="M14" s="1443">
        <f t="shared" si="5"/>
        <v>247923.46590299995</v>
      </c>
      <c r="N14" s="1443">
        <f t="shared" si="5"/>
        <v>252735.31369799993</v>
      </c>
      <c r="O14" s="1443">
        <f t="shared" si="5"/>
        <v>257547.16149299991</v>
      </c>
      <c r="P14" s="1443">
        <f t="shared" si="5"/>
        <v>262359.00928799988</v>
      </c>
      <c r="Q14" s="1443">
        <f t="shared" si="5"/>
        <v>267170.85708299989</v>
      </c>
    </row>
    <row r="15" spans="1:17" s="841" customFormat="1" ht="27" customHeight="1" thickBot="1">
      <c r="A15" s="66">
        <v>8</v>
      </c>
      <c r="B15" s="1418" t="s">
        <v>396</v>
      </c>
      <c r="C15" s="1565"/>
      <c r="D15" s="1429" t="s">
        <v>20</v>
      </c>
      <c r="E15" s="1566"/>
      <c r="F15" s="1450">
        <f>F11*($E$14*0.5)</f>
        <v>2405.9236005000002</v>
      </c>
      <c r="G15" s="1450">
        <f t="shared" ref="G15:Q15" si="6">G11*($E$14*0.5)</f>
        <v>2405.9238975000007</v>
      </c>
      <c r="H15" s="1450">
        <f t="shared" si="6"/>
        <v>2405.9238975000007</v>
      </c>
      <c r="I15" s="1450">
        <f t="shared" si="6"/>
        <v>2405.9238975000007</v>
      </c>
      <c r="J15" s="1450">
        <f t="shared" si="6"/>
        <v>2405.9238975000007</v>
      </c>
      <c r="K15" s="1450">
        <f t="shared" si="6"/>
        <v>2405.9238975000007</v>
      </c>
      <c r="L15" s="1450">
        <f t="shared" si="6"/>
        <v>2405.9238975000007</v>
      </c>
      <c r="M15" s="1450">
        <f t="shared" si="6"/>
        <v>2405.9238975000007</v>
      </c>
      <c r="N15" s="1450">
        <f t="shared" si="6"/>
        <v>2405.9238975000007</v>
      </c>
      <c r="O15" s="1450">
        <f t="shared" si="6"/>
        <v>2405.9238975000007</v>
      </c>
      <c r="P15" s="1450">
        <f t="shared" si="6"/>
        <v>2405.9238975000007</v>
      </c>
      <c r="Q15" s="1450">
        <f t="shared" si="6"/>
        <v>2405.9238975000007</v>
      </c>
    </row>
    <row r="16" spans="1:17" s="841" customFormat="1" ht="27" customHeight="1">
      <c r="A16" s="66">
        <v>9</v>
      </c>
      <c r="B16" s="1451"/>
      <c r="D16" s="1441" t="s">
        <v>3</v>
      </c>
      <c r="E16" s="1440"/>
      <c r="F16" s="1442">
        <f>SUM(F14:F15)</f>
        <v>216646.45553250005</v>
      </c>
      <c r="G16" s="1442">
        <f t="shared" ref="G16:Q16" si="7">SUM(G14:G15)</f>
        <v>221458.30303050004</v>
      </c>
      <c r="H16" s="1442">
        <f t="shared" si="7"/>
        <v>226270.15082550002</v>
      </c>
      <c r="I16" s="1442">
        <f t="shared" si="7"/>
        <v>231081.9986205</v>
      </c>
      <c r="J16" s="1442">
        <f t="shared" si="7"/>
        <v>235893.84641549998</v>
      </c>
      <c r="K16" s="1442">
        <f t="shared" si="7"/>
        <v>240705.69421049996</v>
      </c>
      <c r="L16" s="1442">
        <f t="shared" si="7"/>
        <v>245517.54200549994</v>
      </c>
      <c r="M16" s="1442">
        <f t="shared" si="7"/>
        <v>250329.38980049995</v>
      </c>
      <c r="N16" s="1442">
        <f t="shared" si="7"/>
        <v>255141.23759549993</v>
      </c>
      <c r="O16" s="1442">
        <f t="shared" si="7"/>
        <v>259953.08539049991</v>
      </c>
      <c r="P16" s="1442">
        <f t="shared" si="7"/>
        <v>264764.93318549986</v>
      </c>
      <c r="Q16" s="1442">
        <f t="shared" si="7"/>
        <v>269576.78098049987</v>
      </c>
    </row>
    <row r="17" spans="1:17" s="841" customFormat="1" ht="27" customHeight="1">
      <c r="A17" s="66"/>
      <c r="D17" s="1452"/>
      <c r="E17" s="1439"/>
      <c r="F17" s="1439"/>
      <c r="G17" s="1439"/>
      <c r="H17" s="1439"/>
      <c r="I17" s="1439"/>
      <c r="J17" s="1439"/>
      <c r="K17" s="1439"/>
      <c r="L17" s="1439"/>
      <c r="M17" s="1439"/>
      <c r="N17" s="1439"/>
      <c r="O17" s="1439"/>
      <c r="P17" s="1439"/>
      <c r="Q17" s="1439"/>
    </row>
    <row r="18" spans="1:17" s="841" customFormat="1" ht="27" customHeight="1">
      <c r="A18" s="66"/>
      <c r="D18" s="1426" t="s">
        <v>999</v>
      </c>
      <c r="E18" s="1427">
        <v>45261</v>
      </c>
      <c r="F18" s="1427">
        <f>F5</f>
        <v>45292</v>
      </c>
      <c r="G18" s="1427">
        <f t="shared" ref="G18:Q18" si="8">G5</f>
        <v>45323</v>
      </c>
      <c r="H18" s="1427">
        <f t="shared" si="8"/>
        <v>45352</v>
      </c>
      <c r="I18" s="1427">
        <f t="shared" si="8"/>
        <v>45383</v>
      </c>
      <c r="J18" s="1427">
        <f t="shared" si="8"/>
        <v>45413</v>
      </c>
      <c r="K18" s="1427">
        <f t="shared" si="8"/>
        <v>45444</v>
      </c>
      <c r="L18" s="1427">
        <f t="shared" si="8"/>
        <v>45474</v>
      </c>
      <c r="M18" s="1427">
        <f t="shared" si="8"/>
        <v>45505</v>
      </c>
      <c r="N18" s="1427">
        <f t="shared" si="8"/>
        <v>45536</v>
      </c>
      <c r="O18" s="1427">
        <f t="shared" si="8"/>
        <v>45566</v>
      </c>
      <c r="P18" s="1427">
        <f t="shared" si="8"/>
        <v>45597</v>
      </c>
      <c r="Q18" s="1427">
        <f t="shared" si="8"/>
        <v>45627</v>
      </c>
    </row>
    <row r="19" spans="1:17" s="841" customFormat="1" ht="27" customHeight="1">
      <c r="A19" s="66">
        <v>10</v>
      </c>
      <c r="B19" s="1408" t="s">
        <v>1000</v>
      </c>
      <c r="D19" s="1453" t="s">
        <v>608</v>
      </c>
      <c r="E19" s="1454">
        <f>'202312 Bk Depr'!R23</f>
        <v>-1079303.8299999996</v>
      </c>
      <c r="F19" s="1454">
        <f>'Retirements 2024'!C5</f>
        <v>0</v>
      </c>
      <c r="G19" s="1454">
        <f>'Retirements 2024'!D5</f>
        <v>0</v>
      </c>
      <c r="H19" s="1454">
        <f>'Retirements 2024'!E5</f>
        <v>0</v>
      </c>
      <c r="I19" s="1454">
        <f>'Retirements 2024'!F5</f>
        <v>0</v>
      </c>
      <c r="J19" s="1454">
        <f>'Retirements 2024'!G5</f>
        <v>0</v>
      </c>
      <c r="K19" s="1454">
        <f>'Retirements 2024'!H5</f>
        <v>0</v>
      </c>
      <c r="L19" s="1454">
        <f>'Retirements 2024'!I5</f>
        <v>0</v>
      </c>
      <c r="M19" s="1454">
        <f>'Retirements 2024'!J5</f>
        <v>0</v>
      </c>
      <c r="N19" s="1454">
        <f>'Retirements 2024'!K5</f>
        <v>0</v>
      </c>
      <c r="O19" s="1454">
        <f>'Retirements 2024'!L5</f>
        <v>0</v>
      </c>
      <c r="P19" s="1454">
        <f>'Retirements 2024'!M5</f>
        <v>0</v>
      </c>
      <c r="Q19" s="1454">
        <f>'Retirements 2024'!N5</f>
        <v>0</v>
      </c>
    </row>
    <row r="20" spans="1:17" s="841" customFormat="1" ht="27" customHeight="1">
      <c r="A20" s="66">
        <v>11</v>
      </c>
      <c r="B20" s="1408" t="s">
        <v>995</v>
      </c>
      <c r="D20" s="1429" t="s">
        <v>596</v>
      </c>
      <c r="E20" s="1434">
        <f>'202312 Bk Depr'!R25</f>
        <v>-39103.620000000003</v>
      </c>
      <c r="F20" s="1434">
        <f>'Retirements 2024'!C7</f>
        <v>0</v>
      </c>
      <c r="G20" s="1434">
        <f>'Retirements 2024'!D7</f>
        <v>0</v>
      </c>
      <c r="H20" s="1434">
        <f>'Retirements 2024'!E7</f>
        <v>0</v>
      </c>
      <c r="I20" s="1434">
        <f>'Retirements 2024'!F7</f>
        <v>0</v>
      </c>
      <c r="J20" s="1434">
        <f>'Retirements 2024'!G7</f>
        <v>0</v>
      </c>
      <c r="K20" s="1434">
        <f>'Retirements 2024'!H7</f>
        <v>0</v>
      </c>
      <c r="L20" s="1434">
        <f>'Retirements 2024'!I7</f>
        <v>0</v>
      </c>
      <c r="M20" s="1434">
        <f>'Retirements 2024'!J7</f>
        <v>0</v>
      </c>
      <c r="N20" s="1434">
        <f>'Retirements 2024'!K7</f>
        <v>0</v>
      </c>
      <c r="O20" s="1434">
        <f>'Retirements 2024'!L7</f>
        <v>0</v>
      </c>
      <c r="P20" s="1434">
        <f>'Retirements 2024'!M7</f>
        <v>0</v>
      </c>
      <c r="Q20" s="1434">
        <f>'Retirements 2024'!N7</f>
        <v>0</v>
      </c>
    </row>
    <row r="21" spans="1:17" s="841" customFormat="1" ht="27" customHeight="1">
      <c r="A21" s="66">
        <v>12</v>
      </c>
      <c r="B21" s="1419" t="s">
        <v>12</v>
      </c>
      <c r="D21" s="1455" t="s">
        <v>965</v>
      </c>
      <c r="E21" s="1456">
        <f>SUM(E19:E20)</f>
        <v>-1118407.4499999997</v>
      </c>
      <c r="F21" s="1456">
        <f>E21+SUM(F19:F20)</f>
        <v>-1118407.4499999997</v>
      </c>
      <c r="G21" s="1456">
        <f t="shared" ref="G21:Q21" si="9">F21+SUM(G19:G20)</f>
        <v>-1118407.4499999997</v>
      </c>
      <c r="H21" s="1456">
        <f t="shared" si="9"/>
        <v>-1118407.4499999997</v>
      </c>
      <c r="I21" s="1456">
        <f t="shared" si="9"/>
        <v>-1118407.4499999997</v>
      </c>
      <c r="J21" s="1456">
        <f t="shared" si="9"/>
        <v>-1118407.4499999997</v>
      </c>
      <c r="K21" s="1456">
        <f t="shared" si="9"/>
        <v>-1118407.4499999997</v>
      </c>
      <c r="L21" s="1456">
        <f t="shared" si="9"/>
        <v>-1118407.4499999997</v>
      </c>
      <c r="M21" s="1456">
        <f t="shared" si="9"/>
        <v>-1118407.4499999997</v>
      </c>
      <c r="N21" s="1456">
        <f t="shared" si="9"/>
        <v>-1118407.4499999997</v>
      </c>
      <c r="O21" s="1456">
        <f t="shared" si="9"/>
        <v>-1118407.4499999997</v>
      </c>
      <c r="P21" s="1456">
        <f t="shared" si="9"/>
        <v>-1118407.4499999997</v>
      </c>
      <c r="Q21" s="1456">
        <f t="shared" si="9"/>
        <v>-1118407.4499999997</v>
      </c>
    </row>
    <row r="22" spans="1:17" s="841" customFormat="1" ht="29.25" customHeight="1">
      <c r="A22" s="66">
        <v>13</v>
      </c>
      <c r="D22" s="704" t="s">
        <v>998</v>
      </c>
      <c r="E22" s="1421">
        <f>'202312 Bk Depr'!P26</f>
        <v>-3019.7001149999992</v>
      </c>
      <c r="F22" s="1421">
        <f>((E21)*$E$14)+(SUM(F19:F20)*$E$14*0.5)</f>
        <v>-3019.7001150000001</v>
      </c>
      <c r="G22" s="1421">
        <f t="shared" ref="G22:Q22" si="10">((F21)*$E$14)+(SUM(G19:G20)*$E$14*0.5)</f>
        <v>-3019.7001150000001</v>
      </c>
      <c r="H22" s="1421">
        <f t="shared" si="10"/>
        <v>-3019.7001150000001</v>
      </c>
      <c r="I22" s="1421">
        <f t="shared" si="10"/>
        <v>-3019.7001150000001</v>
      </c>
      <c r="J22" s="1421">
        <f t="shared" si="10"/>
        <v>-3019.7001150000001</v>
      </c>
      <c r="K22" s="1421">
        <f t="shared" si="10"/>
        <v>-3019.7001150000001</v>
      </c>
      <c r="L22" s="1421">
        <f t="shared" si="10"/>
        <v>-3019.7001150000001</v>
      </c>
      <c r="M22" s="1421">
        <f t="shared" si="10"/>
        <v>-3019.7001150000001</v>
      </c>
      <c r="N22" s="1421">
        <f t="shared" si="10"/>
        <v>-3019.7001150000001</v>
      </c>
      <c r="O22" s="1421">
        <f t="shared" si="10"/>
        <v>-3019.7001150000001</v>
      </c>
      <c r="P22" s="1421">
        <f t="shared" si="10"/>
        <v>-3019.7001150000001</v>
      </c>
      <c r="Q22" s="1421">
        <f t="shared" si="10"/>
        <v>-3019.7001150000001</v>
      </c>
    </row>
    <row r="23" spans="1:17" s="841" customFormat="1" ht="19.5" customHeight="1">
      <c r="A23" s="1374"/>
      <c r="B23" s="1452"/>
      <c r="C23" s="1452"/>
      <c r="D23" s="1452"/>
      <c r="E23" s="1420"/>
      <c r="F23" s="1420"/>
      <c r="G23" s="1420"/>
      <c r="H23" s="1420"/>
      <c r="I23" s="1420"/>
      <c r="J23" s="1420"/>
      <c r="K23" s="1420"/>
      <c r="L23" s="1420"/>
      <c r="M23" s="1420"/>
      <c r="N23" s="1420"/>
      <c r="O23" s="1420"/>
      <c r="P23" s="1420"/>
      <c r="Q23" s="1420"/>
    </row>
    <row r="24" spans="1:17" s="841" customFormat="1" ht="21.75" customHeight="1">
      <c r="A24" s="66">
        <v>14</v>
      </c>
      <c r="B24" s="1452"/>
      <c r="C24" s="1452"/>
      <c r="D24" s="1455" t="s">
        <v>1028</v>
      </c>
      <c r="E24" s="1421">
        <f>E10+E21</f>
        <v>78229937.709999993</v>
      </c>
      <c r="F24" s="1421">
        <f t="shared" ref="F24:Q24" si="11">F10+F21</f>
        <v>80012103.339999989</v>
      </c>
      <c r="G24" s="1421">
        <f t="shared" si="11"/>
        <v>81794269.189999983</v>
      </c>
      <c r="H24" s="1421">
        <f t="shared" si="11"/>
        <v>83576435.039999977</v>
      </c>
      <c r="I24" s="1421">
        <f t="shared" si="11"/>
        <v>85358600.889999971</v>
      </c>
      <c r="J24" s="1421">
        <f t="shared" si="11"/>
        <v>87140766.739999965</v>
      </c>
      <c r="K24" s="1421">
        <f t="shared" si="11"/>
        <v>88922932.589999959</v>
      </c>
      <c r="L24" s="1421">
        <f t="shared" si="11"/>
        <v>90705098.439999953</v>
      </c>
      <c r="M24" s="1421">
        <f t="shared" si="11"/>
        <v>92487264.289999947</v>
      </c>
      <c r="N24" s="1421">
        <f t="shared" si="11"/>
        <v>94269430.139999941</v>
      </c>
      <c r="O24" s="1421">
        <f t="shared" si="11"/>
        <v>96051595.989999935</v>
      </c>
      <c r="P24" s="1421">
        <f t="shared" si="11"/>
        <v>97833761.839999929</v>
      </c>
      <c r="Q24" s="1421">
        <f t="shared" si="11"/>
        <v>99615927.689999923</v>
      </c>
    </row>
    <row r="25" spans="1:17" s="841" customFormat="1" ht="21.75" customHeight="1">
      <c r="A25" s="66">
        <v>15</v>
      </c>
      <c r="B25" s="1452"/>
      <c r="C25" s="1452"/>
      <c r="D25" s="1455" t="s">
        <v>1029</v>
      </c>
      <c r="E25" s="1421"/>
      <c r="F25" s="1421">
        <f>F16+F22</f>
        <v>213626.75541750004</v>
      </c>
      <c r="G25" s="1421">
        <f t="shared" ref="G25:Q25" si="12">G16+G22</f>
        <v>218438.60291550003</v>
      </c>
      <c r="H25" s="1421">
        <f t="shared" si="12"/>
        <v>223250.45071050001</v>
      </c>
      <c r="I25" s="1421">
        <f t="shared" si="12"/>
        <v>228062.29850549999</v>
      </c>
      <c r="J25" s="1421">
        <f t="shared" si="12"/>
        <v>232874.14630049997</v>
      </c>
      <c r="K25" s="1421">
        <f t="shared" si="12"/>
        <v>237685.99409549995</v>
      </c>
      <c r="L25" s="1421">
        <f t="shared" si="12"/>
        <v>242497.84189049993</v>
      </c>
      <c r="M25" s="1421">
        <f t="shared" si="12"/>
        <v>247309.68968549994</v>
      </c>
      <c r="N25" s="1421">
        <f t="shared" si="12"/>
        <v>252121.53748049992</v>
      </c>
      <c r="O25" s="1421">
        <f t="shared" si="12"/>
        <v>256933.3852754999</v>
      </c>
      <c r="P25" s="1421">
        <f t="shared" si="12"/>
        <v>261745.23307049985</v>
      </c>
      <c r="Q25" s="1421">
        <f t="shared" si="12"/>
        <v>266557.08086549985</v>
      </c>
    </row>
    <row r="26" spans="1:17" s="841" customFormat="1" ht="19.5" customHeight="1">
      <c r="A26" s="843"/>
      <c r="B26" s="1452"/>
      <c r="C26" s="1452"/>
      <c r="D26" s="1452"/>
      <c r="E26" s="1420"/>
      <c r="F26" s="1420"/>
      <c r="G26" s="1420"/>
      <c r="H26" s="1420"/>
      <c r="I26" s="1420"/>
      <c r="J26" s="1420"/>
      <c r="K26" s="1420"/>
      <c r="L26" s="1420"/>
      <c r="M26" s="1420"/>
      <c r="N26" s="1420"/>
      <c r="O26" s="1420"/>
      <c r="P26" s="1420"/>
      <c r="Q26" s="1420"/>
    </row>
    <row r="27" spans="1:17" s="841" customFormat="1" ht="19.5" customHeight="1">
      <c r="A27" s="843"/>
      <c r="B27" s="1452"/>
      <c r="C27" s="1452"/>
      <c r="D27" s="1452"/>
      <c r="E27" s="1457">
        <f>E24-'Rev Req 2024-Distr'!D10</f>
        <v>0</v>
      </c>
      <c r="F27" s="1457">
        <f>F24-'Rev Req 2024-Distr'!E10</f>
        <v>0</v>
      </c>
      <c r="G27" s="1457">
        <f>G24-'Rev Req 2024-Distr'!F10</f>
        <v>0</v>
      </c>
      <c r="H27" s="1457">
        <f>H24-'Rev Req 2024-Distr'!G10</f>
        <v>0</v>
      </c>
      <c r="I27" s="1457">
        <f>I24-'Rev Req 2024-Distr'!H10</f>
        <v>0</v>
      </c>
      <c r="J27" s="1457">
        <f>J24-'Rev Req 2024-Distr'!I10</f>
        <v>0</v>
      </c>
      <c r="K27" s="1457">
        <f>K24-'Rev Req 2024-Distr'!J10</f>
        <v>0</v>
      </c>
      <c r="L27" s="1457">
        <f>L24-'Rev Req 2024-Distr'!K10</f>
        <v>0</v>
      </c>
      <c r="M27" s="1457">
        <f>M24-'Rev Req 2024-Distr'!L10</f>
        <v>0</v>
      </c>
      <c r="N27" s="1457">
        <f>N24-'Rev Req 2024-Distr'!M10</f>
        <v>0</v>
      </c>
      <c r="O27" s="1457">
        <f>O24-'Rev Req 2024-Distr'!N10</f>
        <v>0</v>
      </c>
      <c r="P27" s="1457">
        <f>P24-'Rev Req 2024-Distr'!O10</f>
        <v>0</v>
      </c>
      <c r="Q27" s="1457">
        <f>Q24-'Rev Req 2024-Distr'!P10</f>
        <v>0</v>
      </c>
    </row>
    <row r="28" spans="1:17" s="841" customFormat="1" ht="19.5" customHeight="1">
      <c r="A28" s="843"/>
      <c r="B28" s="1452"/>
      <c r="C28" s="1452"/>
      <c r="D28" s="1458" t="s">
        <v>1030</v>
      </c>
      <c r="F28" s="1457">
        <f>F25-'Rev Req 2024-Distr'!E24</f>
        <v>0</v>
      </c>
      <c r="G28" s="1457">
        <f>G25-'Rev Req 2024-Distr'!F24</f>
        <v>0</v>
      </c>
      <c r="H28" s="1457">
        <f>H25-'Rev Req 2024-Distr'!G24</f>
        <v>0</v>
      </c>
      <c r="I28" s="1457">
        <f>I25-'Rev Req 2024-Distr'!H24</f>
        <v>0</v>
      </c>
      <c r="J28" s="1457">
        <f>J25-'Rev Req 2024-Distr'!I24</f>
        <v>0</v>
      </c>
      <c r="K28" s="1457">
        <f>K25-'Rev Req 2024-Distr'!J24</f>
        <v>0</v>
      </c>
      <c r="L28" s="1457">
        <f>L25-'Rev Req 2024-Distr'!K24</f>
        <v>0</v>
      </c>
      <c r="M28" s="1457">
        <f>M25-'Rev Req 2024-Distr'!L24</f>
        <v>0</v>
      </c>
      <c r="N28" s="1457">
        <f>N25-'Rev Req 2024-Distr'!M24</f>
        <v>0</v>
      </c>
      <c r="O28" s="1457">
        <f>O25-'Rev Req 2024-Distr'!N24</f>
        <v>0</v>
      </c>
      <c r="P28" s="1457">
        <f>P25-'Rev Req 2024-Distr'!O24</f>
        <v>0</v>
      </c>
      <c r="Q28" s="1457">
        <f>Q25-'Rev Req 2024-Distr'!P24</f>
        <v>0</v>
      </c>
    </row>
    <row r="29" spans="1:17" s="841" customFormat="1" ht="19.5" customHeight="1">
      <c r="A29" s="843"/>
      <c r="B29" s="1452"/>
      <c r="C29" s="1452"/>
      <c r="D29" s="1452"/>
      <c r="E29" s="1420"/>
      <c r="F29" s="1420"/>
      <c r="G29" s="1420"/>
      <c r="H29" s="1420"/>
      <c r="I29" s="1420"/>
      <c r="J29" s="1420"/>
      <c r="K29" s="1420"/>
      <c r="L29" s="1420"/>
      <c r="M29" s="1420"/>
      <c r="N29" s="1420"/>
      <c r="O29" s="1420"/>
      <c r="P29" s="1420"/>
      <c r="Q29" s="1420"/>
    </row>
    <row r="30" spans="1:17" s="841" customFormat="1" ht="19.5" customHeight="1">
      <c r="A30" s="843"/>
      <c r="B30" s="1452"/>
      <c r="C30" s="1452"/>
      <c r="D30" s="1452"/>
      <c r="E30" s="1420"/>
      <c r="F30" s="1420"/>
      <c r="G30" s="1420"/>
      <c r="H30" s="1420"/>
      <c r="I30" s="1420"/>
      <c r="J30" s="1420"/>
      <c r="K30" s="1420"/>
      <c r="L30" s="1420"/>
      <c r="M30" s="1420"/>
      <c r="N30" s="1420"/>
      <c r="O30" s="1420"/>
      <c r="P30" s="1420"/>
      <c r="Q30" s="1420"/>
    </row>
    <row r="31" spans="1:17" s="841" customFormat="1" ht="19.5" customHeight="1">
      <c r="A31" s="843"/>
      <c r="B31" s="1452"/>
      <c r="C31" s="1452"/>
      <c r="D31" s="1452"/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0"/>
      <c r="Q31" s="1420"/>
    </row>
    <row r="32" spans="1:17" s="841" customFormat="1" ht="19.5" customHeight="1">
      <c r="A32" s="843"/>
      <c r="B32" s="1452"/>
      <c r="C32" s="1452"/>
      <c r="D32" s="1452"/>
      <c r="E32" s="1420"/>
      <c r="F32" s="1420"/>
      <c r="G32" s="1420"/>
      <c r="H32" s="1420"/>
      <c r="I32" s="1420"/>
      <c r="J32" s="1420"/>
      <c r="K32" s="1420"/>
      <c r="L32" s="1420"/>
      <c r="M32" s="1420"/>
      <c r="N32" s="1420"/>
      <c r="O32" s="1420"/>
      <c r="P32" s="1420"/>
      <c r="Q32" s="1420"/>
    </row>
    <row r="33" spans="1:17" s="841" customFormat="1" ht="19.5" customHeight="1">
      <c r="A33" s="843"/>
      <c r="B33" s="1452"/>
      <c r="C33" s="1452"/>
      <c r="D33" s="1452"/>
      <c r="E33" s="1420"/>
      <c r="F33" s="1420"/>
      <c r="G33" s="1420"/>
      <c r="H33" s="1420"/>
      <c r="I33" s="1420"/>
      <c r="J33" s="1420"/>
      <c r="K33" s="1420"/>
      <c r="L33" s="1420"/>
      <c r="M33" s="1420"/>
      <c r="N33" s="1420"/>
      <c r="O33" s="1420"/>
      <c r="P33" s="1420"/>
      <c r="Q33" s="1420"/>
    </row>
    <row r="34" spans="1:17" s="841" customFormat="1" ht="19.5" customHeight="1">
      <c r="A34" s="843"/>
      <c r="B34" s="1452"/>
      <c r="C34" s="1452"/>
      <c r="D34" s="1452"/>
      <c r="E34" s="1420"/>
      <c r="F34" s="1420"/>
      <c r="G34" s="1420"/>
      <c r="H34" s="1420"/>
      <c r="I34" s="1420"/>
      <c r="J34" s="1420"/>
      <c r="K34" s="1420"/>
      <c r="L34" s="1420"/>
      <c r="M34" s="1420"/>
      <c r="N34" s="1420"/>
      <c r="O34" s="1420"/>
      <c r="P34" s="1420"/>
      <c r="Q34" s="1420"/>
    </row>
    <row r="35" spans="1:17" s="841" customFormat="1" ht="19.5" customHeight="1">
      <c r="A35" s="843"/>
      <c r="B35" s="1452"/>
      <c r="C35" s="1452"/>
      <c r="D35" s="1452"/>
      <c r="E35" s="1420"/>
      <c r="F35" s="1420"/>
      <c r="G35" s="1420"/>
      <c r="H35" s="1420"/>
      <c r="I35" s="1420"/>
      <c r="J35" s="1420"/>
      <c r="K35" s="1420"/>
      <c r="L35" s="1420"/>
      <c r="M35" s="1420"/>
      <c r="N35" s="1420"/>
      <c r="O35" s="1420"/>
      <c r="P35" s="1420"/>
      <c r="Q35" s="1420"/>
    </row>
    <row r="36" spans="1:17" s="841" customFormat="1" ht="19.5" customHeight="1">
      <c r="A36" s="843"/>
      <c r="B36" s="1452"/>
      <c r="C36" s="1452"/>
      <c r="D36" s="1452"/>
      <c r="E36" s="1420"/>
      <c r="F36" s="1420"/>
      <c r="G36" s="1420"/>
      <c r="H36" s="1420"/>
      <c r="I36" s="1420"/>
      <c r="J36" s="1420"/>
      <c r="K36" s="1420"/>
      <c r="L36" s="1420"/>
      <c r="M36" s="1420"/>
      <c r="N36" s="1420"/>
      <c r="O36" s="1420"/>
      <c r="P36" s="1420"/>
      <c r="Q36" s="1420"/>
    </row>
    <row r="37" spans="1:17" s="841" customFormat="1" ht="19.5" customHeight="1">
      <c r="A37" s="843"/>
      <c r="B37" s="1452"/>
      <c r="C37" s="1452"/>
      <c r="D37" s="1452"/>
      <c r="E37" s="1420"/>
      <c r="F37" s="1420"/>
      <c r="G37" s="1420"/>
      <c r="H37" s="1420"/>
      <c r="I37" s="1420"/>
      <c r="J37" s="1420"/>
      <c r="K37" s="1420"/>
      <c r="L37" s="1420"/>
      <c r="M37" s="1420"/>
      <c r="N37" s="1420"/>
      <c r="O37" s="1420"/>
      <c r="P37" s="1420"/>
      <c r="Q37" s="1420"/>
    </row>
    <row r="38" spans="1:17" s="841" customFormat="1" ht="19.5" customHeight="1">
      <c r="A38" s="843"/>
      <c r="B38" s="1452"/>
      <c r="C38" s="1452"/>
      <c r="D38" s="1452"/>
      <c r="E38" s="1420"/>
      <c r="F38" s="1420"/>
      <c r="G38" s="1420"/>
      <c r="H38" s="1420"/>
      <c r="I38" s="1420"/>
      <c r="J38" s="1420"/>
      <c r="K38" s="1420"/>
      <c r="L38" s="1420"/>
      <c r="M38" s="1420"/>
      <c r="N38" s="1420"/>
      <c r="O38" s="1420"/>
      <c r="P38" s="1420"/>
      <c r="Q38" s="1420"/>
    </row>
    <row r="39" spans="1:17" s="841" customFormat="1" ht="19.5" customHeight="1">
      <c r="A39" s="843"/>
      <c r="B39" s="1452"/>
      <c r="C39" s="1452"/>
      <c r="D39" s="1452"/>
      <c r="E39" s="1420"/>
      <c r="F39" s="1420"/>
      <c r="G39" s="1420"/>
      <c r="H39" s="1420"/>
      <c r="I39" s="1420"/>
      <c r="J39" s="1420"/>
      <c r="K39" s="1420"/>
      <c r="L39" s="1420"/>
      <c r="M39" s="1420"/>
      <c r="N39" s="1420"/>
      <c r="O39" s="1420"/>
      <c r="P39" s="1420"/>
      <c r="Q39" s="1420"/>
    </row>
    <row r="40" spans="1:17" s="841" customFormat="1" ht="19.5" customHeight="1">
      <c r="A40" s="843"/>
      <c r="B40" s="1452"/>
      <c r="C40" s="1452"/>
      <c r="D40" s="1452"/>
      <c r="E40" s="1420"/>
      <c r="F40" s="1420"/>
      <c r="G40" s="1420"/>
      <c r="H40" s="1420"/>
      <c r="I40" s="1420"/>
      <c r="J40" s="1420"/>
      <c r="K40" s="1420"/>
      <c r="L40" s="1420"/>
      <c r="M40" s="1420"/>
      <c r="N40" s="1420"/>
      <c r="O40" s="1420"/>
      <c r="P40" s="1420"/>
      <c r="Q40" s="1420"/>
    </row>
    <row r="41" spans="1:17" s="841" customFormat="1" ht="19.5" customHeight="1">
      <c r="A41" s="843"/>
      <c r="B41" s="1452"/>
      <c r="C41" s="1452"/>
      <c r="D41" s="1452"/>
      <c r="E41" s="1420"/>
      <c r="F41" s="1420"/>
      <c r="G41" s="1420"/>
      <c r="H41" s="1420"/>
      <c r="I41" s="1420"/>
      <c r="J41" s="1420"/>
      <c r="K41" s="1420"/>
      <c r="L41" s="1420"/>
      <c r="M41" s="1420"/>
      <c r="N41" s="1420"/>
      <c r="O41" s="1420"/>
      <c r="P41" s="1420"/>
      <c r="Q41" s="1420"/>
    </row>
  </sheetData>
  <mergeCells count="7">
    <mergeCell ref="C14:C15"/>
    <mergeCell ref="E14:E15"/>
    <mergeCell ref="B6:B7"/>
    <mergeCell ref="C6:C7"/>
    <mergeCell ref="B8:B9"/>
    <mergeCell ref="C8:C9"/>
    <mergeCell ref="B10:B11"/>
  </mergeCells>
  <printOptions horizontalCentered="1"/>
  <pageMargins left="0.5" right="0.5" top="0.75" bottom="0.75" header="0.3" footer="0.3"/>
  <pageSetup scale="48" orientation="landscape" r:id="rId1"/>
  <headerFooter scaleWithDoc="0" alignWithMargins="0">
    <oddFooter>&amp;R&amp;"Times New Roman,Bold"Exhibit 4
Page 4 of 6</oddFooter>
  </headerFooter>
  <ignoredErrors>
    <ignoredError sqref="F7:Q7 F9:Q9" formula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39997558519241921"/>
    <pageSetUpPr fitToPage="1"/>
  </sheetPr>
  <dimension ref="A1:X48"/>
  <sheetViews>
    <sheetView zoomScale="90" zoomScaleNormal="90" workbookViewId="0"/>
  </sheetViews>
  <sheetFormatPr defaultColWidth="9.140625" defaultRowHeight="15.75"/>
  <cols>
    <col min="1" max="1" width="9.140625" style="28"/>
    <col min="2" max="2" width="35" style="26" bestFit="1" customWidth="1"/>
    <col min="3" max="3" width="15.85546875" style="26" customWidth="1"/>
    <col min="4" max="4" width="18" style="26" bestFit="1" customWidth="1"/>
    <col min="5" max="5" width="18.42578125" style="26" bestFit="1" customWidth="1"/>
    <col min="6" max="6" width="17.140625" style="26" customWidth="1"/>
    <col min="7" max="8" width="16.85546875" style="26" bestFit="1" customWidth="1"/>
    <col min="9" max="9" width="17" style="26" bestFit="1" customWidth="1"/>
    <col min="10" max="10" width="12.140625" style="28" bestFit="1" customWidth="1"/>
    <col min="11" max="11" width="16.140625" style="28" bestFit="1" customWidth="1"/>
    <col min="12" max="24" width="14.85546875" style="28" customWidth="1"/>
    <col min="25" max="25" width="9.140625" style="28"/>
    <col min="26" max="26" width="10.5703125" style="28" bestFit="1" customWidth="1"/>
    <col min="27" max="16384" width="9.140625" style="28"/>
  </cols>
  <sheetData>
    <row r="1" spans="1:24" ht="18.75">
      <c r="B1" s="1579" t="s">
        <v>65</v>
      </c>
      <c r="C1" s="1579"/>
      <c r="D1" s="1579"/>
      <c r="E1" s="1579"/>
      <c r="F1" s="1579"/>
      <c r="G1" s="1579"/>
      <c r="H1" s="1579"/>
      <c r="I1" s="1579"/>
      <c r="K1" s="39"/>
      <c r="L1" s="39"/>
      <c r="M1" s="39"/>
      <c r="N1" s="39"/>
      <c r="O1" s="39"/>
      <c r="P1" s="39"/>
      <c r="Q1" s="39"/>
      <c r="R1" s="40"/>
      <c r="S1" s="40"/>
      <c r="T1" s="40"/>
      <c r="U1" s="40"/>
      <c r="V1" s="40"/>
      <c r="W1" s="40"/>
      <c r="X1" s="40"/>
    </row>
    <row r="2" spans="1:24" ht="18.75">
      <c r="A2" s="1579" t="s">
        <v>251</v>
      </c>
      <c r="B2" s="1579"/>
      <c r="C2" s="1579"/>
      <c r="D2" s="1579"/>
      <c r="E2" s="1579"/>
      <c r="F2" s="1579"/>
      <c r="G2" s="1579"/>
      <c r="H2" s="1579"/>
      <c r="I2" s="1579"/>
      <c r="J2" s="39"/>
      <c r="K2" s="39"/>
      <c r="L2" s="39"/>
      <c r="M2" s="39"/>
      <c r="N2" s="39"/>
      <c r="O2" s="39"/>
      <c r="P2" s="39"/>
      <c r="Q2" s="39"/>
      <c r="R2" s="40"/>
      <c r="S2" s="40"/>
      <c r="T2" s="40"/>
      <c r="U2" s="40"/>
      <c r="V2" s="40"/>
      <c r="W2" s="40"/>
      <c r="X2" s="40"/>
    </row>
    <row r="3" spans="1:24" ht="18.75">
      <c r="B3" s="1579" t="s">
        <v>158</v>
      </c>
      <c r="C3" s="1579"/>
      <c r="D3" s="1579"/>
      <c r="E3" s="1579"/>
      <c r="F3" s="1579"/>
      <c r="G3" s="1579"/>
      <c r="H3" s="1579"/>
      <c r="I3" s="1579"/>
      <c r="K3" s="39"/>
      <c r="L3" s="39"/>
      <c r="M3" s="39"/>
      <c r="N3" s="39"/>
      <c r="O3" s="39"/>
      <c r="P3" s="39"/>
      <c r="Q3" s="39"/>
      <c r="R3" s="40"/>
      <c r="S3" s="40"/>
      <c r="T3" s="40"/>
      <c r="U3" s="40"/>
      <c r="V3" s="40"/>
      <c r="W3" s="40"/>
      <c r="X3" s="40"/>
    </row>
    <row r="4" spans="1:24">
      <c r="K4" s="40"/>
      <c r="L4" s="40"/>
      <c r="M4" s="40"/>
      <c r="N4" s="40"/>
      <c r="O4" s="40"/>
      <c r="P4" s="40"/>
      <c r="R4" s="40"/>
      <c r="S4" s="40"/>
      <c r="T4" s="40"/>
      <c r="U4" s="40"/>
      <c r="V4" s="40"/>
      <c r="W4" s="40"/>
      <c r="X4" s="40"/>
    </row>
    <row r="5" spans="1:24">
      <c r="K5" s="40"/>
      <c r="L5" s="40"/>
      <c r="M5" s="40"/>
      <c r="N5" s="40"/>
      <c r="O5" s="40"/>
      <c r="P5" s="40"/>
      <c r="R5" s="40"/>
      <c r="S5" s="40"/>
      <c r="T5" s="40"/>
      <c r="U5" s="40"/>
      <c r="V5" s="40"/>
      <c r="W5" s="40"/>
      <c r="X5" s="40"/>
    </row>
    <row r="6" spans="1:24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3" t="s">
        <v>67</v>
      </c>
      <c r="K6" s="28"/>
      <c r="L6" s="28"/>
      <c r="M6" s="28"/>
      <c r="N6" s="28"/>
      <c r="O6" s="28"/>
      <c r="P6" s="28"/>
      <c r="Q6" s="28"/>
    </row>
    <row r="7" spans="1:24" ht="16.5" thickBot="1">
      <c r="A7" s="44" t="s">
        <v>5</v>
      </c>
      <c r="B7" s="44" t="s">
        <v>6</v>
      </c>
      <c r="C7" s="44" t="s">
        <v>86</v>
      </c>
      <c r="D7" s="44" t="s">
        <v>87</v>
      </c>
      <c r="E7" s="44" t="s">
        <v>88</v>
      </c>
      <c r="F7" s="44" t="s">
        <v>89</v>
      </c>
      <c r="G7" s="44" t="s">
        <v>90</v>
      </c>
      <c r="H7" s="44" t="s">
        <v>91</v>
      </c>
      <c r="I7" s="44" t="s">
        <v>238</v>
      </c>
    </row>
    <row r="8" spans="1:24">
      <c r="A8" s="65" t="s">
        <v>201</v>
      </c>
      <c r="B8" s="65" t="s">
        <v>202</v>
      </c>
      <c r="C8" s="65" t="s">
        <v>203</v>
      </c>
      <c r="D8" s="65" t="s">
        <v>204</v>
      </c>
      <c r="E8" s="65" t="s">
        <v>205</v>
      </c>
      <c r="F8" s="65" t="s">
        <v>206</v>
      </c>
      <c r="G8" s="65" t="s">
        <v>207</v>
      </c>
      <c r="H8" s="65" t="s">
        <v>208</v>
      </c>
      <c r="I8" s="65" t="s">
        <v>209</v>
      </c>
    </row>
    <row r="9" spans="1:24">
      <c r="B9" s="45"/>
      <c r="C9" s="45"/>
      <c r="D9" s="45"/>
      <c r="E9" s="45"/>
      <c r="F9" s="45"/>
      <c r="G9" s="45"/>
      <c r="H9" s="45"/>
      <c r="I9" s="45"/>
    </row>
    <row r="10" spans="1:24">
      <c r="A10" s="38">
        <v>1</v>
      </c>
      <c r="B10" s="26" t="s">
        <v>246</v>
      </c>
      <c r="C10" s="33">
        <f>SUM('Capital Budget 2017'!K3:K7)</f>
        <v>914714.83000000007</v>
      </c>
      <c r="D10" s="33">
        <f>SUM('Capital Budget 2017'!L3:L7)</f>
        <v>593930.80999999994</v>
      </c>
      <c r="E10" s="33">
        <f>SUM('Capital Budget 2017'!M3:M7)</f>
        <v>1244436.9200000002</v>
      </c>
      <c r="F10" s="33">
        <f>SUM('Capital Budget 2017'!N3:N7)</f>
        <v>1431438.0699999998</v>
      </c>
      <c r="G10" s="33">
        <f>SUM('Capital Budget 2017'!O3:O7)</f>
        <v>701917.45000000019</v>
      </c>
      <c r="H10" s="33">
        <f>SUM('Capital Budget 2017'!P3:P7)</f>
        <v>267001.29999999993</v>
      </c>
      <c r="I10" s="33">
        <f>SUM(C10:H10)</f>
        <v>5153439.38</v>
      </c>
      <c r="J10" s="46"/>
    </row>
    <row r="11" spans="1:24">
      <c r="A11" s="38">
        <f>A10+1</f>
        <v>2</v>
      </c>
      <c r="B11" s="26" t="s">
        <v>247</v>
      </c>
      <c r="C11" s="33">
        <f>SUM('Capital Budget 2017'!E23:J23,'Capital Budget 2017'!K23)</f>
        <v>239723.06</v>
      </c>
      <c r="D11" s="33">
        <f>SUM('Capital Budget 2017'!L23)</f>
        <v>70380.760000000009</v>
      </c>
      <c r="E11" s="33">
        <f>SUM('Capital Budget 2017'!M23)</f>
        <v>306489.25000000006</v>
      </c>
      <c r="F11" s="33">
        <f>SUM('Capital Budget 2017'!N23)</f>
        <v>429940.78</v>
      </c>
      <c r="G11" s="33">
        <f>SUM('Capital Budget 2017'!O23)</f>
        <v>393412.5399999998</v>
      </c>
      <c r="H11" s="33">
        <f>SUM('Capital Budget 2017'!P23)</f>
        <v>1622694.82</v>
      </c>
      <c r="I11" s="33">
        <f>SUM(C11:H11)</f>
        <v>3062641.21</v>
      </c>
      <c r="J11" s="46"/>
    </row>
    <row r="12" spans="1:24">
      <c r="A12" s="38">
        <f>A11+1</f>
        <v>3</v>
      </c>
      <c r="B12" s="26" t="s">
        <v>77</v>
      </c>
      <c r="C12" s="33">
        <f>SUM('Capital Budget 2017'!K14,'Capital Budget 2017'!K16:K19)</f>
        <v>213529.98999999996</v>
      </c>
      <c r="D12" s="33">
        <f>SUM('Capital Budget 2017'!L14,'Capital Budget 2017'!L16:L19)</f>
        <v>590202.24000000011</v>
      </c>
      <c r="E12" s="33">
        <f>SUM('Capital Budget 2017'!M14,'Capital Budget 2017'!M16:M19)</f>
        <v>177970.46999999994</v>
      </c>
      <c r="F12" s="33">
        <f>SUM('Capital Budget 2017'!N14,'Capital Budget 2017'!N16:N19)</f>
        <v>206751.37</v>
      </c>
      <c r="G12" s="33">
        <f>SUM('Capital Budget 2017'!O14,'Capital Budget 2017'!O16:O19)</f>
        <v>135116.30000000005</v>
      </c>
      <c r="H12" s="33">
        <f>SUM('Capital Budget 2017'!P14,'Capital Budget 2017'!P16:P19)</f>
        <v>293579.44999999995</v>
      </c>
      <c r="I12" s="33">
        <f>SUM(C12:H12)</f>
        <v>1617149.82</v>
      </c>
      <c r="J12" s="46"/>
    </row>
    <row r="13" spans="1:24">
      <c r="A13" s="38">
        <f>A12+1</f>
        <v>4</v>
      </c>
      <c r="B13" s="26" t="s">
        <v>78</v>
      </c>
      <c r="C13" s="33">
        <f>'Capital Budget 2017'!K15</f>
        <v>1397473.08</v>
      </c>
      <c r="D13" s="33">
        <f>'Capital Budget 2017'!L15</f>
        <v>1524779.69</v>
      </c>
      <c r="E13" s="33">
        <f>'Capital Budget 2017'!M15</f>
        <v>1152787.42</v>
      </c>
      <c r="F13" s="33">
        <f>'Capital Budget 2017'!N15</f>
        <v>1487575.2799999998</v>
      </c>
      <c r="G13" s="33">
        <f>'Capital Budget 2017'!O15</f>
        <v>1174067.3700000001</v>
      </c>
      <c r="H13" s="33">
        <f>'Capital Budget 2017'!P15</f>
        <v>367164.8900000006</v>
      </c>
      <c r="I13" s="33">
        <f>SUM(C13:H13)</f>
        <v>7103847.7300000004</v>
      </c>
      <c r="J13" s="46"/>
    </row>
    <row r="14" spans="1:24">
      <c r="A14" s="38">
        <f>A13+1</f>
        <v>5</v>
      </c>
      <c r="B14" s="26" t="s">
        <v>159</v>
      </c>
      <c r="C14" s="34">
        <f>SUM('Capital Budget 2017'!K8:K13)</f>
        <v>511712.06000000006</v>
      </c>
      <c r="D14" s="34">
        <f>SUM('Capital Budget 2017'!L8:L13)</f>
        <v>556624.30000000005</v>
      </c>
      <c r="E14" s="34">
        <f>SUM('Capital Budget 2017'!M8:M13)</f>
        <v>581759.54999999993</v>
      </c>
      <c r="F14" s="34">
        <f>SUM('Capital Budget 2017'!N8:N13)</f>
        <v>774089.49000000011</v>
      </c>
      <c r="G14" s="34">
        <f>SUM('Capital Budget 2017'!O8:O13)</f>
        <v>639392.29999999981</v>
      </c>
      <c r="H14" s="34">
        <f>SUM('Capital Budget 2017'!P8:P13)</f>
        <v>743965.23999999987</v>
      </c>
      <c r="I14" s="34">
        <f>SUM(C14:H14)</f>
        <v>3807542.94</v>
      </c>
      <c r="J14" s="86"/>
    </row>
    <row r="15" spans="1:24">
      <c r="A15" s="38">
        <f>A14+1</f>
        <v>6</v>
      </c>
      <c r="B15" s="26" t="s">
        <v>79</v>
      </c>
      <c r="C15" s="33">
        <f t="shared" ref="C15:I15" si="0">SUM(C10:C14)</f>
        <v>3277153.02</v>
      </c>
      <c r="D15" s="33">
        <f t="shared" si="0"/>
        <v>3335917.8</v>
      </c>
      <c r="E15" s="33">
        <f t="shared" si="0"/>
        <v>3463443.61</v>
      </c>
      <c r="F15" s="33">
        <f t="shared" si="0"/>
        <v>4329794.9899999993</v>
      </c>
      <c r="G15" s="33">
        <f t="shared" si="0"/>
        <v>3043905.96</v>
      </c>
      <c r="H15" s="33">
        <f t="shared" si="0"/>
        <v>3294405.7000000007</v>
      </c>
      <c r="I15" s="33">
        <f t="shared" si="0"/>
        <v>20744621.080000002</v>
      </c>
      <c r="J15" s="46"/>
    </row>
    <row r="16" spans="1:24">
      <c r="C16" s="33"/>
      <c r="D16" s="33"/>
      <c r="E16" s="33"/>
      <c r="F16" s="33"/>
      <c r="G16" s="33"/>
      <c r="H16" s="33"/>
      <c r="I16" s="33"/>
      <c r="J16" s="46"/>
    </row>
    <row r="17" spans="1:10">
      <c r="A17" s="38">
        <f>A15+1</f>
        <v>7</v>
      </c>
      <c r="B17" s="26" t="s">
        <v>248</v>
      </c>
      <c r="C17" s="283">
        <v>0</v>
      </c>
      <c r="D17" s="283">
        <v>0</v>
      </c>
      <c r="E17" s="283">
        <v>0</v>
      </c>
      <c r="F17" s="283">
        <v>0</v>
      </c>
      <c r="G17" s="283">
        <v>0</v>
      </c>
      <c r="H17" s="283">
        <v>0</v>
      </c>
      <c r="I17" s="33">
        <f>SUM(C17:H17)</f>
        <v>0</v>
      </c>
      <c r="J17" s="46"/>
    </row>
    <row r="18" spans="1:10">
      <c r="A18" s="38">
        <f>A17+1</f>
        <v>8</v>
      </c>
      <c r="B18" s="26" t="s">
        <v>70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0</v>
      </c>
      <c r="I18" s="35">
        <f>SUM(C18:H18)</f>
        <v>0</v>
      </c>
      <c r="J18" s="46"/>
    </row>
    <row r="19" spans="1:10">
      <c r="A19" s="38">
        <f>A18+1</f>
        <v>9</v>
      </c>
      <c r="B19" s="26" t="s">
        <v>71</v>
      </c>
      <c r="C19" s="273">
        <v>0</v>
      </c>
      <c r="D19" s="273">
        <v>0</v>
      </c>
      <c r="E19" s="273">
        <v>0</v>
      </c>
      <c r="F19" s="273">
        <v>0</v>
      </c>
      <c r="G19" s="273">
        <v>0</v>
      </c>
      <c r="H19" s="273">
        <v>0</v>
      </c>
      <c r="I19" s="34">
        <f>SUM(C19:H19)</f>
        <v>0</v>
      </c>
      <c r="J19" s="46"/>
    </row>
    <row r="20" spans="1:10">
      <c r="A20" s="38">
        <f>A19+1</f>
        <v>10</v>
      </c>
      <c r="B20" s="26" t="s">
        <v>177</v>
      </c>
      <c r="C20" s="35">
        <f t="shared" ref="C20:I20" si="1">SUM(C17:C19)</f>
        <v>0</v>
      </c>
      <c r="D20" s="35">
        <f t="shared" si="1"/>
        <v>0</v>
      </c>
      <c r="E20" s="35">
        <f t="shared" si="1"/>
        <v>0</v>
      </c>
      <c r="F20" s="35">
        <f t="shared" si="1"/>
        <v>0</v>
      </c>
      <c r="G20" s="35">
        <f t="shared" si="1"/>
        <v>0</v>
      </c>
      <c r="H20" s="35">
        <f t="shared" si="1"/>
        <v>0</v>
      </c>
      <c r="I20" s="35">
        <f t="shared" si="1"/>
        <v>0</v>
      </c>
      <c r="J20" s="46"/>
    </row>
    <row r="21" spans="1:10">
      <c r="A21" s="38"/>
      <c r="C21" s="35"/>
      <c r="D21" s="35"/>
      <c r="E21" s="35"/>
      <c r="F21" s="35"/>
      <c r="G21" s="35"/>
      <c r="H21" s="35"/>
      <c r="I21" s="35"/>
      <c r="J21" s="46"/>
    </row>
    <row r="22" spans="1:10">
      <c r="A22" s="38">
        <f>A20+1</f>
        <v>11</v>
      </c>
      <c r="B22" s="26" t="s">
        <v>176</v>
      </c>
      <c r="C22" s="283">
        <v>0</v>
      </c>
      <c r="D22" s="283">
        <v>0</v>
      </c>
      <c r="E22" s="283">
        <v>0</v>
      </c>
      <c r="F22" s="283">
        <v>0</v>
      </c>
      <c r="G22" s="283">
        <f>-G32</f>
        <v>0</v>
      </c>
      <c r="H22" s="283">
        <v>0</v>
      </c>
      <c r="I22" s="33">
        <f>SUM(C22:H22)</f>
        <v>0</v>
      </c>
      <c r="J22" s="46"/>
    </row>
    <row r="23" spans="1:10">
      <c r="A23" s="38"/>
      <c r="C23" s="33"/>
      <c r="D23" s="33"/>
      <c r="E23" s="33"/>
      <c r="F23" s="33"/>
      <c r="G23" s="33"/>
      <c r="H23" s="33"/>
      <c r="I23" s="33"/>
      <c r="J23" s="46"/>
    </row>
    <row r="24" spans="1:10" ht="16.5" customHeight="1">
      <c r="A24" s="38">
        <f>A22+1</f>
        <v>12</v>
      </c>
      <c r="B24" s="26" t="s">
        <v>249</v>
      </c>
      <c r="C24" s="33">
        <f>SUM('Capital Budget 2017'!K26:K28,'Capital Budget 2017'!K31)</f>
        <v>194633.55000000002</v>
      </c>
      <c r="D24" s="33">
        <f>SUM('Capital Budget 2017'!L26:L28,'Capital Budget 2017'!L31)</f>
        <v>104604.53</v>
      </c>
      <c r="E24" s="33">
        <f>SUM('Capital Budget 2017'!M26:M28,'Capital Budget 2017'!M31)</f>
        <v>123629.18</v>
      </c>
      <c r="F24" s="33">
        <f>SUM('Capital Budget 2017'!N26:N28,'Capital Budget 2017'!N31)</f>
        <v>369707.5</v>
      </c>
      <c r="G24" s="33">
        <f>SUM('Capital Budget 2017'!O26:O28,'Capital Budget 2017'!O31)</f>
        <v>250260.92000000004</v>
      </c>
      <c r="H24" s="33">
        <f>SUM('Capital Budget 2017'!P26:P28,'Capital Budget 2017'!P31)</f>
        <v>413785.01999999996</v>
      </c>
      <c r="I24" s="33">
        <f>SUM(C24:H24)</f>
        <v>1456620.7</v>
      </c>
      <c r="J24" s="46"/>
    </row>
    <row r="25" spans="1:10">
      <c r="A25" s="38">
        <f>A24+1</f>
        <v>13</v>
      </c>
      <c r="B25" s="26" t="s">
        <v>80</v>
      </c>
      <c r="C25" s="33">
        <f>SUM('Capital Budget 2017'!K29:K30)</f>
        <v>26417.16</v>
      </c>
      <c r="D25" s="33">
        <f>SUM('Capital Budget 2017'!L29:L30)</f>
        <v>28945.41</v>
      </c>
      <c r="E25" s="33">
        <f>SUM('Capital Budget 2017'!M29:M30)</f>
        <v>24037.84</v>
      </c>
      <c r="F25" s="33">
        <f>SUM('Capital Budget 2017'!N29:N30)</f>
        <v>31446.28</v>
      </c>
      <c r="G25" s="33">
        <f>SUM('Capital Budget 2017'!O29:O30)</f>
        <v>38800.33</v>
      </c>
      <c r="H25" s="33">
        <f>SUM('Capital Budget 2017'!P29:P30)</f>
        <v>37449.410000000003</v>
      </c>
      <c r="I25" s="33">
        <f>SUM(C25:H25)</f>
        <v>187096.43000000002</v>
      </c>
      <c r="J25" s="46"/>
    </row>
    <row r="26" spans="1:10">
      <c r="A26" s="38">
        <f>A25+1</f>
        <v>14</v>
      </c>
      <c r="B26" s="26" t="s">
        <v>81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f>SUM(C26:H26)</f>
        <v>0</v>
      </c>
      <c r="J26" s="86"/>
    </row>
    <row r="27" spans="1:10">
      <c r="A27" s="38">
        <f>A26+1</f>
        <v>15</v>
      </c>
      <c r="B27" s="26" t="s">
        <v>82</v>
      </c>
      <c r="C27" s="33">
        <f t="shared" ref="C27:I27" si="2">SUM(C24:C26)</f>
        <v>221050.71000000002</v>
      </c>
      <c r="D27" s="33">
        <f t="shared" si="2"/>
        <v>133549.94</v>
      </c>
      <c r="E27" s="33">
        <f t="shared" si="2"/>
        <v>147667.01999999999</v>
      </c>
      <c r="F27" s="33">
        <f t="shared" si="2"/>
        <v>401153.78</v>
      </c>
      <c r="G27" s="33">
        <f t="shared" si="2"/>
        <v>289061.25000000006</v>
      </c>
      <c r="H27" s="33">
        <f t="shared" si="2"/>
        <v>451234.42999999993</v>
      </c>
      <c r="I27" s="33">
        <f t="shared" si="2"/>
        <v>1643717.13</v>
      </c>
      <c r="J27" s="46"/>
    </row>
    <row r="28" spans="1:10">
      <c r="A28" s="38"/>
      <c r="C28" s="33"/>
      <c r="D28" s="33"/>
      <c r="E28" s="33"/>
      <c r="F28" s="33"/>
      <c r="G28" s="33"/>
      <c r="H28" s="33"/>
      <c r="I28" s="33"/>
      <c r="J28" s="46"/>
    </row>
    <row r="29" spans="1:10">
      <c r="A29" s="38">
        <f>A27+1</f>
        <v>16</v>
      </c>
      <c r="B29" s="26" t="s">
        <v>59</v>
      </c>
      <c r="C29" s="283">
        <v>62063.899999999994</v>
      </c>
      <c r="D29" s="283">
        <v>85274.15</v>
      </c>
      <c r="E29" s="283">
        <v>64736.08</v>
      </c>
      <c r="F29" s="283">
        <v>107597.89000000001</v>
      </c>
      <c r="G29" s="283">
        <v>78694.020000000019</v>
      </c>
      <c r="H29" s="283">
        <v>88839.3</v>
      </c>
      <c r="I29" s="33">
        <f>SUM(C29:H29)</f>
        <v>487205.34</v>
      </c>
      <c r="J29" s="46"/>
    </row>
    <row r="30" spans="1:10">
      <c r="A30" s="38">
        <f>A29+1</f>
        <v>17</v>
      </c>
      <c r="B30" s="26" t="s">
        <v>417</v>
      </c>
      <c r="C30" s="283">
        <v>0</v>
      </c>
      <c r="D30" s="283">
        <v>0</v>
      </c>
      <c r="E30" s="283">
        <v>0</v>
      </c>
      <c r="F30" s="283">
        <v>0</v>
      </c>
      <c r="G30" s="283">
        <v>0</v>
      </c>
      <c r="H30" s="283">
        <v>0</v>
      </c>
      <c r="I30" s="33">
        <f>SUM(C30:H30)</f>
        <v>0</v>
      </c>
      <c r="J30" s="46"/>
    </row>
    <row r="31" spans="1:10">
      <c r="A31" s="38">
        <f>A30+1</f>
        <v>18</v>
      </c>
      <c r="B31" s="26" t="s">
        <v>418</v>
      </c>
      <c r="C31" s="283">
        <v>0</v>
      </c>
      <c r="D31" s="283">
        <v>0</v>
      </c>
      <c r="E31" s="283">
        <v>0</v>
      </c>
      <c r="F31" s="283">
        <v>0</v>
      </c>
      <c r="G31" s="283">
        <v>0</v>
      </c>
      <c r="H31" s="283">
        <v>0</v>
      </c>
      <c r="I31" s="33">
        <f>SUM(C31:H31)</f>
        <v>0</v>
      </c>
    </row>
    <row r="32" spans="1:10">
      <c r="F32" s="63"/>
      <c r="G32" s="33"/>
    </row>
    <row r="34" spans="2:8">
      <c r="G34" s="28"/>
      <c r="H34" s="28"/>
    </row>
    <row r="35" spans="2:8">
      <c r="B35" s="28"/>
      <c r="C35" s="28"/>
      <c r="D35" s="28"/>
      <c r="E35" s="28"/>
      <c r="F35" s="28"/>
      <c r="G35" s="28"/>
      <c r="H35" s="28"/>
    </row>
    <row r="36" spans="2:8">
      <c r="B36" s="28"/>
      <c r="C36" s="28"/>
      <c r="D36" s="28"/>
      <c r="E36" s="28"/>
      <c r="F36" s="28"/>
      <c r="G36" s="28"/>
      <c r="H36" s="28"/>
    </row>
    <row r="37" spans="2:8">
      <c r="B37" s="28"/>
      <c r="C37" s="28"/>
      <c r="D37" s="28"/>
      <c r="E37" s="28"/>
      <c r="F37" s="28"/>
      <c r="G37" s="28"/>
      <c r="H37" s="28"/>
    </row>
    <row r="38" spans="2:8">
      <c r="B38" s="28"/>
      <c r="C38" s="28"/>
      <c r="D38" s="28"/>
      <c r="E38" s="28"/>
      <c r="F38" s="28"/>
      <c r="G38" s="28"/>
      <c r="H38" s="28"/>
    </row>
    <row r="39" spans="2:8">
      <c r="B39" s="28"/>
      <c r="C39" s="28"/>
      <c r="D39" s="28"/>
      <c r="E39" s="28"/>
      <c r="F39" s="28"/>
      <c r="G39" s="28"/>
      <c r="H39" s="28"/>
    </row>
    <row r="40" spans="2:8">
      <c r="B40" s="28"/>
      <c r="C40" s="28"/>
      <c r="D40" s="28"/>
      <c r="E40" s="28"/>
      <c r="F40" s="28"/>
      <c r="G40" s="28"/>
      <c r="H40" s="28"/>
    </row>
    <row r="41" spans="2:8">
      <c r="B41" s="28"/>
      <c r="C41" s="28"/>
      <c r="D41" s="28"/>
      <c r="E41" s="28"/>
      <c r="F41" s="28"/>
      <c r="G41" s="28"/>
      <c r="H41" s="28"/>
    </row>
    <row r="42" spans="2:8">
      <c r="B42" s="28"/>
      <c r="C42" s="28"/>
      <c r="D42" s="28"/>
      <c r="E42" s="28"/>
      <c r="F42" s="28"/>
      <c r="G42" s="28"/>
      <c r="H42" s="28"/>
    </row>
    <row r="43" spans="2:8">
      <c r="B43" s="28"/>
      <c r="C43" s="28"/>
      <c r="D43" s="28"/>
      <c r="E43" s="28"/>
      <c r="F43" s="28"/>
      <c r="G43" s="28"/>
      <c r="H43" s="28"/>
    </row>
    <row r="44" spans="2:8">
      <c r="B44" s="28"/>
      <c r="C44" s="28"/>
      <c r="D44" s="28"/>
      <c r="E44" s="28"/>
      <c r="F44" s="28"/>
      <c r="G44" s="28"/>
      <c r="H44" s="28"/>
    </row>
    <row r="45" spans="2:8">
      <c r="B45" s="28"/>
      <c r="C45" s="28"/>
      <c r="D45" s="28"/>
      <c r="E45" s="28"/>
      <c r="F45" s="28"/>
      <c r="G45" s="28"/>
      <c r="H45" s="28"/>
    </row>
    <row r="46" spans="2:8">
      <c r="B46" s="28"/>
      <c r="C46" s="28"/>
      <c r="D46" s="28"/>
      <c r="E46" s="28"/>
      <c r="F46" s="28"/>
      <c r="G46" s="28"/>
      <c r="H46" s="28"/>
    </row>
    <row r="47" spans="2:8">
      <c r="B47" s="28"/>
      <c r="C47" s="28"/>
      <c r="D47" s="28"/>
      <c r="E47" s="28"/>
      <c r="F47" s="28"/>
      <c r="G47" s="28"/>
      <c r="H47" s="28"/>
    </row>
    <row r="48" spans="2:8">
      <c r="B48" s="28"/>
      <c r="C48" s="28"/>
      <c r="D48" s="28"/>
      <c r="E48" s="28"/>
      <c r="F48" s="28"/>
      <c r="G48" s="28"/>
      <c r="H48" s="28"/>
    </row>
  </sheetData>
  <mergeCells count="3">
    <mergeCell ref="B1:I1"/>
    <mergeCell ref="B3:I3"/>
    <mergeCell ref="A2:I2"/>
  </mergeCells>
  <pageMargins left="0.7" right="0.7" top="0.75" bottom="0.75" header="0.3" footer="0.3"/>
  <pageSetup scale="76" orientation="landscape" r:id="rId1"/>
  <headerFooter>
    <oddFooter>&amp;R&amp;"Times New Roman,Bold"&amp;12Exhibit CMG-5
Page 5 of 12&amp;L&amp;1#&amp;"Calibri"&amp;14&amp;K000000Business Use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/>
      <c r="H13" s="1">
        <f>1.62%/12</f>
        <v>1.3500000000000003E-3</v>
      </c>
      <c r="J13" s="278">
        <f>F13*H13</f>
        <v>0</v>
      </c>
      <c r="L13" s="278">
        <f>'Cap&amp;OpEx 2017'!C10</f>
        <v>914714.83000000007</v>
      </c>
      <c r="N13" s="278">
        <f>H13*L13*0.5</f>
        <v>617.43251025000018</v>
      </c>
      <c r="P13" s="278">
        <f>J13+N13</f>
        <v>617.43251025000018</v>
      </c>
      <c r="R13" s="278">
        <f>L13+F13</f>
        <v>914714.83000000007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/>
      <c r="H14" s="1">
        <f>3.24%/12</f>
        <v>2.7000000000000006E-3</v>
      </c>
      <c r="J14" s="278">
        <f>F14*H14</f>
        <v>0</v>
      </c>
      <c r="L14" s="278">
        <f>'Cap&amp;OpEx 2017'!C12</f>
        <v>213529.98999999996</v>
      </c>
      <c r="N14" s="278">
        <f>H14*L14*0.5</f>
        <v>288.26548650000001</v>
      </c>
      <c r="P14" s="278">
        <f>J14+N14</f>
        <v>288.26548650000001</v>
      </c>
      <c r="R14" s="278">
        <f>L14+F14</f>
        <v>213529.98999999996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8"/>
      <c r="H15" s="1">
        <f t="shared" ref="H15:H16" si="1">3.24%/12</f>
        <v>2.7000000000000006E-3</v>
      </c>
      <c r="J15" s="278">
        <f>F15*H15</f>
        <v>0</v>
      </c>
      <c r="L15" s="278">
        <f>'Cap&amp;OpEx 2017'!C13</f>
        <v>1397473.08</v>
      </c>
      <c r="N15" s="278">
        <f>H15*L15*0.5</f>
        <v>1886.5886580000006</v>
      </c>
      <c r="P15" s="278">
        <f>J15+N15</f>
        <v>1886.5886580000006</v>
      </c>
      <c r="R15" s="278">
        <f>L15+F15</f>
        <v>1397473.08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8"/>
      <c r="H16" s="1">
        <f t="shared" si="1"/>
        <v>2.7000000000000006E-3</v>
      </c>
      <c r="J16" s="278">
        <f>F16*H16</f>
        <v>0</v>
      </c>
      <c r="L16" s="278">
        <f>'Cap&amp;OpEx 2017'!C14</f>
        <v>511712.06000000006</v>
      </c>
      <c r="N16" s="278">
        <f>H16*L16*0.5</f>
        <v>690.81128100000024</v>
      </c>
      <c r="P16" s="278">
        <f>J16+N16</f>
        <v>690.81128100000024</v>
      </c>
      <c r="R16" s="278">
        <f>L16+F16</f>
        <v>511712.06000000006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0</v>
      </c>
      <c r="J17" s="276">
        <f>SUM(J13:J16)</f>
        <v>0</v>
      </c>
      <c r="L17" s="276">
        <f>SUM(L13:L16)</f>
        <v>3037429.9600000004</v>
      </c>
      <c r="N17" s="276">
        <f>SUM(N13:N16)</f>
        <v>3483.0979357500009</v>
      </c>
      <c r="P17" s="276">
        <f>SUM(P13:P16)</f>
        <v>3483.0979357500009</v>
      </c>
      <c r="R17" s="276">
        <f>SUM(R13:R16)</f>
        <v>3037429.9600000004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/>
      <c r="H20" s="1">
        <f>1.62%/12</f>
        <v>1.3500000000000003E-3</v>
      </c>
      <c r="J20" s="278">
        <f>F20*H20</f>
        <v>0</v>
      </c>
      <c r="L20" s="278">
        <f>'Cap&amp;OpEx 2017'!C17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/>
      <c r="H21" s="1">
        <f>3.24%/12</f>
        <v>2.7000000000000006E-3</v>
      </c>
      <c r="J21" s="278">
        <f>F21*H21</f>
        <v>0</v>
      </c>
      <c r="L21" s="278">
        <f>'Cap&amp;OpEx 2017'!C18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8"/>
      <c r="H22" s="1">
        <f>3.24%/12</f>
        <v>2.7000000000000006E-3</v>
      </c>
      <c r="J22" s="278">
        <f>F22*H22</f>
        <v>0</v>
      </c>
      <c r="L22" s="278">
        <f>'Cap&amp;OpEx 2017'!C19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0</v>
      </c>
      <c r="J25" s="277">
        <f>J17+J23</f>
        <v>0</v>
      </c>
      <c r="L25" s="277">
        <f>L17+L23</f>
        <v>3037429.9600000004</v>
      </c>
      <c r="N25" s="277">
        <f>N17+N23</f>
        <v>3483.0979357500009</v>
      </c>
      <c r="P25" s="277">
        <f>P17+P23</f>
        <v>3483.0979357500009</v>
      </c>
      <c r="R25" s="277">
        <f>R17+R23</f>
        <v>3037429.9600000004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/>
      <c r="J28" s="278"/>
      <c r="L28" s="278">
        <f>'Cap&amp;OpEx 2017'!C24</f>
        <v>194633.55000000002</v>
      </c>
      <c r="N28" s="278"/>
      <c r="P28" s="278"/>
      <c r="R28" s="278">
        <f>L28+F28</f>
        <v>194633.55000000002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/>
      <c r="J29" s="278"/>
      <c r="L29" s="278">
        <f>'Cap&amp;OpEx 2017'!C25</f>
        <v>26417.16</v>
      </c>
      <c r="N29" s="278"/>
      <c r="P29" s="278"/>
      <c r="R29" s="278">
        <f>L29+F29</f>
        <v>26417.16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8"/>
      <c r="J30" s="278"/>
      <c r="L30" s="278">
        <f>'Cap&amp;OpEx 2017'!C26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0</v>
      </c>
      <c r="J31" s="276">
        <f>SUM(J28:J30)</f>
        <v>0</v>
      </c>
      <c r="L31" s="276">
        <f>SUM(L28:L30)</f>
        <v>221050.71000000002</v>
      </c>
      <c r="N31" s="276">
        <f>SUM(N28:N30)</f>
        <v>0</v>
      </c>
      <c r="P31" s="276">
        <f>SUM(P28:P30)</f>
        <v>0</v>
      </c>
      <c r="R31" s="276">
        <f>SUM(R28:R30)</f>
        <v>221050.71000000002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6 of 12&amp;L&amp;1#&amp;"Calibri"&amp;14&amp;K000000Business Use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>
        <f>'201707 Bk Depr'!R13</f>
        <v>914714.83000000007</v>
      </c>
      <c r="H13" s="1">
        <f>1.62%/12</f>
        <v>1.3500000000000003E-3</v>
      </c>
      <c r="J13" s="278">
        <f>F13*H13</f>
        <v>1234.8650205000004</v>
      </c>
      <c r="L13" s="278">
        <f>'Cap&amp;OpEx 2017'!D10</f>
        <v>593930.80999999994</v>
      </c>
      <c r="N13" s="561">
        <f>5194.65-J13-'201707 Bk Depr'!P13</f>
        <v>3342.3524692499991</v>
      </c>
      <c r="P13" s="278">
        <f>J13+N13</f>
        <v>4577.217489749999</v>
      </c>
      <c r="R13" s="278">
        <f>L13+F13</f>
        <v>1508645.6400000001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>
        <f>'201707 Bk Depr'!R14</f>
        <v>213529.98999999996</v>
      </c>
      <c r="H14" s="1">
        <f>3.24%/12</f>
        <v>2.7000000000000006E-3</v>
      </c>
      <c r="J14" s="278">
        <f t="shared" ref="J14" si="0">F14*H14</f>
        <v>576.53097300000002</v>
      </c>
      <c r="L14" s="278">
        <f>'Cap&amp;OpEx 2017'!D12</f>
        <v>590202.24000000011</v>
      </c>
      <c r="N14" s="561">
        <f>36429.32-J14-P15-P16-SUM('201707 Bk Depr'!P14:P16)</f>
        <v>25022.428336999998</v>
      </c>
      <c r="P14" s="278">
        <f t="shared" ref="P14:P15" si="1">J14+N14</f>
        <v>25598.959309999998</v>
      </c>
      <c r="R14" s="278">
        <f t="shared" ref="R14" si="2">L14+F14</f>
        <v>803732.2300000001</v>
      </c>
    </row>
    <row r="15" spans="1:18">
      <c r="A15" s="6">
        <f t="shared" ref="A15:A17" si="3">A14+1</f>
        <v>3</v>
      </c>
      <c r="B15" s="4"/>
      <c r="C15" s="9" t="s">
        <v>63</v>
      </c>
      <c r="D15" s="6">
        <v>380</v>
      </c>
      <c r="F15" s="278">
        <f>'201707 Bk Depr'!R15</f>
        <v>1397473.08</v>
      </c>
      <c r="H15" s="1">
        <f t="shared" ref="H15:H16" si="4">3.24%/12</f>
        <v>2.7000000000000006E-3</v>
      </c>
      <c r="J15" s="278">
        <f>F15*H15</f>
        <v>3773.1773160000012</v>
      </c>
      <c r="L15" s="278">
        <f>'Cap&amp;OpEx 2017'!D13</f>
        <v>1524779.69</v>
      </c>
      <c r="N15" s="278">
        <f>H15*L15*0.5</f>
        <v>2058.4525815000002</v>
      </c>
      <c r="P15" s="278">
        <f t="shared" si="1"/>
        <v>5831.6298975000009</v>
      </c>
      <c r="R15" s="278">
        <f>L15+F15</f>
        <v>2922252.77</v>
      </c>
    </row>
    <row r="16" spans="1:18">
      <c r="A16" s="6">
        <f t="shared" si="3"/>
        <v>4</v>
      </c>
      <c r="B16" s="4"/>
      <c r="C16" s="4" t="s">
        <v>160</v>
      </c>
      <c r="D16" s="6">
        <v>380</v>
      </c>
      <c r="F16" s="278">
        <f>'201707 Bk Depr'!R16</f>
        <v>511712.06000000006</v>
      </c>
      <c r="H16" s="1">
        <f t="shared" si="4"/>
        <v>2.7000000000000006E-3</v>
      </c>
      <c r="J16" s="278">
        <f>F16*H16</f>
        <v>1381.6225620000005</v>
      </c>
      <c r="L16" s="278">
        <f>'Cap&amp;OpEx 2017'!D14</f>
        <v>556624.30000000005</v>
      </c>
      <c r="N16" s="278">
        <f>H16*L16*0.5</f>
        <v>751.44280500000025</v>
      </c>
      <c r="P16" s="278">
        <f>J16+N16</f>
        <v>2133.0653670000006</v>
      </c>
      <c r="R16" s="278">
        <f>L16+F16</f>
        <v>1068336.3600000001</v>
      </c>
    </row>
    <row r="17" spans="1:18">
      <c r="A17" s="6">
        <f t="shared" si="3"/>
        <v>5</v>
      </c>
      <c r="B17" s="4"/>
      <c r="C17" s="4" t="s">
        <v>21</v>
      </c>
      <c r="F17" s="276">
        <f>SUM(F13:F16)</f>
        <v>3037429.9600000004</v>
      </c>
      <c r="J17" s="276">
        <f>SUM(J13:J16)</f>
        <v>6966.1958715000019</v>
      </c>
      <c r="L17" s="276">
        <f>SUM(L13:L16)</f>
        <v>3265537.04</v>
      </c>
      <c r="N17" s="276">
        <f>SUM(N13:N16)</f>
        <v>31174.676192749997</v>
      </c>
      <c r="P17" s="276">
        <f>SUM(P13:P16)</f>
        <v>38140.872064250005</v>
      </c>
      <c r="R17" s="276">
        <f>SUM(R13:R16)</f>
        <v>6302967.0000000009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>
        <f>'201707 Bk Depr'!R20</f>
        <v>0</v>
      </c>
      <c r="H20" s="1">
        <f>1.62%/12</f>
        <v>1.3500000000000003E-3</v>
      </c>
      <c r="J20" s="278">
        <f>F20*H20</f>
        <v>0</v>
      </c>
      <c r="L20" s="278">
        <f>'Cap&amp;OpEx 2017'!D17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>
        <f>'201707 Bk Depr'!R21</f>
        <v>0</v>
      </c>
      <c r="H21" s="1">
        <f>3.24%/12</f>
        <v>2.7000000000000006E-3</v>
      </c>
      <c r="J21" s="278">
        <f>F21*H21</f>
        <v>0</v>
      </c>
      <c r="L21" s="278">
        <f>'Cap&amp;OpEx 2017'!D18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5">A21+1</f>
        <v>8</v>
      </c>
      <c r="B22" s="4"/>
      <c r="C22" s="9" t="s">
        <v>63</v>
      </c>
      <c r="D22" s="6">
        <v>380</v>
      </c>
      <c r="F22" s="278">
        <f>'201707 Bk Depr'!R22</f>
        <v>0</v>
      </c>
      <c r="H22" s="1">
        <f>3.24%/12</f>
        <v>2.7000000000000006E-3</v>
      </c>
      <c r="J22" s="278">
        <f>F22*H22</f>
        <v>0</v>
      </c>
      <c r="L22" s="278">
        <f>'Cap&amp;OpEx 2017'!D19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5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3037429.9600000004</v>
      </c>
      <c r="J25" s="277">
        <f>J17+J23</f>
        <v>6966.1958715000019</v>
      </c>
      <c r="L25" s="277">
        <f>L17+L23</f>
        <v>3265537.04</v>
      </c>
      <c r="N25" s="277">
        <f>N17+N23</f>
        <v>31174.676192749997</v>
      </c>
      <c r="P25" s="277">
        <f>P17+P23</f>
        <v>38140.872064250005</v>
      </c>
      <c r="R25" s="277">
        <f>R17+R23</f>
        <v>6302967.0000000009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>
        <f>'201707 Bk Depr'!R28</f>
        <v>194633.55000000002</v>
      </c>
      <c r="J28" s="278"/>
      <c r="L28" s="278">
        <f>'Cap&amp;OpEx 2017'!D24</f>
        <v>104604.53</v>
      </c>
      <c r="N28" s="278"/>
      <c r="P28" s="278"/>
      <c r="R28" s="278">
        <f>L28+F28</f>
        <v>299238.08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>
        <f>'201707 Bk Depr'!R29</f>
        <v>26417.16</v>
      </c>
      <c r="J29" s="278"/>
      <c r="L29" s="278">
        <f>'Cap&amp;OpEx 2017'!D25</f>
        <v>28945.41</v>
      </c>
      <c r="N29" s="278"/>
      <c r="P29" s="278"/>
      <c r="R29" s="278">
        <f>L29+F29</f>
        <v>55362.57</v>
      </c>
    </row>
    <row r="30" spans="1:18">
      <c r="A30" s="6">
        <f t="shared" ref="A30:A31" si="6">A29+1</f>
        <v>13</v>
      </c>
      <c r="B30" s="4"/>
      <c r="C30" s="9" t="s">
        <v>63</v>
      </c>
      <c r="D30" s="6">
        <v>380</v>
      </c>
      <c r="F30" s="278">
        <f>'201707 Bk Depr'!R30</f>
        <v>0</v>
      </c>
      <c r="J30" s="278"/>
      <c r="L30" s="278">
        <f>'Cap&amp;OpEx 2017'!D26</f>
        <v>0</v>
      </c>
      <c r="N30" s="278"/>
      <c r="P30" s="278"/>
      <c r="R30" s="278">
        <f>L30+F30</f>
        <v>0</v>
      </c>
    </row>
    <row r="31" spans="1:18">
      <c r="A31" s="6">
        <f t="shared" si="6"/>
        <v>14</v>
      </c>
      <c r="B31" s="4"/>
      <c r="C31" s="4" t="s">
        <v>23</v>
      </c>
      <c r="F31" s="276">
        <f>SUM(F28:F30)</f>
        <v>221050.71000000002</v>
      </c>
      <c r="J31" s="276">
        <f>SUM(J28:J30)</f>
        <v>0</v>
      </c>
      <c r="L31" s="276">
        <f>SUM(L28:L30)</f>
        <v>133549.94</v>
      </c>
      <c r="N31" s="276">
        <f>SUM(N28:N30)</f>
        <v>0</v>
      </c>
      <c r="P31" s="276">
        <f>SUM(P28:P30)</f>
        <v>0</v>
      </c>
      <c r="R31" s="276">
        <f>SUM(R28:R30)</f>
        <v>354600.65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7 of 12&amp;L&amp;1#&amp;"Calibri"&amp;14&amp;K000000Business Use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>
        <f>'201708 Bk Depr'!R13</f>
        <v>1508645.6400000001</v>
      </c>
      <c r="H13" s="1">
        <f>1.62%/12</f>
        <v>1.3500000000000003E-3</v>
      </c>
      <c r="J13" s="278">
        <f>F13*H13</f>
        <v>2036.6716140000005</v>
      </c>
      <c r="L13" s="278">
        <f>'Cap&amp;OpEx 2017'!E10</f>
        <v>1244436.9200000002</v>
      </c>
      <c r="N13" s="278">
        <f>H13*L13*0.5</f>
        <v>839.99492100000032</v>
      </c>
      <c r="P13" s="278">
        <f>J13+N13</f>
        <v>2876.6665350000007</v>
      </c>
      <c r="R13" s="278">
        <f>L13+F13</f>
        <v>2753082.5600000005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>
        <f>'201708 Bk Depr'!R14</f>
        <v>803732.2300000001</v>
      </c>
      <c r="H14" s="1">
        <f>3.24%/12</f>
        <v>2.7000000000000006E-3</v>
      </c>
      <c r="J14" s="278">
        <f t="shared" ref="J14" si="0">F14*H14</f>
        <v>2170.0770210000005</v>
      </c>
      <c r="L14" s="278">
        <f>'Cap&amp;OpEx 2017'!E12</f>
        <v>177970.46999999994</v>
      </c>
      <c r="N14" s="278">
        <f t="shared" ref="N14" si="1">H14*L14*0.5</f>
        <v>240.26013449999996</v>
      </c>
      <c r="P14" s="278">
        <f t="shared" ref="P14" si="2">J14+N14</f>
        <v>2410.3371555000003</v>
      </c>
      <c r="R14" s="278">
        <f t="shared" ref="R14" si="3">L14+F14</f>
        <v>981702.70000000007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278">
        <f>'201708 Bk Depr'!R15</f>
        <v>2922252.77</v>
      </c>
      <c r="H15" s="1">
        <f t="shared" ref="H15:H16" si="5">3.24%/12</f>
        <v>2.7000000000000006E-3</v>
      </c>
      <c r="J15" s="278">
        <f>F15*H15</f>
        <v>7890.0824790000015</v>
      </c>
      <c r="L15" s="278">
        <f>'Cap&amp;OpEx 2017'!E13</f>
        <v>1152787.42</v>
      </c>
      <c r="N15" s="278">
        <f>H15*L15*0.5</f>
        <v>1556.2630170000002</v>
      </c>
      <c r="P15" s="278">
        <f>J15+N15</f>
        <v>9446.3454960000017</v>
      </c>
      <c r="R15" s="278">
        <f>L15+F15</f>
        <v>4075040.19</v>
      </c>
    </row>
    <row r="16" spans="1:18">
      <c r="A16" s="6">
        <f t="shared" si="4"/>
        <v>4</v>
      </c>
      <c r="B16" s="4"/>
      <c r="C16" s="4" t="s">
        <v>160</v>
      </c>
      <c r="D16" s="6">
        <v>380</v>
      </c>
      <c r="F16" s="278">
        <f>'201708 Bk Depr'!R16</f>
        <v>1068336.3600000001</v>
      </c>
      <c r="H16" s="1">
        <f t="shared" si="5"/>
        <v>2.7000000000000006E-3</v>
      </c>
      <c r="J16" s="278">
        <f>F16*H16</f>
        <v>2884.5081720000007</v>
      </c>
      <c r="L16" s="278">
        <f>'Cap&amp;OpEx 2017'!E14</f>
        <v>581759.54999999993</v>
      </c>
      <c r="N16" s="278">
        <f>H16*L16*0.5</f>
        <v>785.37539250000009</v>
      </c>
      <c r="P16" s="278">
        <f>J16+N16</f>
        <v>3669.8835645000008</v>
      </c>
      <c r="R16" s="278">
        <f>L16+F16</f>
        <v>1650095.9100000001</v>
      </c>
    </row>
    <row r="17" spans="1:18">
      <c r="A17" s="6">
        <f t="shared" si="4"/>
        <v>5</v>
      </c>
      <c r="B17" s="4"/>
      <c r="C17" s="4" t="s">
        <v>21</v>
      </c>
      <c r="F17" s="276">
        <f>SUM(F13:F16)</f>
        <v>6302967.0000000009</v>
      </c>
      <c r="J17" s="276">
        <f>SUM(J13:J16)</f>
        <v>14981.339286000002</v>
      </c>
      <c r="L17" s="276">
        <f>SUM(L13:L16)</f>
        <v>3156954.36</v>
      </c>
      <c r="N17" s="276">
        <f>SUM(N13:N16)</f>
        <v>3421.8934650000006</v>
      </c>
      <c r="P17" s="276">
        <f>SUM(P13:P16)</f>
        <v>18403.232751000003</v>
      </c>
      <c r="R17" s="276">
        <f>SUM(R13:R16)</f>
        <v>9459921.3600000013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>
        <f>'201708 Bk Depr'!R20</f>
        <v>0</v>
      </c>
      <c r="H20" s="1">
        <f>1.62%/12</f>
        <v>1.3500000000000003E-3</v>
      </c>
      <c r="J20" s="278">
        <f>F20*H20</f>
        <v>0</v>
      </c>
      <c r="L20" s="278">
        <f>'Cap&amp;OpEx 2017'!E17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>
        <f>'201708 Bk Depr'!R21</f>
        <v>0</v>
      </c>
      <c r="H21" s="1">
        <f>3.24%/12</f>
        <v>2.7000000000000006E-3</v>
      </c>
      <c r="J21" s="278">
        <f t="shared" ref="J21" si="6">F21*H21</f>
        <v>0</v>
      </c>
      <c r="L21" s="278">
        <f>'Cap&amp;OpEx 2017'!E19</f>
        <v>0</v>
      </c>
      <c r="N21" s="278">
        <f t="shared" ref="N21" si="7">H21*L21*0.5</f>
        <v>0</v>
      </c>
      <c r="P21" s="278">
        <f t="shared" ref="P21" si="8">J21+N21</f>
        <v>0</v>
      </c>
      <c r="R21" s="278">
        <f t="shared" ref="R21" si="9">L21+F21</f>
        <v>0</v>
      </c>
    </row>
    <row r="22" spans="1:18">
      <c r="A22" s="6">
        <f t="shared" ref="A22:A23" si="10">A21+1</f>
        <v>8</v>
      </c>
      <c r="B22" s="4"/>
      <c r="C22" s="9" t="s">
        <v>63</v>
      </c>
      <c r="D22" s="6">
        <v>380</v>
      </c>
      <c r="F22" s="278">
        <f>'201708 Bk Depr'!R22</f>
        <v>0</v>
      </c>
      <c r="H22" s="1">
        <f>3.24%/12</f>
        <v>2.7000000000000006E-3</v>
      </c>
      <c r="J22" s="278">
        <f>F22*H22</f>
        <v>0</v>
      </c>
      <c r="L22" s="278">
        <f>'Cap&amp;OpEx 2017'!E19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10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6302967.0000000009</v>
      </c>
      <c r="J25" s="277">
        <f>J17+J23</f>
        <v>14981.339286000002</v>
      </c>
      <c r="L25" s="277">
        <f>L17+L23</f>
        <v>3156954.36</v>
      </c>
      <c r="N25" s="277">
        <f>N17+N23</f>
        <v>3421.8934650000006</v>
      </c>
      <c r="P25" s="277">
        <f>P17+P23</f>
        <v>18403.232751000003</v>
      </c>
      <c r="R25" s="277">
        <f>R17+R23</f>
        <v>9459921.3600000013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>
        <f>'201708 Bk Depr'!R28</f>
        <v>299238.08</v>
      </c>
      <c r="J28" s="278"/>
      <c r="L28" s="278">
        <f>'Cap&amp;OpEx 2017'!E24</f>
        <v>123629.18</v>
      </c>
      <c r="N28" s="278"/>
      <c r="P28" s="278"/>
      <c r="R28" s="278">
        <f>L28+F28</f>
        <v>422867.26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>
        <f>'201708 Bk Depr'!R29</f>
        <v>55362.57</v>
      </c>
      <c r="J29" s="278"/>
      <c r="L29" s="278">
        <f>'Cap&amp;OpEx 2017'!E25</f>
        <v>24037.84</v>
      </c>
      <c r="N29" s="278"/>
      <c r="P29" s="278"/>
      <c r="R29" s="278">
        <f>L29+F29</f>
        <v>79400.41</v>
      </c>
    </row>
    <row r="30" spans="1:18">
      <c r="A30" s="6">
        <f t="shared" ref="A30:A31" si="11">A29+1</f>
        <v>13</v>
      </c>
      <c r="B30" s="4"/>
      <c r="C30" s="9" t="s">
        <v>63</v>
      </c>
      <c r="D30" s="6">
        <v>380</v>
      </c>
      <c r="F30" s="278">
        <f>'201708 Bk Depr'!R30</f>
        <v>0</v>
      </c>
      <c r="J30" s="278"/>
      <c r="L30" s="278">
        <f>'Cap&amp;OpEx 2017'!E26</f>
        <v>0</v>
      </c>
      <c r="N30" s="278"/>
      <c r="P30" s="278"/>
      <c r="R30" s="278">
        <f>L30+F30</f>
        <v>0</v>
      </c>
    </row>
    <row r="31" spans="1:18">
      <c r="A31" s="6">
        <f t="shared" si="11"/>
        <v>14</v>
      </c>
      <c r="B31" s="4"/>
      <c r="C31" s="4" t="s">
        <v>23</v>
      </c>
      <c r="F31" s="276">
        <f>SUM(F28:F30)</f>
        <v>354600.65</v>
      </c>
      <c r="J31" s="276">
        <f>SUM(J28:J30)</f>
        <v>0</v>
      </c>
      <c r="L31" s="276">
        <f>SUM(L28:L30)</f>
        <v>147667.01999999999</v>
      </c>
      <c r="N31" s="276">
        <f>SUM(N28:N30)</f>
        <v>0</v>
      </c>
      <c r="P31" s="276">
        <f>SUM(P28:P30)</f>
        <v>0</v>
      </c>
      <c r="R31" s="276">
        <f>SUM(R28:R30)</f>
        <v>502267.67000000004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8 of 12&amp;L&amp;1#&amp;"Calibri"&amp;14&amp;K000000Business Use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>
        <f>'201709 Bk Depr'!R13</f>
        <v>2753082.5600000005</v>
      </c>
      <c r="H13" s="1">
        <f>1.62%/12</f>
        <v>1.3500000000000003E-3</v>
      </c>
      <c r="J13" s="278">
        <f>F13*H13</f>
        <v>3716.6614560000016</v>
      </c>
      <c r="L13" s="278">
        <f>'Cap&amp;OpEx 2017'!F10</f>
        <v>1431438.0699999998</v>
      </c>
      <c r="N13" s="278">
        <f>H13*L13*0.5</f>
        <v>966.22069725000006</v>
      </c>
      <c r="P13" s="278">
        <f>J13+N13</f>
        <v>4682.8821532500015</v>
      </c>
      <c r="R13" s="278">
        <f>L13+F13</f>
        <v>4184520.6300000004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>
        <f>'201709 Bk Depr'!R14</f>
        <v>981702.70000000007</v>
      </c>
      <c r="H14" s="1">
        <f>3.24%/12</f>
        <v>2.7000000000000006E-3</v>
      </c>
      <c r="J14" s="278">
        <f t="shared" ref="J14" si="0">F14*H14</f>
        <v>2650.5972900000006</v>
      </c>
      <c r="L14" s="278">
        <f>'Cap&amp;OpEx 2017'!F12</f>
        <v>206751.37</v>
      </c>
      <c r="N14" s="278">
        <f t="shared" ref="N14" si="1">H14*L14*0.5</f>
        <v>279.11434950000006</v>
      </c>
      <c r="P14" s="278">
        <f t="shared" ref="P14" si="2">J14+N14</f>
        <v>2929.7116395000007</v>
      </c>
      <c r="R14" s="278">
        <f t="shared" ref="R14" si="3">L14+F14</f>
        <v>1188454.07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278">
        <f>'201709 Bk Depr'!R15</f>
        <v>4075040.19</v>
      </c>
      <c r="H15" s="1">
        <f t="shared" ref="H15:H16" si="5">3.24%/12</f>
        <v>2.7000000000000006E-3</v>
      </c>
      <c r="J15" s="278">
        <f>F15*H15</f>
        <v>11002.608513000003</v>
      </c>
      <c r="L15" s="278">
        <f>'Cap&amp;OpEx 2017'!F13</f>
        <v>1487575.2799999998</v>
      </c>
      <c r="N15" s="278">
        <f>H15*L15*0.5</f>
        <v>2008.2266280000001</v>
      </c>
      <c r="P15" s="278">
        <f>J15+N15</f>
        <v>13010.835141000003</v>
      </c>
      <c r="R15" s="278">
        <f>L15+F15</f>
        <v>5562615.4699999997</v>
      </c>
    </row>
    <row r="16" spans="1:18">
      <c r="A16" s="6">
        <f t="shared" si="4"/>
        <v>4</v>
      </c>
      <c r="B16" s="4"/>
      <c r="C16" s="4" t="s">
        <v>160</v>
      </c>
      <c r="D16" s="6">
        <v>380</v>
      </c>
      <c r="F16" s="278">
        <f>'201709 Bk Depr'!R16</f>
        <v>1650095.9100000001</v>
      </c>
      <c r="H16" s="1">
        <f t="shared" si="5"/>
        <v>2.7000000000000006E-3</v>
      </c>
      <c r="J16" s="278">
        <f>F16*H16</f>
        <v>4455.2589570000009</v>
      </c>
      <c r="L16" s="278">
        <f>'Cap&amp;OpEx 2017'!F14</f>
        <v>774089.49000000011</v>
      </c>
      <c r="N16" s="278">
        <f>H16*L16*0.5</f>
        <v>1045.0208115000003</v>
      </c>
      <c r="P16" s="278">
        <f>J16+N16</f>
        <v>5500.2797685000014</v>
      </c>
      <c r="R16" s="278">
        <f>L16+F16</f>
        <v>2424185.4000000004</v>
      </c>
    </row>
    <row r="17" spans="1:18">
      <c r="A17" s="6">
        <f t="shared" si="4"/>
        <v>5</v>
      </c>
      <c r="B17" s="4"/>
      <c r="C17" s="4" t="s">
        <v>21</v>
      </c>
      <c r="F17" s="276">
        <f>SUM(F13:F16)</f>
        <v>9459921.3600000013</v>
      </c>
      <c r="J17" s="276">
        <f>SUM(J13:J16)</f>
        <v>21825.126216000008</v>
      </c>
      <c r="L17" s="276">
        <f>SUM(L13:L16)</f>
        <v>3899854.21</v>
      </c>
      <c r="N17" s="276">
        <f>SUM(N13:N16)</f>
        <v>4298.5824862500003</v>
      </c>
      <c r="P17" s="276">
        <f>SUM(P13:P16)</f>
        <v>26123.708702250005</v>
      </c>
      <c r="R17" s="276">
        <f>SUM(R13:R16)</f>
        <v>13359775.57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>
        <f>'201709 Bk Depr'!R20</f>
        <v>0</v>
      </c>
      <c r="H20" s="1">
        <f>1.62%/12</f>
        <v>1.3500000000000003E-3</v>
      </c>
      <c r="J20" s="278">
        <f>F20*H20</f>
        <v>0</v>
      </c>
      <c r="L20" s="278">
        <f>'Cap&amp;OpEx 2017'!F17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>
        <f>'201709 Bk Depr'!R21</f>
        <v>0</v>
      </c>
      <c r="H21" s="1">
        <f>3.24%/12</f>
        <v>2.7000000000000006E-3</v>
      </c>
      <c r="J21" s="278">
        <f>F21*H21</f>
        <v>0</v>
      </c>
      <c r="L21" s="278">
        <f>'Cap&amp;OpEx 2017'!F18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278">
        <f>'201709 Bk Depr'!R22</f>
        <v>0</v>
      </c>
      <c r="H22" s="1">
        <f>3.24%/12</f>
        <v>2.7000000000000006E-3</v>
      </c>
      <c r="J22" s="278">
        <f>F22*H22</f>
        <v>0</v>
      </c>
      <c r="L22" s="278">
        <f>'Cap&amp;OpEx 2017'!F19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6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9459921.3600000013</v>
      </c>
      <c r="J25" s="277">
        <f>J17+J23</f>
        <v>21825.126216000008</v>
      </c>
      <c r="L25" s="277">
        <f>L17+L23</f>
        <v>3899854.21</v>
      </c>
      <c r="N25" s="277">
        <f>N17+N23</f>
        <v>4298.5824862500003</v>
      </c>
      <c r="P25" s="277">
        <f>P17+P23</f>
        <v>26123.708702250005</v>
      </c>
      <c r="R25" s="277">
        <f>R17+R23</f>
        <v>13359775.57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>
        <f>'201709 Bk Depr'!R28</f>
        <v>422867.26</v>
      </c>
      <c r="J28" s="278"/>
      <c r="L28" s="278">
        <f>'Cap&amp;OpEx 2017'!F24</f>
        <v>369707.5</v>
      </c>
      <c r="N28" s="278"/>
      <c r="P28" s="278"/>
      <c r="R28" s="278">
        <f>L28+F28</f>
        <v>792574.76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>
        <f>'201709 Bk Depr'!R29</f>
        <v>79400.41</v>
      </c>
      <c r="J29" s="278"/>
      <c r="L29" s="278">
        <f>'Cap&amp;OpEx 2017'!F25</f>
        <v>31446.28</v>
      </c>
      <c r="N29" s="278"/>
      <c r="P29" s="278"/>
      <c r="R29" s="278">
        <f>L29+F29</f>
        <v>110846.69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278">
        <f>'201709 Bk Depr'!R30</f>
        <v>0</v>
      </c>
      <c r="J30" s="278"/>
      <c r="L30" s="278">
        <f>'Cap&amp;OpEx 2017'!F26</f>
        <v>0</v>
      </c>
      <c r="N30" s="278"/>
      <c r="P30" s="278"/>
      <c r="R30" s="278">
        <f>L30+F30</f>
        <v>0</v>
      </c>
    </row>
    <row r="31" spans="1:18">
      <c r="A31" s="6">
        <f t="shared" si="7"/>
        <v>14</v>
      </c>
      <c r="B31" s="4"/>
      <c r="C31" s="4" t="s">
        <v>23</v>
      </c>
      <c r="F31" s="276">
        <f>SUM(F28:F30)</f>
        <v>502267.67000000004</v>
      </c>
      <c r="J31" s="276">
        <f>SUM(J28:J30)</f>
        <v>0</v>
      </c>
      <c r="L31" s="276">
        <f>SUM(L28:L30)</f>
        <v>401153.78</v>
      </c>
      <c r="N31" s="276">
        <f>SUM(N28:N30)</f>
        <v>0</v>
      </c>
      <c r="P31" s="276">
        <f>SUM(P28:P30)</f>
        <v>0</v>
      </c>
      <c r="R31" s="276">
        <f>SUM(R28:R30)</f>
        <v>903421.45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9 of 12&amp;L&amp;1#&amp;"Calibri"&amp;14&amp;K000000Business Use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224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>
        <f>'201710 Bk Depr'!R13</f>
        <v>4184520.6300000004</v>
      </c>
      <c r="H13" s="1">
        <f>1.62%/12</f>
        <v>1.3500000000000003E-3</v>
      </c>
      <c r="J13" s="278">
        <f>F13*H13</f>
        <v>5649.1028505000013</v>
      </c>
      <c r="L13" s="278">
        <f>'Cap&amp;OpEx 2017'!G10</f>
        <v>701917.45000000019</v>
      </c>
      <c r="N13" s="278">
        <f>H13*L13*0.5</f>
        <v>473.79427875000022</v>
      </c>
      <c r="P13" s="278">
        <f>J13+N13</f>
        <v>6122.8971292500019</v>
      </c>
      <c r="R13" s="278">
        <f>L13+F13</f>
        <v>4886438.08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>
        <f>'201710 Bk Depr'!R14</f>
        <v>1188454.07</v>
      </c>
      <c r="H14" s="1">
        <f>3.24%/12</f>
        <v>2.7000000000000006E-3</v>
      </c>
      <c r="J14" s="278">
        <f t="shared" ref="J14" si="0">F14*H14</f>
        <v>3208.8259890000008</v>
      </c>
      <c r="L14" s="278">
        <f>'Cap&amp;OpEx 2017'!G12</f>
        <v>135116.30000000005</v>
      </c>
      <c r="N14" s="278">
        <f t="shared" ref="N14" si="1">H14*L14*0.5</f>
        <v>182.40700500000011</v>
      </c>
      <c r="P14" s="278">
        <f t="shared" ref="P14" si="2">J14+N14</f>
        <v>3391.2329940000009</v>
      </c>
      <c r="R14" s="278">
        <f t="shared" ref="R14" si="3">L14+F14</f>
        <v>1323570.3700000001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278">
        <f>'201710 Bk Depr'!R15</f>
        <v>5562615.4699999997</v>
      </c>
      <c r="H15" s="1">
        <f t="shared" ref="H15:H16" si="5">3.24%/12</f>
        <v>2.7000000000000006E-3</v>
      </c>
      <c r="J15" s="278">
        <f>F15*H15</f>
        <v>15019.061769000002</v>
      </c>
      <c r="L15" s="278">
        <f>'Cap&amp;OpEx 2017'!G13</f>
        <v>1174067.3700000001</v>
      </c>
      <c r="N15" s="278">
        <f>H15*L15*0.5</f>
        <v>1584.9909495000004</v>
      </c>
      <c r="P15" s="278">
        <f>J15+N15</f>
        <v>16604.052718500003</v>
      </c>
      <c r="R15" s="278">
        <f>L15+F15</f>
        <v>6736682.8399999999</v>
      </c>
    </row>
    <row r="16" spans="1:18">
      <c r="A16" s="6">
        <f t="shared" si="4"/>
        <v>4</v>
      </c>
      <c r="B16" s="4"/>
      <c r="C16" s="4" t="s">
        <v>160</v>
      </c>
      <c r="D16" s="6">
        <v>380</v>
      </c>
      <c r="F16" s="278">
        <f>'201710 Bk Depr'!R16</f>
        <v>2424185.4000000004</v>
      </c>
      <c r="H16" s="1">
        <f t="shared" si="5"/>
        <v>2.7000000000000006E-3</v>
      </c>
      <c r="J16" s="278">
        <f>F16*H16</f>
        <v>6545.3005800000028</v>
      </c>
      <c r="L16" s="278">
        <f>'Cap&amp;OpEx 2017'!G14</f>
        <v>639392.29999999981</v>
      </c>
      <c r="N16" s="278">
        <f>H16*L16*0.5</f>
        <v>863.17960499999992</v>
      </c>
      <c r="P16" s="278">
        <f>J16+N16</f>
        <v>7408.4801850000031</v>
      </c>
      <c r="R16" s="278">
        <f>L16+F16</f>
        <v>3063577.7</v>
      </c>
    </row>
    <row r="17" spans="1:18">
      <c r="A17" s="6">
        <f t="shared" si="4"/>
        <v>5</v>
      </c>
      <c r="B17" s="4"/>
      <c r="C17" s="4" t="s">
        <v>21</v>
      </c>
      <c r="F17" s="276">
        <f>SUM(F13:F16)</f>
        <v>13359775.57</v>
      </c>
      <c r="J17" s="276">
        <f>SUM(J13:J16)</f>
        <v>30422.291188500007</v>
      </c>
      <c r="L17" s="276">
        <f>SUM(L13:L16)</f>
        <v>2650493.42</v>
      </c>
      <c r="N17" s="276">
        <f>SUM(N13:N16)</f>
        <v>3104.3718382500006</v>
      </c>
      <c r="P17" s="276">
        <f>SUM(P13:P16)</f>
        <v>33526.663026750008</v>
      </c>
      <c r="R17" s="276">
        <f>SUM(R13:R16)</f>
        <v>16010268.989999998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>
        <f>'201710 Bk Depr'!R20</f>
        <v>0</v>
      </c>
      <c r="H20" s="1">
        <f>1.62%/12</f>
        <v>1.3500000000000003E-3</v>
      </c>
      <c r="J20" s="278">
        <f>F20*H20</f>
        <v>0</v>
      </c>
      <c r="L20" s="278">
        <f>'Cap&amp;OpEx 2017'!G17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>
        <f>'201710 Bk Depr'!R21</f>
        <v>0</v>
      </c>
      <c r="H21" s="1">
        <f>3.24%/12</f>
        <v>2.7000000000000006E-3</v>
      </c>
      <c r="J21" s="278">
        <f t="shared" ref="J21" si="6">F21*H21</f>
        <v>0</v>
      </c>
      <c r="L21" s="278">
        <f>'Cap&amp;OpEx 2017'!G19</f>
        <v>0</v>
      </c>
      <c r="N21" s="278">
        <f t="shared" ref="N21" si="7">H21*L21*0.5</f>
        <v>0</v>
      </c>
      <c r="P21" s="278">
        <f t="shared" ref="P21" si="8">J21+N21</f>
        <v>0</v>
      </c>
      <c r="R21" s="278">
        <f t="shared" ref="R21" si="9">L21+F21</f>
        <v>0</v>
      </c>
    </row>
    <row r="22" spans="1:18">
      <c r="A22" s="6">
        <f t="shared" ref="A22:A23" si="10">A21+1</f>
        <v>8</v>
      </c>
      <c r="B22" s="4"/>
      <c r="C22" s="9" t="s">
        <v>63</v>
      </c>
      <c r="D22" s="6">
        <v>380</v>
      </c>
      <c r="F22" s="278">
        <f>'201710 Bk Depr'!R22</f>
        <v>0</v>
      </c>
      <c r="H22" s="1">
        <f>3.24%/12</f>
        <v>2.7000000000000006E-3</v>
      </c>
      <c r="J22" s="278">
        <f>F22*H22</f>
        <v>0</v>
      </c>
      <c r="L22" s="278">
        <f>'Cap&amp;OpEx 2017'!G19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10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13359775.57</v>
      </c>
      <c r="J25" s="277">
        <f>J17+J23</f>
        <v>30422.291188500007</v>
      </c>
      <c r="L25" s="277">
        <f>L17+L23</f>
        <v>2650493.42</v>
      </c>
      <c r="N25" s="277">
        <f>N17+N23</f>
        <v>3104.3718382500006</v>
      </c>
      <c r="P25" s="277">
        <f>P17+P23</f>
        <v>33526.663026750008</v>
      </c>
      <c r="R25" s="277">
        <f>R17+R23</f>
        <v>16010268.989999998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>
        <f>'201710 Bk Depr'!R28</f>
        <v>792574.76</v>
      </c>
      <c r="J28" s="278"/>
      <c r="L28" s="278">
        <f>'Cap&amp;OpEx 2017'!G24</f>
        <v>250260.92000000004</v>
      </c>
      <c r="N28" s="278"/>
      <c r="P28" s="278"/>
      <c r="R28" s="278">
        <f>L28+F28</f>
        <v>1042835.68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>
        <f>'201710 Bk Depr'!R29</f>
        <v>110846.69</v>
      </c>
      <c r="J29" s="278"/>
      <c r="L29" s="278">
        <f>'Cap&amp;OpEx 2017'!G25</f>
        <v>38800.33</v>
      </c>
      <c r="N29" s="278"/>
      <c r="P29" s="278"/>
      <c r="R29" s="278">
        <f>L29+F29</f>
        <v>149647.02000000002</v>
      </c>
    </row>
    <row r="30" spans="1:18">
      <c r="A30" s="6">
        <f t="shared" ref="A30:A31" si="11">A29+1</f>
        <v>13</v>
      </c>
      <c r="B30" s="4"/>
      <c r="C30" s="9" t="s">
        <v>63</v>
      </c>
      <c r="D30" s="6">
        <v>380</v>
      </c>
      <c r="F30" s="278">
        <f>'201710 Bk Depr'!R30</f>
        <v>0</v>
      </c>
      <c r="J30" s="278"/>
      <c r="L30" s="278">
        <f>'Cap&amp;OpEx 2017'!G26</f>
        <v>0</v>
      </c>
      <c r="N30" s="278"/>
      <c r="P30" s="278"/>
      <c r="R30" s="278">
        <f>L30+F30</f>
        <v>0</v>
      </c>
    </row>
    <row r="31" spans="1:18">
      <c r="A31" s="6">
        <f t="shared" si="11"/>
        <v>14</v>
      </c>
      <c r="B31" s="4"/>
      <c r="C31" s="4" t="s">
        <v>23</v>
      </c>
      <c r="F31" s="276">
        <f>SUM(F28:F30)</f>
        <v>903421.45</v>
      </c>
      <c r="J31" s="276">
        <f>SUM(J28:J30)</f>
        <v>0</v>
      </c>
      <c r="L31" s="276">
        <f>SUM(L28:L30)</f>
        <v>289061.25000000006</v>
      </c>
      <c r="N31" s="276">
        <f>SUM(N28:N30)</f>
        <v>0</v>
      </c>
      <c r="P31" s="276">
        <f>SUM(P28:P30)</f>
        <v>0</v>
      </c>
      <c r="R31" s="276">
        <f>SUM(R28:R30)</f>
        <v>1192482.7000000002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10 of 12&amp;L&amp;1#&amp;"Calibri"&amp;14&amp;K000000Business Use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8">
        <f>'201711 Bk Depr'!R13</f>
        <v>4886438.08</v>
      </c>
      <c r="H13" s="1">
        <f>1.62%/12</f>
        <v>1.3500000000000003E-3</v>
      </c>
      <c r="J13" s="278">
        <f>F13*H13</f>
        <v>6596.6914080000015</v>
      </c>
      <c r="L13" s="278">
        <f>'Cap&amp;OpEx 2017'!H10</f>
        <v>267001.29999999993</v>
      </c>
      <c r="N13" s="278">
        <f>H13*L13*0.5</f>
        <v>180.2258775</v>
      </c>
      <c r="P13" s="278">
        <f>J13+N13</f>
        <v>6776.9172855000015</v>
      </c>
      <c r="R13" s="278">
        <f>L13+F13</f>
        <v>5153439.38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278">
        <f>'201711 Bk Depr'!R14</f>
        <v>1323570.3700000001</v>
      </c>
      <c r="H14" s="1">
        <f>3.24%/12</f>
        <v>2.7000000000000006E-3</v>
      </c>
      <c r="J14" s="278">
        <f>F14*H14</f>
        <v>3573.6399990000009</v>
      </c>
      <c r="L14" s="278">
        <f>'Cap&amp;OpEx 2017'!H12</f>
        <v>293579.44999999995</v>
      </c>
      <c r="N14" s="278">
        <f>H14*L14*0.5</f>
        <v>396.33225750000003</v>
      </c>
      <c r="P14" s="278">
        <f>J14+N14</f>
        <v>3969.9722565000011</v>
      </c>
      <c r="R14" s="278">
        <f>L14+F14</f>
        <v>1617149.82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278">
        <f>'201711 Bk Depr'!R15</f>
        <v>6736682.8399999999</v>
      </c>
      <c r="H15" s="1">
        <f t="shared" ref="H15:H16" si="1">3.24%/12</f>
        <v>2.7000000000000006E-3</v>
      </c>
      <c r="J15" s="278">
        <f>F15*H15</f>
        <v>18189.043668000002</v>
      </c>
      <c r="L15" s="278">
        <f>'Cap&amp;OpEx 2017'!H13</f>
        <v>367164.8900000006</v>
      </c>
      <c r="N15" s="278">
        <f>H15*L15*0.5</f>
        <v>495.67260150000089</v>
      </c>
      <c r="P15" s="278">
        <f>J15+N15</f>
        <v>18684.716269500004</v>
      </c>
      <c r="R15" s="278">
        <f>L15+F15</f>
        <v>7103847.7300000004</v>
      </c>
    </row>
    <row r="16" spans="1:18">
      <c r="A16" s="6">
        <f t="shared" si="0"/>
        <v>4</v>
      </c>
      <c r="B16" s="4"/>
      <c r="C16" s="4" t="s">
        <v>160</v>
      </c>
      <c r="D16" s="6">
        <v>380</v>
      </c>
      <c r="F16" s="278">
        <f>'201711 Bk Depr'!R16</f>
        <v>3063577.7</v>
      </c>
      <c r="H16" s="1">
        <f t="shared" si="1"/>
        <v>2.7000000000000006E-3</v>
      </c>
      <c r="J16" s="278">
        <f>F16*H16</f>
        <v>8271.6597900000015</v>
      </c>
      <c r="L16" s="278">
        <f>'Cap&amp;OpEx 2017'!H14</f>
        <v>743965.23999999987</v>
      </c>
      <c r="N16" s="278">
        <f>H16*L16*0.5</f>
        <v>1004.353074</v>
      </c>
      <c r="P16" s="278">
        <f>J16+N16</f>
        <v>9276.0128640000021</v>
      </c>
      <c r="R16" s="278">
        <f>L16+F16</f>
        <v>3807542.94</v>
      </c>
    </row>
    <row r="17" spans="1:18">
      <c r="A17" s="6">
        <f t="shared" si="0"/>
        <v>5</v>
      </c>
      <c r="B17" s="4"/>
      <c r="C17" s="4" t="s">
        <v>21</v>
      </c>
      <c r="F17" s="276">
        <f>SUM(F13:F16)</f>
        <v>16010268.989999998</v>
      </c>
      <c r="J17" s="276">
        <f>SUM(J13:J16)</f>
        <v>36631.034865000009</v>
      </c>
      <c r="L17" s="276">
        <f>SUM(L13:L16)</f>
        <v>1671710.8800000004</v>
      </c>
      <c r="N17" s="276">
        <f>SUM(N13:N16)</f>
        <v>2076.5838105000007</v>
      </c>
      <c r="P17" s="276">
        <f>SUM(P13:P16)</f>
        <v>38707.618675500009</v>
      </c>
      <c r="R17" s="276">
        <f>SUM(R13:R16)</f>
        <v>17681979.870000001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413</v>
      </c>
      <c r="D20" s="6">
        <v>376</v>
      </c>
      <c r="F20" s="278">
        <f>'201711 Bk Depr'!R20</f>
        <v>0</v>
      </c>
      <c r="H20" s="1">
        <f>1.62%/12</f>
        <v>1.3500000000000003E-3</v>
      </c>
      <c r="J20" s="278">
        <f>F20*H20</f>
        <v>0</v>
      </c>
      <c r="L20" s="278">
        <f>'Cap&amp;OpEx 2017'!H17</f>
        <v>0</v>
      </c>
      <c r="N20" s="278">
        <f>H20*L20*0.5</f>
        <v>0</v>
      </c>
      <c r="P20" s="278">
        <f>J20+N20</f>
        <v>0</v>
      </c>
      <c r="R20" s="27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278">
        <f>'201711 Bk Depr'!R21</f>
        <v>0</v>
      </c>
      <c r="H21" s="1">
        <f>3.24%/12</f>
        <v>2.7000000000000006E-3</v>
      </c>
      <c r="J21" s="278">
        <f>F21*H21</f>
        <v>0</v>
      </c>
      <c r="L21" s="278">
        <f>'Cap&amp;OpEx 2017'!H18</f>
        <v>0</v>
      </c>
      <c r="N21" s="278">
        <f>H21*L21*0.5</f>
        <v>0</v>
      </c>
      <c r="P21" s="278">
        <f>J21+N21</f>
        <v>0</v>
      </c>
      <c r="R21" s="27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278">
        <f>'201711 Bk Depr'!R22</f>
        <v>0</v>
      </c>
      <c r="H22" s="1">
        <f>3.24%/12</f>
        <v>2.7000000000000006E-3</v>
      </c>
      <c r="J22" s="278">
        <f>F22*H22</f>
        <v>0</v>
      </c>
      <c r="L22" s="278">
        <f>'Cap&amp;OpEx 2017'!H19</f>
        <v>0</v>
      </c>
      <c r="N22" s="278">
        <f>H22*L22*0.5</f>
        <v>0</v>
      </c>
      <c r="P22" s="278">
        <f>J22+N22</f>
        <v>0</v>
      </c>
      <c r="R22" s="27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276">
        <f>SUM(F20:F22)</f>
        <v>0</v>
      </c>
      <c r="J23" s="276">
        <f>SUM(J20:J22)</f>
        <v>0</v>
      </c>
      <c r="L23" s="276">
        <f>SUM(L20:L22)</f>
        <v>0</v>
      </c>
      <c r="N23" s="276">
        <f>SUM(N20:N22)</f>
        <v>0</v>
      </c>
      <c r="P23" s="276">
        <f>SUM(P20:P22)</f>
        <v>0</v>
      </c>
      <c r="R23" s="27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277">
        <f>F17+F23</f>
        <v>16010268.989999998</v>
      </c>
      <c r="J25" s="277">
        <f>J17+J23</f>
        <v>36631.034865000009</v>
      </c>
      <c r="L25" s="277">
        <f>L17+L23</f>
        <v>1671710.8800000004</v>
      </c>
      <c r="N25" s="277">
        <f>N17+N23</f>
        <v>2076.5838105000007</v>
      </c>
      <c r="P25" s="277">
        <f>P17+P23</f>
        <v>38707.618675500009</v>
      </c>
      <c r="R25" s="277">
        <f>R17+R23</f>
        <v>17681979.870000001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413</v>
      </c>
      <c r="D28" s="6">
        <v>376</v>
      </c>
      <c r="F28" s="278">
        <f>'201711 Bk Depr'!R28</f>
        <v>1042835.68</v>
      </c>
      <c r="J28" s="278"/>
      <c r="L28" s="278">
        <f>'Cap&amp;OpEx 2017'!H24</f>
        <v>413785.01999999996</v>
      </c>
      <c r="N28" s="278"/>
      <c r="P28" s="278"/>
      <c r="R28" s="278">
        <f>L28+F28</f>
        <v>1456620.7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278">
        <f>'201711 Bk Depr'!R29</f>
        <v>149647.02000000002</v>
      </c>
      <c r="J29" s="278"/>
      <c r="L29" s="278">
        <f>'Cap&amp;OpEx 2017'!H25</f>
        <v>37449.410000000003</v>
      </c>
      <c r="N29" s="278"/>
      <c r="P29" s="278"/>
      <c r="R29" s="278">
        <f>L29+F29</f>
        <v>187096.43000000002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278">
        <f>'201711 Bk Depr'!R30</f>
        <v>0</v>
      </c>
      <c r="J30" s="278"/>
      <c r="L30" s="278">
        <f>'Cap&amp;OpEx 2017'!H26</f>
        <v>0</v>
      </c>
      <c r="N30" s="278"/>
      <c r="P30" s="278"/>
      <c r="R30" s="27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276">
        <f>SUM(F28:F30)</f>
        <v>1192482.7000000002</v>
      </c>
      <c r="J31" s="276">
        <f>SUM(J28:J30)</f>
        <v>0</v>
      </c>
      <c r="L31" s="276">
        <f>SUM(L28:L30)</f>
        <v>451234.42999999993</v>
      </c>
      <c r="N31" s="276">
        <f>SUM(N28:N30)</f>
        <v>0</v>
      </c>
      <c r="P31" s="276">
        <f>SUM(P28:P30)</f>
        <v>0</v>
      </c>
      <c r="R31" s="276">
        <f>SUM(R28:R30)</f>
        <v>1643717.13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11 of 12&amp;L&amp;1#&amp;"Calibri"&amp;14&amp;K000000Business Use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39997558519241921"/>
    <pageSetUpPr fitToPage="1"/>
  </sheetPr>
  <dimension ref="A1:AC100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9" width="13.85546875" style="52" bestFit="1" customWidth="1"/>
    <col min="10" max="10" width="13.85546875" style="52" customWidth="1"/>
    <col min="11" max="11" width="12.140625" style="52" customWidth="1"/>
    <col min="12" max="12" width="14.140625" style="52" bestFit="1" customWidth="1"/>
    <col min="13" max="13" width="15" style="52" bestFit="1" customWidth="1"/>
    <col min="14" max="14" width="13.85546875" style="52" bestFit="1" customWidth="1"/>
    <col min="15" max="15" width="14.42578125" style="52" bestFit="1" customWidth="1"/>
    <col min="16" max="16" width="13.85546875" style="52" bestFit="1" customWidth="1"/>
    <col min="17" max="17" width="11.140625" style="52" customWidth="1"/>
    <col min="18" max="18" width="10.85546875" style="52" customWidth="1"/>
    <col min="19" max="19" width="11.42578125" style="52" customWidth="1"/>
    <col min="20" max="20" width="11.140625" style="52" customWidth="1"/>
    <col min="21" max="21" width="14.85546875" style="52" customWidth="1"/>
    <col min="22" max="22" width="12" style="52" customWidth="1"/>
    <col min="23" max="23" width="9.140625" style="52"/>
    <col min="24" max="24" width="13.85546875" style="52" customWidth="1"/>
    <col min="25" max="27" width="9.140625" style="52"/>
    <col min="28" max="28" width="11.85546875" style="52" customWidth="1"/>
    <col min="29" max="16384" width="9.140625" style="52"/>
  </cols>
  <sheetData>
    <row r="1" spans="1:29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9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9" ht="18.75">
      <c r="A3" s="191" t="s">
        <v>73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</row>
    <row r="4" spans="1:29">
      <c r="A4" s="53"/>
    </row>
    <row r="6" spans="1:29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155"/>
      <c r="N6" s="54"/>
      <c r="O6" s="54"/>
      <c r="P6" s="54"/>
      <c r="Q6" s="54"/>
      <c r="R6" s="54"/>
      <c r="S6" s="54"/>
      <c r="T6" s="54"/>
      <c r="U6" s="54"/>
    </row>
    <row r="7" spans="1:29" ht="25.5">
      <c r="A7" s="54"/>
      <c r="B7" s="54"/>
      <c r="C7" s="55" t="s">
        <v>188</v>
      </c>
      <c r="D7" s="54" t="s">
        <v>25</v>
      </c>
      <c r="E7" s="54"/>
      <c r="F7" s="54"/>
      <c r="G7" s="54">
        <v>2012</v>
      </c>
      <c r="H7" s="54">
        <v>2013</v>
      </c>
      <c r="I7" s="54">
        <v>2014</v>
      </c>
      <c r="J7" s="54">
        <v>2015</v>
      </c>
      <c r="K7" s="54">
        <v>2016</v>
      </c>
      <c r="L7" s="54">
        <v>2017</v>
      </c>
      <c r="M7" s="54"/>
      <c r="N7" s="54" t="s">
        <v>35</v>
      </c>
      <c r="O7" s="54"/>
      <c r="P7" s="54"/>
      <c r="Q7" s="55" t="s">
        <v>178</v>
      </c>
      <c r="R7" s="55" t="s">
        <v>179</v>
      </c>
      <c r="S7" s="55" t="s">
        <v>184</v>
      </c>
      <c r="T7" s="55" t="s">
        <v>186</v>
      </c>
      <c r="U7" s="54" t="s">
        <v>41</v>
      </c>
      <c r="V7" s="55" t="s">
        <v>161</v>
      </c>
      <c r="W7" s="55"/>
      <c r="X7" s="55" t="s">
        <v>233</v>
      </c>
    </row>
    <row r="8" spans="1:29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30</v>
      </c>
      <c r="J8" s="54" t="s">
        <v>31</v>
      </c>
      <c r="K8" s="54" t="s">
        <v>32</v>
      </c>
      <c r="L8" s="54" t="s">
        <v>33</v>
      </c>
      <c r="M8" s="54" t="s">
        <v>34</v>
      </c>
      <c r="N8" s="54" t="s">
        <v>36</v>
      </c>
      <c r="O8" s="54" t="s">
        <v>38</v>
      </c>
      <c r="P8" s="54"/>
      <c r="Q8" s="54" t="s">
        <v>34</v>
      </c>
      <c r="R8" s="54" t="s">
        <v>34</v>
      </c>
      <c r="S8" s="54" t="s">
        <v>185</v>
      </c>
      <c r="T8" s="54" t="s">
        <v>187</v>
      </c>
      <c r="U8" s="54" t="s">
        <v>40</v>
      </c>
      <c r="V8" s="54" t="s">
        <v>234</v>
      </c>
      <c r="W8" s="54" t="s">
        <v>161</v>
      </c>
      <c r="X8" s="54" t="s">
        <v>40</v>
      </c>
    </row>
    <row r="9" spans="1:29">
      <c r="A9" s="85" t="s">
        <v>5</v>
      </c>
      <c r="B9" s="85"/>
      <c r="C9" s="85" t="s">
        <v>2</v>
      </c>
      <c r="D9" s="85" t="s">
        <v>2</v>
      </c>
      <c r="E9" s="85"/>
      <c r="F9" s="85" t="s">
        <v>105</v>
      </c>
      <c r="G9" s="85" t="s">
        <v>20</v>
      </c>
      <c r="H9" s="85" t="s">
        <v>20</v>
      </c>
      <c r="I9" s="85" t="s">
        <v>20</v>
      </c>
      <c r="J9" s="85" t="s">
        <v>20</v>
      </c>
      <c r="K9" s="85" t="s">
        <v>20</v>
      </c>
      <c r="L9" s="85" t="s">
        <v>20</v>
      </c>
      <c r="M9" s="85" t="s">
        <v>0</v>
      </c>
      <c r="N9" s="85" t="s">
        <v>37</v>
      </c>
      <c r="O9" s="85" t="s">
        <v>0</v>
      </c>
      <c r="P9" s="85" t="s">
        <v>39</v>
      </c>
      <c r="Q9" s="56" t="s">
        <v>180</v>
      </c>
      <c r="R9" s="56" t="s">
        <v>183</v>
      </c>
      <c r="S9" s="56" t="s">
        <v>180</v>
      </c>
      <c r="T9" s="56" t="s">
        <v>12</v>
      </c>
      <c r="U9" s="85" t="s">
        <v>42</v>
      </c>
      <c r="V9" s="56" t="s">
        <v>235</v>
      </c>
      <c r="W9" s="56" t="s">
        <v>236</v>
      </c>
      <c r="X9" s="89" t="s">
        <v>42</v>
      </c>
    </row>
    <row r="10" spans="1:29">
      <c r="C10" s="57"/>
      <c r="D10" s="57" t="s">
        <v>69</v>
      </c>
      <c r="E10" s="58"/>
      <c r="F10" s="58"/>
      <c r="G10" s="58"/>
      <c r="H10" s="58"/>
      <c r="I10" s="58"/>
      <c r="J10" s="58"/>
      <c r="K10" s="58"/>
      <c r="L10" s="58"/>
    </row>
    <row r="11" spans="1:29">
      <c r="A11" s="52">
        <v>1</v>
      </c>
      <c r="C11" s="57" t="s">
        <v>68</v>
      </c>
      <c r="D11" s="59"/>
      <c r="G11" s="27"/>
      <c r="H11" s="27"/>
      <c r="I11" s="27"/>
      <c r="J11" s="27"/>
      <c r="K11" s="27"/>
      <c r="L11" s="27">
        <f>SUM('Capital Budget 2017'!K20:P20)-L12-L13</f>
        <v>8664070.7300000023</v>
      </c>
    </row>
    <row r="12" spans="1:29">
      <c r="A12" s="52">
        <v>2</v>
      </c>
      <c r="C12" s="57" t="s">
        <v>72</v>
      </c>
      <c r="D12" s="59"/>
      <c r="G12" s="27"/>
      <c r="H12" s="27"/>
      <c r="I12" s="27"/>
      <c r="J12" s="27"/>
      <c r="K12" s="27"/>
      <c r="L12" s="27">
        <f>SUM('Capital Budget 2017'!K5:P10,'Capital Budget 2017'!K16:P19)</f>
        <v>4210527.95</v>
      </c>
      <c r="M12" s="62">
        <f>4210527.95-L12</f>
        <v>0</v>
      </c>
    </row>
    <row r="13" spans="1:29">
      <c r="A13" s="52">
        <v>3</v>
      </c>
      <c r="C13" s="57" t="s">
        <v>182</v>
      </c>
      <c r="D13" s="59"/>
      <c r="G13" s="27"/>
      <c r="H13" s="27"/>
      <c r="I13" s="27"/>
      <c r="J13" s="27"/>
      <c r="K13" s="27"/>
      <c r="L13" s="27">
        <f>SUM('Capital Budget 2017'!K11:P13,'Capital Budget 2017'!K15:P15)*0.5</f>
        <v>4807381.1899999995</v>
      </c>
    </row>
    <row r="14" spans="1:29">
      <c r="C14" s="59"/>
      <c r="G14" s="27"/>
      <c r="I14" s="27"/>
      <c r="Z14" s="50"/>
      <c r="AA14" s="50"/>
      <c r="AB14" s="50"/>
      <c r="AC14" s="50"/>
    </row>
    <row r="15" spans="1:29">
      <c r="G15" s="195" t="s">
        <v>43</v>
      </c>
      <c r="H15" s="195"/>
      <c r="I15" s="195"/>
      <c r="J15" s="195"/>
      <c r="K15" s="195"/>
      <c r="L15" s="195"/>
      <c r="M15" s="195"/>
      <c r="N15" s="195"/>
      <c r="Z15" s="50"/>
      <c r="AA15" s="50"/>
      <c r="AB15" s="50"/>
      <c r="AC15" s="50"/>
    </row>
    <row r="16" spans="1:29">
      <c r="T16" s="27"/>
      <c r="U16" s="27">
        <v>0</v>
      </c>
      <c r="X16" s="27">
        <f>U16</f>
        <v>0</v>
      </c>
      <c r="Z16" s="50"/>
      <c r="AA16" s="50"/>
      <c r="AB16" s="50"/>
      <c r="AC16" s="50"/>
    </row>
    <row r="17" spans="1:29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>
        <f>U17-U16</f>
        <v>0</v>
      </c>
      <c r="W17" s="91"/>
      <c r="X17" s="27">
        <f>X16+V17*335/365</f>
        <v>0</v>
      </c>
      <c r="Z17" s="50"/>
      <c r="AA17" s="50"/>
      <c r="AB17" s="51"/>
      <c r="AC17" s="50"/>
    </row>
    <row r="18" spans="1:29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>
        <f t="shared" ref="V18:V28" si="0">U18-U17</f>
        <v>0</v>
      </c>
      <c r="W18" s="91"/>
      <c r="X18" s="27">
        <f>X17+V18*307/365</f>
        <v>0</v>
      </c>
      <c r="Z18" s="50"/>
      <c r="AA18" s="50"/>
      <c r="AB18" s="51"/>
      <c r="AC18" s="50"/>
    </row>
    <row r="19" spans="1:29">
      <c r="A19" s="52">
        <f t="shared" ref="A19:A44" si="1">A18+1</f>
        <v>6</v>
      </c>
      <c r="C19" s="61">
        <v>6.6769999999999996E-2</v>
      </c>
      <c r="D19" s="61">
        <v>8.5500000000000007E-2</v>
      </c>
      <c r="F19" s="52">
        <v>3</v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>
        <f t="shared" si="0"/>
        <v>0</v>
      </c>
      <c r="W19" s="91"/>
      <c r="X19" s="27">
        <f>X18+V19*276/365</f>
        <v>0</v>
      </c>
      <c r="Z19" s="50"/>
      <c r="AA19" s="50"/>
      <c r="AB19" s="51"/>
      <c r="AC19" s="50"/>
    </row>
    <row r="20" spans="1:29">
      <c r="A20" s="52">
        <f t="shared" si="1"/>
        <v>7</v>
      </c>
      <c r="C20" s="61">
        <v>6.1769999999999999E-2</v>
      </c>
      <c r="D20" s="61">
        <v>7.6999999999999999E-2</v>
      </c>
      <c r="F20" s="52">
        <v>4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>
        <f t="shared" si="0"/>
        <v>0</v>
      </c>
      <c r="W20" s="91"/>
      <c r="X20" s="27">
        <f>X19+V20*246/365</f>
        <v>0</v>
      </c>
      <c r="Z20" s="50"/>
      <c r="AA20" s="153"/>
      <c r="AB20" s="51"/>
      <c r="AC20" s="50"/>
    </row>
    <row r="21" spans="1:29">
      <c r="A21" s="52">
        <f t="shared" si="1"/>
        <v>8</v>
      </c>
      <c r="C21" s="61">
        <v>5.713E-2</v>
      </c>
      <c r="D21" s="61">
        <v>6.93E-2</v>
      </c>
      <c r="F21" s="52">
        <v>5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f t="shared" si="0"/>
        <v>0</v>
      </c>
      <c r="W21" s="91"/>
      <c r="X21" s="27">
        <f>X20+V21*215/365</f>
        <v>0</v>
      </c>
      <c r="Z21" s="50"/>
      <c r="AA21" s="50"/>
      <c r="AB21" s="51"/>
      <c r="AC21" s="50"/>
    </row>
    <row r="22" spans="1:29">
      <c r="A22" s="52">
        <f t="shared" si="1"/>
        <v>9</v>
      </c>
      <c r="C22" s="61">
        <v>5.2850000000000001E-2</v>
      </c>
      <c r="D22" s="61">
        <v>6.2300000000000001E-2</v>
      </c>
      <c r="F22" s="52">
        <v>6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>
        <f t="shared" si="0"/>
        <v>0</v>
      </c>
      <c r="W22" s="91"/>
      <c r="X22" s="27">
        <f>X21+V22*185/365</f>
        <v>0</v>
      </c>
      <c r="Z22" s="50"/>
      <c r="AA22" s="50"/>
      <c r="AB22" s="50"/>
      <c r="AC22" s="50"/>
    </row>
    <row r="23" spans="1:29">
      <c r="A23" s="52">
        <f t="shared" si="1"/>
        <v>10</v>
      </c>
      <c r="C23" s="61">
        <v>4.888E-2</v>
      </c>
      <c r="D23" s="61">
        <v>5.8999999999999997E-2</v>
      </c>
      <c r="F23" s="52">
        <v>7</v>
      </c>
      <c r="G23" s="27"/>
      <c r="H23" s="27"/>
      <c r="I23" s="27"/>
      <c r="J23" s="27"/>
      <c r="K23" s="27"/>
      <c r="L23" s="156">
        <f>(('201707 Bk Depr'!$L$17-SUM('Capital Budget 2017'!K$5:K$10,'Capital Budget 2017'!K$16:K$19)-(1/6*L13))*$C$17)+SUM('Capital Budget 2017'!K$5:K$10,'Capital Budget 2017'!K$16:K$19)+(1/6*L13)</f>
        <v>1613880.4175208332</v>
      </c>
      <c r="M23" s="27">
        <f t="shared" ref="M23:M28" si="2">SUM(G23:L23)</f>
        <v>1613880.4175208332</v>
      </c>
      <c r="N23" s="27">
        <f>'201707 Bk Depr'!L$31</f>
        <v>221050.71000000002</v>
      </c>
      <c r="O23" s="27">
        <f>'201707 Bk Depr'!P$17</f>
        <v>3483.0979357500009</v>
      </c>
      <c r="P23" s="27">
        <f t="shared" ref="P23:P28" si="3">M23+N23-O23</f>
        <v>1831448.0295850832</v>
      </c>
      <c r="Q23" s="27">
        <f t="shared" ref="Q23:Q28" si="4">P23*0.35</f>
        <v>641006.81035477913</v>
      </c>
      <c r="R23" s="27">
        <f t="shared" ref="R23:R28" si="5">Q71</f>
        <v>63615.83782135501</v>
      </c>
      <c r="S23" s="27">
        <f t="shared" ref="S23:S28" si="6">-R23*0.35</f>
        <v>-22265.543237474252</v>
      </c>
      <c r="T23" s="27"/>
      <c r="U23" s="27">
        <f t="shared" ref="U23:U28" si="7">U22+Q23+R23+S23+T23</f>
        <v>682357.10493865982</v>
      </c>
      <c r="V23" s="27">
        <f t="shared" si="0"/>
        <v>682357.10493865982</v>
      </c>
      <c r="W23" s="91" t="s">
        <v>245</v>
      </c>
      <c r="X23" s="27">
        <f>X22+V23*154/184</f>
        <v>571103.22913344356</v>
      </c>
      <c r="Z23" s="50"/>
      <c r="AA23" s="50"/>
      <c r="AB23" s="50"/>
      <c r="AC23" s="50"/>
    </row>
    <row r="24" spans="1:29">
      <c r="A24" s="52">
        <f t="shared" si="1"/>
        <v>11</v>
      </c>
      <c r="C24" s="61">
        <v>4.5220000000000003E-2</v>
      </c>
      <c r="D24" s="61">
        <v>5.8999999999999997E-2</v>
      </c>
      <c r="F24" s="52">
        <v>8</v>
      </c>
      <c r="G24" s="27"/>
      <c r="H24" s="27"/>
      <c r="I24" s="27"/>
      <c r="J24" s="27"/>
      <c r="K24" s="27"/>
      <c r="L24" s="156">
        <f>(('201708 Bk Depr'!$L$17-SUM('Capital Budget 2017'!L$5:L$10,'Capital Budget 2017'!L$16:L$19)-(1/6*L13))*$C$17)+SUM('Capital Budget 2017'!L$5:L$10,'Capital Budget 2017'!L$16:L$19)+(1/6*L13)</f>
        <v>1723348.1978958333</v>
      </c>
      <c r="M24" s="27">
        <f t="shared" si="2"/>
        <v>1723348.1978958333</v>
      </c>
      <c r="N24" s="27">
        <f>'201708 Bk Depr'!L$31</f>
        <v>133549.94</v>
      </c>
      <c r="O24" s="27">
        <f>'201708 Bk Depr'!P$17</f>
        <v>38140.872064250005</v>
      </c>
      <c r="P24" s="27">
        <f t="shared" si="3"/>
        <v>1818757.2658315832</v>
      </c>
      <c r="Q24" s="27">
        <f t="shared" si="4"/>
        <v>636565.04304105404</v>
      </c>
      <c r="R24" s="27">
        <f t="shared" si="5"/>
        <v>62854.391996145001</v>
      </c>
      <c r="S24" s="27">
        <f t="shared" si="6"/>
        <v>-21999.037198650749</v>
      </c>
      <c r="T24" s="27"/>
      <c r="U24" s="27">
        <f t="shared" si="7"/>
        <v>1359777.5027772083</v>
      </c>
      <c r="V24" s="27">
        <f t="shared" si="0"/>
        <v>677420.39783854852</v>
      </c>
      <c r="W24" s="91" t="s">
        <v>244</v>
      </c>
      <c r="X24" s="27">
        <f>X23+V24*123/184</f>
        <v>1023944.0385581255</v>
      </c>
      <c r="Z24" s="154"/>
      <c r="AA24" s="50"/>
      <c r="AB24" s="50"/>
      <c r="AC24" s="50"/>
    </row>
    <row r="25" spans="1:29">
      <c r="A25" s="52">
        <f t="shared" si="1"/>
        <v>12</v>
      </c>
      <c r="C25" s="61">
        <v>4.462E-2</v>
      </c>
      <c r="D25" s="61">
        <v>5.91E-2</v>
      </c>
      <c r="F25" s="52">
        <v>9</v>
      </c>
      <c r="G25" s="27"/>
      <c r="H25" s="27"/>
      <c r="I25" s="27"/>
      <c r="J25" s="27"/>
      <c r="K25" s="27"/>
      <c r="L25" s="156">
        <f>(('201709 Bk Depr'!$L$17-SUM('Capital Budget 2017'!M$5:M$10,'Capital Budget 2017'!M$16:M$19)-(1/6*L13))*$C$17)+SUM('Capital Budget 2017'!M$5:M$10,'Capital Budget 2017'!M$16:M$19)+(1/6*L13)</f>
        <v>1878248.2566458334</v>
      </c>
      <c r="M25" s="27">
        <f t="shared" si="2"/>
        <v>1878248.2566458334</v>
      </c>
      <c r="N25" s="27">
        <f>'201709 Bk Depr'!L$31</f>
        <v>147667.01999999999</v>
      </c>
      <c r="O25" s="27">
        <f>'201709 Bk Depr'!P$17</f>
        <v>18403.232751000003</v>
      </c>
      <c r="P25" s="27">
        <f t="shared" si="3"/>
        <v>2007512.0438948334</v>
      </c>
      <c r="Q25" s="27">
        <f t="shared" si="4"/>
        <v>702629.21536319167</v>
      </c>
      <c r="R25" s="27">
        <f t="shared" si="5"/>
        <v>74179.67867994</v>
      </c>
      <c r="S25" s="27">
        <f t="shared" si="6"/>
        <v>-25962.887537978997</v>
      </c>
      <c r="T25" s="27"/>
      <c r="U25" s="27">
        <f t="shared" si="7"/>
        <v>2110623.5092823608</v>
      </c>
      <c r="V25" s="27">
        <f t="shared" si="0"/>
        <v>750846.00650515244</v>
      </c>
      <c r="W25" s="91" t="s">
        <v>243</v>
      </c>
      <c r="X25" s="27">
        <f>X24+V25*93/184</f>
        <v>1403447.7266286644</v>
      </c>
    </row>
    <row r="26" spans="1:29">
      <c r="A26" s="52">
        <f t="shared" si="1"/>
        <v>13</v>
      </c>
      <c r="C26" s="61">
        <v>4.4609999999999997E-2</v>
      </c>
      <c r="D26" s="61">
        <v>5.8999999999999997E-2</v>
      </c>
      <c r="F26" s="52">
        <v>10</v>
      </c>
      <c r="G26" s="27"/>
      <c r="H26" s="27"/>
      <c r="I26" s="27"/>
      <c r="J26" s="27"/>
      <c r="K26" s="27"/>
      <c r="L26" s="156">
        <f>(('201710 Bk Depr'!$L$17-SUM('Capital Budget 2017'!N$5:N$10,'Capital Budget 2017'!N$16:N$19)-(1/6*L13))*$C$17)+SUM('Capital Budget 2017'!N$5:N$10,'Capital Budget 2017'!N$16:N$19)+(1/6*L13)</f>
        <v>1426952.0940208333</v>
      </c>
      <c r="M26" s="27">
        <f t="shared" si="2"/>
        <v>1426952.0940208333</v>
      </c>
      <c r="N26" s="27">
        <f>'201710 Bk Depr'!L$31</f>
        <v>401153.78</v>
      </c>
      <c r="O26" s="27">
        <f>'201710 Bk Depr'!P$17</f>
        <v>26123.708702250005</v>
      </c>
      <c r="P26" s="27">
        <f t="shared" si="3"/>
        <v>1801982.1653185834</v>
      </c>
      <c r="Q26" s="27">
        <f t="shared" si="4"/>
        <v>630693.7578615041</v>
      </c>
      <c r="R26" s="27">
        <f t="shared" si="5"/>
        <v>61847.885965364992</v>
      </c>
      <c r="S26" s="27">
        <f t="shared" si="6"/>
        <v>-21646.760087877745</v>
      </c>
      <c r="T26" s="27"/>
      <c r="U26" s="27">
        <f t="shared" si="7"/>
        <v>2781518.3930213526</v>
      </c>
      <c r="V26" s="27">
        <f t="shared" si="0"/>
        <v>670894.8837389918</v>
      </c>
      <c r="W26" s="91" t="s">
        <v>242</v>
      </c>
      <c r="X26" s="27">
        <f>X25+V26*62/184</f>
        <v>1629510.1331059334</v>
      </c>
    </row>
    <row r="27" spans="1:29">
      <c r="A27" s="52">
        <f t="shared" si="1"/>
        <v>14</v>
      </c>
      <c r="C27" s="61">
        <v>4.462E-2</v>
      </c>
      <c r="D27" s="61">
        <v>5.91E-2</v>
      </c>
      <c r="F27" s="52">
        <v>11</v>
      </c>
      <c r="G27" s="27"/>
      <c r="H27" s="27"/>
      <c r="I27" s="27"/>
      <c r="J27" s="27"/>
      <c r="K27" s="27"/>
      <c r="L27" s="156">
        <f>(('201711 Bk Depr'!$L$17-SUM('Capital Budget 2017'!O$5:O$10,'Capital Budget 2017'!O$16:O$19)-(1/6*L13))*$C$17)+SUM('Capital Budget 2017'!O$5:O$10,'Capital Budget 2017'!O$16:O$19)+(1/6*L13)</f>
        <v>1253329.2557708332</v>
      </c>
      <c r="M27" s="27">
        <f t="shared" si="2"/>
        <v>1253329.2557708332</v>
      </c>
      <c r="N27" s="27">
        <f>'201711 Bk Depr'!L$31</f>
        <v>289061.25000000006</v>
      </c>
      <c r="O27" s="27">
        <f>'201711 Bk Depr'!P$17</f>
        <v>33526.663026750008</v>
      </c>
      <c r="P27" s="27">
        <f t="shared" si="3"/>
        <v>1508863.8427440831</v>
      </c>
      <c r="Q27" s="27">
        <f t="shared" si="4"/>
        <v>528102.34496042912</v>
      </c>
      <c r="R27" s="27">
        <f t="shared" si="5"/>
        <v>44260.786610894997</v>
      </c>
      <c r="S27" s="27">
        <f t="shared" si="6"/>
        <v>-15491.275313813248</v>
      </c>
      <c r="T27" s="27"/>
      <c r="U27" s="27">
        <f t="shared" si="7"/>
        <v>3338390.2492788634</v>
      </c>
      <c r="V27" s="27">
        <f t="shared" si="0"/>
        <v>556871.85625751084</v>
      </c>
      <c r="W27" s="91" t="s">
        <v>241</v>
      </c>
      <c r="X27" s="27">
        <f>X26+V27*32/184</f>
        <v>1726357.4124550656</v>
      </c>
    </row>
    <row r="28" spans="1:29">
      <c r="A28" s="52">
        <f t="shared" si="1"/>
        <v>15</v>
      </c>
      <c r="C28" s="61">
        <v>4.4609999999999997E-2</v>
      </c>
      <c r="D28" s="61">
        <v>5.8999999999999997E-2</v>
      </c>
      <c r="F28" s="52">
        <v>12</v>
      </c>
      <c r="G28" s="27"/>
      <c r="H28" s="27"/>
      <c r="I28" s="27"/>
      <c r="J28" s="27"/>
      <c r="K28" s="27"/>
      <c r="L28" s="156">
        <f>(('201712 Bk Depr'!$L$17-SUM('Capital Budget 2017'!P$5:P$10,'Capital Budget 2017'!P$16:P$19)-(1/6*L13))*$C$17)+SUM('Capital Budget 2017'!P$5:P$10,'Capital Budget 2017'!P$16:P$19)+(1/6*L13)</f>
        <v>1447053.5705208331</v>
      </c>
      <c r="M28" s="27">
        <f t="shared" si="2"/>
        <v>1447053.5705208331</v>
      </c>
      <c r="N28" s="27">
        <f>'201712 Bk Depr'!L$31</f>
        <v>451234.42999999993</v>
      </c>
      <c r="O28" s="27">
        <f>'201712 Bk Depr'!P$17</f>
        <v>38707.618675500009</v>
      </c>
      <c r="P28" s="27">
        <f t="shared" si="3"/>
        <v>1859580.3818453331</v>
      </c>
      <c r="Q28" s="27">
        <f t="shared" si="4"/>
        <v>650853.13364586653</v>
      </c>
      <c r="R28" s="27">
        <f t="shared" si="5"/>
        <v>65303.778956970003</v>
      </c>
      <c r="S28" s="27">
        <f t="shared" si="6"/>
        <v>-22856.322634939501</v>
      </c>
      <c r="T28" s="27"/>
      <c r="U28" s="27">
        <f t="shared" si="7"/>
        <v>4031690.8392467606</v>
      </c>
      <c r="V28" s="27">
        <f t="shared" si="0"/>
        <v>693300.58996789716</v>
      </c>
      <c r="W28" s="91" t="s">
        <v>240</v>
      </c>
      <c r="X28" s="27">
        <f>X27+V28*1/184</f>
        <v>1730125.3504440216</v>
      </c>
    </row>
    <row r="29" spans="1:29">
      <c r="A29" s="52">
        <f t="shared" si="1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 t="str">
        <f t="shared" ref="T29:T43" si="8">IF(S29="","",S29*0.389)</f>
        <v/>
      </c>
      <c r="U29" s="62"/>
      <c r="X29" s="27"/>
    </row>
    <row r="30" spans="1:29">
      <c r="A30" s="52">
        <f t="shared" si="1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 t="str">
        <f t="shared" si="8"/>
        <v/>
      </c>
      <c r="U30" s="27" t="str">
        <f t="shared" ref="U30:U43" si="9">IF(Q30="","",U29+Q30)</f>
        <v/>
      </c>
    </row>
    <row r="31" spans="1:29">
      <c r="A31" s="52">
        <f t="shared" si="1"/>
        <v>18</v>
      </c>
      <c r="C31" s="61">
        <v>4.462E-2</v>
      </c>
      <c r="D31" s="61">
        <v>5.91E-2</v>
      </c>
      <c r="G31" s="27"/>
      <c r="H31" s="62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 t="str">
        <f t="shared" si="8"/>
        <v/>
      </c>
      <c r="U31" s="27" t="str">
        <f t="shared" si="9"/>
        <v/>
      </c>
    </row>
    <row r="32" spans="1:29">
      <c r="A32" s="52">
        <f t="shared" si="1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 t="str">
        <f t="shared" si="8"/>
        <v/>
      </c>
      <c r="U32" s="27" t="str">
        <f t="shared" si="9"/>
        <v/>
      </c>
    </row>
    <row r="33" spans="1:21">
      <c r="A33" s="52">
        <f t="shared" si="1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 t="str">
        <f t="shared" si="8"/>
        <v/>
      </c>
      <c r="U33" s="27" t="str">
        <f t="shared" si="9"/>
        <v/>
      </c>
    </row>
    <row r="34" spans="1:21">
      <c r="A34" s="52">
        <f t="shared" si="1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 t="str">
        <f t="shared" si="8"/>
        <v/>
      </c>
      <c r="U34" s="27" t="str">
        <f t="shared" si="9"/>
        <v/>
      </c>
    </row>
    <row r="35" spans="1:21">
      <c r="A35" s="52">
        <f t="shared" si="1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 t="str">
        <f t="shared" si="8"/>
        <v/>
      </c>
      <c r="U35" s="27" t="str">
        <f t="shared" si="9"/>
        <v/>
      </c>
    </row>
    <row r="36" spans="1:21">
      <c r="A36" s="52">
        <f t="shared" si="1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 t="str">
        <f t="shared" si="8"/>
        <v/>
      </c>
      <c r="U36" s="27" t="str">
        <f t="shared" si="9"/>
        <v/>
      </c>
    </row>
    <row r="37" spans="1:21">
      <c r="A37" s="52">
        <f t="shared" si="1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 t="str">
        <f t="shared" si="8"/>
        <v/>
      </c>
      <c r="U37" s="27" t="str">
        <f t="shared" si="9"/>
        <v/>
      </c>
    </row>
    <row r="38" spans="1:21">
      <c r="A38" s="52">
        <f t="shared" si="1"/>
        <v>25</v>
      </c>
      <c r="C38" s="61">
        <v>0</v>
      </c>
      <c r="D38" s="61">
        <v>0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 t="str">
        <f t="shared" si="8"/>
        <v/>
      </c>
      <c r="U38" s="27" t="str">
        <f t="shared" si="9"/>
        <v/>
      </c>
    </row>
    <row r="39" spans="1:21">
      <c r="A39" s="52">
        <f t="shared" si="1"/>
        <v>26</v>
      </c>
      <c r="C39" s="61">
        <v>0</v>
      </c>
      <c r="I39" s="27"/>
      <c r="J39" s="27"/>
      <c r="K39" s="27"/>
      <c r="L39" s="27"/>
      <c r="M39" s="27"/>
      <c r="P39" s="27"/>
      <c r="Q39" s="27"/>
      <c r="R39" s="27"/>
      <c r="S39" s="27"/>
      <c r="T39" s="27" t="str">
        <f t="shared" si="8"/>
        <v/>
      </c>
      <c r="U39" s="27" t="str">
        <f t="shared" si="9"/>
        <v/>
      </c>
    </row>
    <row r="40" spans="1:21">
      <c r="A40" s="52">
        <f t="shared" si="1"/>
        <v>27</v>
      </c>
      <c r="C40" s="61">
        <v>0</v>
      </c>
      <c r="J40" s="27"/>
      <c r="K40" s="27"/>
      <c r="L40" s="27"/>
      <c r="M40" s="27"/>
      <c r="P40" s="27"/>
      <c r="Q40" s="27"/>
      <c r="R40" s="27"/>
      <c r="S40" s="27"/>
      <c r="T40" s="27" t="str">
        <f t="shared" si="8"/>
        <v/>
      </c>
      <c r="U40" s="27" t="str">
        <f t="shared" si="9"/>
        <v/>
      </c>
    </row>
    <row r="41" spans="1:21">
      <c r="A41" s="52">
        <f t="shared" si="1"/>
        <v>28</v>
      </c>
      <c r="C41" s="61">
        <v>0</v>
      </c>
      <c r="K41" s="27"/>
      <c r="L41" s="27"/>
      <c r="M41" s="27"/>
      <c r="P41" s="27"/>
      <c r="Q41" s="27"/>
      <c r="R41" s="27"/>
      <c r="S41" s="27"/>
      <c r="T41" s="27" t="str">
        <f t="shared" si="8"/>
        <v/>
      </c>
      <c r="U41" s="27" t="str">
        <f t="shared" si="9"/>
        <v/>
      </c>
    </row>
    <row r="42" spans="1:21">
      <c r="A42" s="52">
        <f t="shared" si="1"/>
        <v>29</v>
      </c>
      <c r="C42" s="61">
        <v>0</v>
      </c>
      <c r="L42" s="27"/>
      <c r="M42" s="27"/>
      <c r="P42" s="27"/>
      <c r="Q42" s="27"/>
      <c r="R42" s="27"/>
      <c r="S42" s="27"/>
      <c r="T42" s="27" t="str">
        <f t="shared" si="8"/>
        <v/>
      </c>
      <c r="U42" s="27" t="str">
        <f t="shared" si="9"/>
        <v/>
      </c>
    </row>
    <row r="43" spans="1:21">
      <c r="A43" s="52">
        <f t="shared" si="1"/>
        <v>30</v>
      </c>
      <c r="C43" s="61">
        <v>0</v>
      </c>
      <c r="M43" s="27"/>
      <c r="P43" s="27"/>
      <c r="Q43" s="27"/>
      <c r="R43" s="27"/>
      <c r="S43" s="27"/>
      <c r="T43" s="27" t="str">
        <f t="shared" si="8"/>
        <v/>
      </c>
      <c r="U43" s="27" t="str">
        <f t="shared" si="9"/>
        <v/>
      </c>
    </row>
    <row r="44" spans="1:21">
      <c r="A44" s="52">
        <f t="shared" si="1"/>
        <v>31</v>
      </c>
      <c r="G44" s="27">
        <f t="shared" ref="G44:T44" si="10">SUM(G17:G43)</f>
        <v>0</v>
      </c>
      <c r="H44" s="27">
        <f t="shared" si="10"/>
        <v>0</v>
      </c>
      <c r="I44" s="27">
        <f t="shared" si="10"/>
        <v>0</v>
      </c>
      <c r="J44" s="27">
        <f t="shared" si="10"/>
        <v>0</v>
      </c>
      <c r="K44" s="27">
        <f t="shared" si="10"/>
        <v>0</v>
      </c>
      <c r="L44" s="27">
        <f t="shared" si="10"/>
        <v>9342811.7923749983</v>
      </c>
      <c r="M44" s="27">
        <f t="shared" si="10"/>
        <v>9342811.7923749983</v>
      </c>
      <c r="N44" s="27">
        <f t="shared" si="10"/>
        <v>1643717.1300000001</v>
      </c>
      <c r="O44" s="27">
        <f t="shared" si="10"/>
        <v>158385.19315550002</v>
      </c>
      <c r="P44" s="27">
        <f t="shared" si="10"/>
        <v>10828143.729219498</v>
      </c>
      <c r="Q44" s="27">
        <f t="shared" si="10"/>
        <v>3789850.3052268247</v>
      </c>
      <c r="R44" s="27">
        <f t="shared" si="10"/>
        <v>372062.36003067007</v>
      </c>
      <c r="S44" s="27">
        <f t="shared" si="10"/>
        <v>-130221.8260107345</v>
      </c>
      <c r="T44" s="27">
        <f t="shared" si="10"/>
        <v>0</v>
      </c>
      <c r="U44" s="27">
        <f>AVERAGE(U16:U28)</f>
        <v>2043479.6569350294</v>
      </c>
    </row>
    <row r="45" spans="1:21">
      <c r="H45" s="27"/>
      <c r="I45" s="27"/>
      <c r="J45" s="27"/>
      <c r="K45" s="27"/>
      <c r="L45" s="27"/>
      <c r="M45" s="27"/>
      <c r="N45" s="27"/>
      <c r="O45" s="27"/>
      <c r="U45" s="27"/>
    </row>
    <row r="46" spans="1:21">
      <c r="I46" s="62"/>
      <c r="J46" s="27"/>
      <c r="R46" s="27"/>
      <c r="S46" s="27"/>
      <c r="T46" s="27"/>
    </row>
    <row r="47" spans="1:21">
      <c r="B47" s="60" t="s">
        <v>163</v>
      </c>
      <c r="C47" s="52" t="s">
        <v>226</v>
      </c>
    </row>
    <row r="48" spans="1:21">
      <c r="B48" s="60" t="s">
        <v>164</v>
      </c>
      <c r="C48" s="52" t="s">
        <v>227</v>
      </c>
    </row>
    <row r="49" spans="1:21">
      <c r="B49" s="60" t="s">
        <v>165</v>
      </c>
      <c r="C49" s="52" t="s">
        <v>228</v>
      </c>
    </row>
    <row r="50" spans="1:21">
      <c r="B50" s="60" t="s">
        <v>174</v>
      </c>
      <c r="C50" s="52" t="s">
        <v>229</v>
      </c>
      <c r="R50" s="54"/>
      <c r="S50" s="54"/>
      <c r="T50" s="54"/>
    </row>
    <row r="51" spans="1:21">
      <c r="B51" s="60" t="s">
        <v>210</v>
      </c>
      <c r="C51" s="52" t="s">
        <v>230</v>
      </c>
      <c r="R51" s="54"/>
      <c r="S51" s="54"/>
      <c r="T51" s="54"/>
    </row>
    <row r="52" spans="1:21">
      <c r="B52" s="60" t="s">
        <v>225</v>
      </c>
      <c r="C52" s="52" t="s">
        <v>231</v>
      </c>
      <c r="R52" s="54"/>
      <c r="S52" s="54"/>
      <c r="T52" s="54"/>
    </row>
    <row r="53" spans="1:21">
      <c r="R53" s="48"/>
      <c r="S53" s="48"/>
      <c r="T53" s="48"/>
    </row>
    <row r="54" spans="1:21">
      <c r="A54" s="54"/>
      <c r="B54" s="54"/>
      <c r="C54" s="54"/>
      <c r="D54" s="54" t="s">
        <v>24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49"/>
      <c r="S54" s="49"/>
      <c r="T54" s="49"/>
      <c r="U54" s="54"/>
    </row>
    <row r="55" spans="1:21" ht="25.5">
      <c r="A55" s="54"/>
      <c r="B55" s="54"/>
      <c r="C55" s="55" t="s">
        <v>188</v>
      </c>
      <c r="D55" s="54" t="s">
        <v>25</v>
      </c>
      <c r="E55" s="54"/>
      <c r="F55" s="54"/>
      <c r="G55" s="54">
        <v>2012</v>
      </c>
      <c r="H55" s="54">
        <v>2013</v>
      </c>
      <c r="I55" s="54">
        <v>2014</v>
      </c>
      <c r="J55" s="54">
        <v>2015</v>
      </c>
      <c r="K55" s="54">
        <v>2016</v>
      </c>
      <c r="L55" s="54">
        <v>2017</v>
      </c>
      <c r="M55" s="54"/>
      <c r="N55" s="54" t="s">
        <v>35</v>
      </c>
      <c r="O55" s="54"/>
      <c r="P55" s="54"/>
      <c r="Q55" s="55" t="s">
        <v>179</v>
      </c>
      <c r="U55" s="49"/>
    </row>
    <row r="56" spans="1:21">
      <c r="A56" s="54" t="s">
        <v>4</v>
      </c>
      <c r="B56" s="54"/>
      <c r="C56" s="54" t="s">
        <v>26</v>
      </c>
      <c r="D56" s="54" t="s">
        <v>26</v>
      </c>
      <c r="E56" s="54"/>
      <c r="F56" s="54"/>
      <c r="G56" s="54" t="s">
        <v>28</v>
      </c>
      <c r="H56" s="54" t="s">
        <v>29</v>
      </c>
      <c r="I56" s="54" t="s">
        <v>30</v>
      </c>
      <c r="J56" s="54" t="s">
        <v>31</v>
      </c>
      <c r="K56" s="54" t="s">
        <v>32</v>
      </c>
      <c r="L56" s="54" t="s">
        <v>33</v>
      </c>
      <c r="M56" s="54" t="s">
        <v>34</v>
      </c>
      <c r="N56" s="54" t="s">
        <v>36</v>
      </c>
      <c r="O56" s="54" t="s">
        <v>38</v>
      </c>
      <c r="P56" s="54"/>
      <c r="Q56" s="54" t="s">
        <v>34</v>
      </c>
      <c r="U56" s="49"/>
    </row>
    <row r="57" spans="1:21">
      <c r="A57" s="85" t="s">
        <v>5</v>
      </c>
      <c r="B57" s="85"/>
      <c r="C57" s="85" t="s">
        <v>2</v>
      </c>
      <c r="D57" s="85" t="s">
        <v>2</v>
      </c>
      <c r="E57" s="85"/>
      <c r="F57" s="85" t="s">
        <v>105</v>
      </c>
      <c r="G57" s="85" t="s">
        <v>20</v>
      </c>
      <c r="H57" s="85" t="s">
        <v>20</v>
      </c>
      <c r="I57" s="85" t="s">
        <v>20</v>
      </c>
      <c r="J57" s="85" t="s">
        <v>20</v>
      </c>
      <c r="K57" s="85" t="s">
        <v>20</v>
      </c>
      <c r="L57" s="85" t="s">
        <v>20</v>
      </c>
      <c r="M57" s="85" t="s">
        <v>0</v>
      </c>
      <c r="N57" s="85" t="s">
        <v>37</v>
      </c>
      <c r="O57" s="85" t="s">
        <v>0</v>
      </c>
      <c r="P57" s="85" t="s">
        <v>39</v>
      </c>
      <c r="Q57" s="56" t="s">
        <v>181</v>
      </c>
      <c r="U57" s="49"/>
    </row>
    <row r="58" spans="1:21">
      <c r="C58" s="57"/>
      <c r="D58" s="57" t="s">
        <v>69</v>
      </c>
      <c r="E58" s="58"/>
      <c r="F58" s="58"/>
      <c r="G58" s="58"/>
      <c r="H58" s="58"/>
      <c r="I58" s="58"/>
      <c r="J58" s="58"/>
      <c r="K58" s="58"/>
      <c r="L58" s="58"/>
      <c r="U58" s="50"/>
    </row>
    <row r="59" spans="1:21">
      <c r="A59" s="52">
        <v>1</v>
      </c>
      <c r="C59" s="57" t="s">
        <v>68</v>
      </c>
      <c r="D59" s="59"/>
      <c r="G59" s="27"/>
      <c r="H59" s="27"/>
      <c r="I59" s="27"/>
      <c r="J59" s="27"/>
      <c r="K59" s="27"/>
      <c r="L59" s="27">
        <f>L11+L13</f>
        <v>13471451.920000002</v>
      </c>
      <c r="M59" s="62"/>
      <c r="U59" s="50"/>
    </row>
    <row r="60" spans="1:21">
      <c r="A60" s="52">
        <v>2</v>
      </c>
      <c r="C60" s="57" t="s">
        <v>72</v>
      </c>
      <c r="D60" s="59"/>
      <c r="G60" s="27"/>
      <c r="H60" s="27"/>
      <c r="I60" s="27"/>
      <c r="J60" s="27"/>
      <c r="K60" s="27"/>
      <c r="L60" s="27">
        <f>L12</f>
        <v>4210527.95</v>
      </c>
      <c r="U60" s="50"/>
    </row>
    <row r="61" spans="1:21">
      <c r="A61" s="52">
        <v>3</v>
      </c>
      <c r="C61" s="57" t="s">
        <v>182</v>
      </c>
      <c r="D61" s="59"/>
      <c r="G61" s="27"/>
      <c r="H61" s="27"/>
      <c r="I61" s="27"/>
      <c r="J61" s="27"/>
      <c r="K61" s="27"/>
      <c r="L61" s="27"/>
      <c r="U61" s="50"/>
    </row>
    <row r="62" spans="1:21">
      <c r="C62" s="59"/>
      <c r="G62" s="27"/>
      <c r="I62" s="27"/>
      <c r="U62" s="50"/>
    </row>
    <row r="63" spans="1:21">
      <c r="G63" s="1606" t="s">
        <v>43</v>
      </c>
      <c r="H63" s="1606"/>
      <c r="I63" s="1606"/>
      <c r="J63" s="1606"/>
      <c r="K63" s="1606"/>
      <c r="L63" s="1606"/>
      <c r="M63" s="1606"/>
      <c r="N63" s="1606"/>
      <c r="U63" s="50"/>
    </row>
    <row r="64" spans="1:21">
      <c r="U64" s="51"/>
    </row>
    <row r="65" spans="1:21">
      <c r="A65" s="52">
        <f>A61+1</f>
        <v>4</v>
      </c>
      <c r="C65" s="61">
        <v>3.7499999999999999E-2</v>
      </c>
      <c r="D65" s="61">
        <v>0.05</v>
      </c>
      <c r="F65" s="52">
        <v>1</v>
      </c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U65" s="51"/>
    </row>
    <row r="66" spans="1:21">
      <c r="A66" s="52">
        <f>A65+1</f>
        <v>5</v>
      </c>
      <c r="C66" s="61">
        <v>7.2190000000000004E-2</v>
      </c>
      <c r="D66" s="61">
        <v>9.5000000000000001E-2</v>
      </c>
      <c r="F66" s="52">
        <v>2</v>
      </c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U66" s="51"/>
    </row>
    <row r="67" spans="1:21">
      <c r="A67" s="52">
        <f t="shared" ref="A67:A92" si="11">A66+1</f>
        <v>6</v>
      </c>
      <c r="C67" s="61">
        <v>6.6769999999999996E-2</v>
      </c>
      <c r="D67" s="61">
        <v>8.5500000000000007E-2</v>
      </c>
      <c r="F67" s="52">
        <v>3</v>
      </c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U67" s="51"/>
    </row>
    <row r="68" spans="1:21">
      <c r="A68" s="52">
        <f t="shared" si="11"/>
        <v>7</v>
      </c>
      <c r="C68" s="61">
        <v>6.1769999999999999E-2</v>
      </c>
      <c r="D68" s="61">
        <v>7.6999999999999999E-2</v>
      </c>
      <c r="F68" s="52">
        <v>4</v>
      </c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U68" s="51"/>
    </row>
    <row r="69" spans="1:21">
      <c r="A69" s="52">
        <f t="shared" si="11"/>
        <v>8</v>
      </c>
      <c r="C69" s="61">
        <v>5.713E-2</v>
      </c>
      <c r="D69" s="61">
        <v>6.93E-2</v>
      </c>
      <c r="F69" s="52">
        <v>5</v>
      </c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U69" s="51"/>
    </row>
    <row r="70" spans="1:21">
      <c r="A70" s="52">
        <f t="shared" si="11"/>
        <v>9</v>
      </c>
      <c r="C70" s="61">
        <v>5.2850000000000001E-2</v>
      </c>
      <c r="D70" s="61">
        <v>6.2300000000000001E-2</v>
      </c>
      <c r="F70" s="52">
        <v>6</v>
      </c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U70" s="51"/>
    </row>
    <row r="71" spans="1:21">
      <c r="A71" s="52">
        <f t="shared" si="11"/>
        <v>10</v>
      </c>
      <c r="C71" s="61">
        <v>4.888E-2</v>
      </c>
      <c r="D71" s="61">
        <v>5.8999999999999997E-2</v>
      </c>
      <c r="F71" s="52">
        <v>7</v>
      </c>
      <c r="G71" s="27"/>
      <c r="H71" s="27"/>
      <c r="I71" s="27"/>
      <c r="J71" s="27"/>
      <c r="K71" s="27"/>
      <c r="L71" s="27">
        <f>(('201707 Bk Depr'!$L$17-SUM('Capital Budget 2017'!K$5:K$10,'Capital Budget 2017'!K$16:K$19))*'Tax Depr 2017'!$C$65)+SUM('Capital Budget 2017'!K$5:K$10,'Capital Budget 2017'!K$16:K$19)</f>
        <v>842696.35162500001</v>
      </c>
      <c r="M71" s="27">
        <f t="shared" ref="M71:M76" si="12">SUM(G71:L71)</f>
        <v>842696.35162500001</v>
      </c>
      <c r="N71" s="27">
        <f>N23</f>
        <v>221050.71000000002</v>
      </c>
      <c r="O71" s="27">
        <f>O23</f>
        <v>3483.0979357500009</v>
      </c>
      <c r="P71" s="27">
        <f t="shared" ref="P71:P76" si="13">M71+N71-O71</f>
        <v>1060263.9636892502</v>
      </c>
      <c r="Q71" s="27">
        <f t="shared" ref="Q71:Q76" si="14">P71*0.06</f>
        <v>63615.83782135501</v>
      </c>
      <c r="U71" s="51"/>
    </row>
    <row r="72" spans="1:21">
      <c r="A72" s="52">
        <f t="shared" si="11"/>
        <v>11</v>
      </c>
      <c r="C72" s="61">
        <v>4.5220000000000003E-2</v>
      </c>
      <c r="D72" s="61">
        <v>5.8999999999999997E-2</v>
      </c>
      <c r="F72" s="52">
        <v>8</v>
      </c>
      <c r="G72" s="27"/>
      <c r="H72" s="27"/>
      <c r="I72" s="27"/>
      <c r="J72" s="27"/>
      <c r="K72" s="27"/>
      <c r="L72" s="27">
        <f>(('201708 Bk Depr'!$L$17-SUM('Capital Budget 2017'!L$5:L$10,'Capital Budget 2017'!L$16:L$19))*'Tax Depr 2017'!$C$65)+SUM('Capital Budget 2017'!L$5:L$10,'Capital Budget 2017'!L$16:L$19)</f>
        <v>952164.13200000022</v>
      </c>
      <c r="M72" s="27">
        <f t="shared" si="12"/>
        <v>952164.13200000022</v>
      </c>
      <c r="N72" s="27">
        <f t="shared" ref="N72:N76" si="15">N24</f>
        <v>133549.94</v>
      </c>
      <c r="O72" s="27">
        <f t="shared" ref="O72:O76" si="16">O24</f>
        <v>38140.872064250005</v>
      </c>
      <c r="P72" s="27">
        <f t="shared" si="13"/>
        <v>1047573.1999357501</v>
      </c>
      <c r="Q72" s="27">
        <f t="shared" si="14"/>
        <v>62854.391996145001</v>
      </c>
      <c r="U72" s="51"/>
    </row>
    <row r="73" spans="1:21">
      <c r="A73" s="52">
        <f t="shared" si="11"/>
        <v>12</v>
      </c>
      <c r="C73" s="61">
        <v>4.462E-2</v>
      </c>
      <c r="D73" s="61">
        <v>5.91E-2</v>
      </c>
      <c r="F73" s="52">
        <v>9</v>
      </c>
      <c r="G73" s="27"/>
      <c r="H73" s="27"/>
      <c r="I73" s="27"/>
      <c r="J73" s="27"/>
      <c r="K73" s="27"/>
      <c r="L73" s="27">
        <f>(('201709 Bk Depr'!$L$17-SUM('Capital Budget 2017'!M$5:M$10,'Capital Budget 2017'!M$16:M$19))*'Tax Depr 2017'!$C$65)+SUM('Capital Budget 2017'!M$5:M$10,'Capital Budget 2017'!M$16:M$19)</f>
        <v>1107064.1907500001</v>
      </c>
      <c r="M73" s="27">
        <f t="shared" si="12"/>
        <v>1107064.1907500001</v>
      </c>
      <c r="N73" s="27">
        <f t="shared" si="15"/>
        <v>147667.01999999999</v>
      </c>
      <c r="O73" s="27">
        <f t="shared" si="16"/>
        <v>18403.232751000003</v>
      </c>
      <c r="P73" s="27">
        <f t="shared" si="13"/>
        <v>1236327.9779990001</v>
      </c>
      <c r="Q73" s="27">
        <f t="shared" si="14"/>
        <v>74179.67867994</v>
      </c>
      <c r="U73" s="51"/>
    </row>
    <row r="74" spans="1:21">
      <c r="A74" s="52">
        <f t="shared" si="11"/>
        <v>13</v>
      </c>
      <c r="C74" s="61">
        <v>4.4609999999999997E-2</v>
      </c>
      <c r="D74" s="61">
        <v>5.8999999999999997E-2</v>
      </c>
      <c r="F74" s="52">
        <v>10</v>
      </c>
      <c r="G74" s="27"/>
      <c r="H74" s="27"/>
      <c r="I74" s="27"/>
      <c r="J74" s="27"/>
      <c r="K74" s="27"/>
      <c r="L74" s="27">
        <f>(('201710 Bk Depr'!$L$17-SUM('Capital Budget 2017'!N$5:N$10,'Capital Budget 2017'!N$16:N$19))*'Tax Depr 2017'!$C$65)+SUM('Capital Budget 2017'!N$5:N$10,'Capital Budget 2017'!N$16:N$19)</f>
        <v>655768.02812500007</v>
      </c>
      <c r="M74" s="27">
        <f t="shared" si="12"/>
        <v>655768.02812500007</v>
      </c>
      <c r="N74" s="27">
        <f t="shared" si="15"/>
        <v>401153.78</v>
      </c>
      <c r="O74" s="27">
        <f t="shared" si="16"/>
        <v>26123.708702250005</v>
      </c>
      <c r="P74" s="27">
        <f t="shared" si="13"/>
        <v>1030798.0994227499</v>
      </c>
      <c r="Q74" s="27">
        <f t="shared" si="14"/>
        <v>61847.885965364992</v>
      </c>
      <c r="U74" s="51"/>
    </row>
    <row r="75" spans="1:21">
      <c r="A75" s="52">
        <f t="shared" si="11"/>
        <v>14</v>
      </c>
      <c r="C75" s="61">
        <v>4.462E-2</v>
      </c>
      <c r="D75" s="61">
        <v>5.91E-2</v>
      </c>
      <c r="F75" s="52">
        <v>11</v>
      </c>
      <c r="G75" s="27"/>
      <c r="H75" s="27"/>
      <c r="I75" s="27"/>
      <c r="J75" s="27"/>
      <c r="K75" s="27"/>
      <c r="L75" s="27">
        <f>(('201711 Bk Depr'!$L$17-SUM('Capital Budget 2017'!O$5:O$10,'Capital Budget 2017'!O$16:O$19))*'Tax Depr 2017'!$C$65)+SUM('Capital Budget 2017'!O$5:O$10,'Capital Budget 2017'!O$16:O$19)</f>
        <v>482145.18987499992</v>
      </c>
      <c r="M75" s="27">
        <f t="shared" si="12"/>
        <v>482145.18987499992</v>
      </c>
      <c r="N75" s="27">
        <f t="shared" si="15"/>
        <v>289061.25000000006</v>
      </c>
      <c r="O75" s="27">
        <f t="shared" si="16"/>
        <v>33526.663026750008</v>
      </c>
      <c r="P75" s="27">
        <f t="shared" si="13"/>
        <v>737679.77684824995</v>
      </c>
      <c r="Q75" s="27">
        <f t="shared" si="14"/>
        <v>44260.786610894997</v>
      </c>
      <c r="U75" s="51"/>
    </row>
    <row r="76" spans="1:21">
      <c r="A76" s="52">
        <f t="shared" si="11"/>
        <v>15</v>
      </c>
      <c r="C76" s="61">
        <v>4.4609999999999997E-2</v>
      </c>
      <c r="D76" s="61">
        <v>5.8999999999999997E-2</v>
      </c>
      <c r="F76" s="52">
        <v>12</v>
      </c>
      <c r="G76" s="27"/>
      <c r="H76" s="27"/>
      <c r="I76" s="27"/>
      <c r="J76" s="27"/>
      <c r="K76" s="27"/>
      <c r="L76" s="27">
        <f>(('201712 Bk Depr'!$L$17-SUM('Capital Budget 2017'!P$5:P$10,'Capital Budget 2017'!P$16:P$19))*'Tax Depr 2017'!$C$65)+SUM('Capital Budget 2017'!P$5:P$10,'Capital Budget 2017'!P$16:P$19)</f>
        <v>675869.50462500006</v>
      </c>
      <c r="M76" s="27">
        <f t="shared" si="12"/>
        <v>675869.50462500006</v>
      </c>
      <c r="N76" s="27">
        <f t="shared" si="15"/>
        <v>451234.42999999993</v>
      </c>
      <c r="O76" s="27">
        <f t="shared" si="16"/>
        <v>38707.618675500009</v>
      </c>
      <c r="P76" s="27">
        <f t="shared" si="13"/>
        <v>1088396.3159495001</v>
      </c>
      <c r="Q76" s="27">
        <f t="shared" si="14"/>
        <v>65303.778956970003</v>
      </c>
      <c r="U76" s="51"/>
    </row>
    <row r="77" spans="1:21">
      <c r="A77" s="52">
        <f t="shared" si="11"/>
        <v>16</v>
      </c>
      <c r="C77" s="61">
        <v>4.462E-2</v>
      </c>
      <c r="D77" s="61">
        <v>5.91E-2</v>
      </c>
      <c r="G77" s="27"/>
      <c r="H77" s="27"/>
      <c r="I77" s="27"/>
      <c r="J77" s="27"/>
      <c r="K77" s="27"/>
      <c r="L77" s="27"/>
      <c r="M77" s="27"/>
      <c r="N77" s="27"/>
      <c r="O77" s="27"/>
      <c r="P77" s="27" t="str">
        <f t="shared" ref="P77:P91" si="17">IF(O77=0,"",M77+N77-O77)</f>
        <v/>
      </c>
      <c r="Q77" s="27" t="str">
        <f t="shared" ref="Q77:Q91" si="18">IF(P77="","",P77*0.389)</f>
        <v/>
      </c>
      <c r="R77" s="51"/>
      <c r="S77" s="51"/>
      <c r="T77" s="51"/>
      <c r="U77" s="27" t="str">
        <f t="shared" ref="U77:U91" si="19">IF(Q77="","",U76+Q77)</f>
        <v/>
      </c>
    </row>
    <row r="78" spans="1:21">
      <c r="A78" s="52">
        <f t="shared" si="11"/>
        <v>17</v>
      </c>
      <c r="C78" s="61">
        <v>4.4609999999999997E-2</v>
      </c>
      <c r="D78" s="61">
        <v>5.8999999999999997E-2</v>
      </c>
      <c r="G78" s="27"/>
      <c r="H78" s="27"/>
      <c r="I78" s="27"/>
      <c r="J78" s="27"/>
      <c r="K78" s="27"/>
      <c r="L78" s="27"/>
      <c r="M78" s="27"/>
      <c r="N78" s="27"/>
      <c r="O78" s="27"/>
      <c r="P78" s="27" t="str">
        <f t="shared" si="17"/>
        <v/>
      </c>
      <c r="Q78" s="27" t="str">
        <f t="shared" si="18"/>
        <v/>
      </c>
      <c r="R78" s="51"/>
      <c r="S78" s="51"/>
      <c r="T78" s="51"/>
      <c r="U78" s="27" t="str">
        <f t="shared" si="19"/>
        <v/>
      </c>
    </row>
    <row r="79" spans="1:21">
      <c r="A79" s="52">
        <f t="shared" si="11"/>
        <v>18</v>
      </c>
      <c r="C79" s="61">
        <v>4.462E-2</v>
      </c>
      <c r="D79" s="61">
        <v>5.91E-2</v>
      </c>
      <c r="G79" s="27"/>
      <c r="H79" s="62"/>
      <c r="I79" s="27"/>
      <c r="J79" s="27"/>
      <c r="K79" s="27"/>
      <c r="L79" s="27"/>
      <c r="M79" s="27"/>
      <c r="N79" s="27"/>
      <c r="O79" s="27"/>
      <c r="P79" s="27" t="str">
        <f t="shared" si="17"/>
        <v/>
      </c>
      <c r="Q79" s="27" t="str">
        <f t="shared" si="18"/>
        <v/>
      </c>
      <c r="R79" s="51"/>
      <c r="S79" s="51"/>
      <c r="T79" s="51"/>
      <c r="U79" s="27" t="str">
        <f t="shared" si="19"/>
        <v/>
      </c>
    </row>
    <row r="80" spans="1:21">
      <c r="A80" s="52">
        <f t="shared" si="11"/>
        <v>19</v>
      </c>
      <c r="C80" s="61">
        <v>4.4609999999999997E-2</v>
      </c>
      <c r="D80" s="61">
        <v>2.9499999999999998E-2</v>
      </c>
      <c r="G80" s="27"/>
      <c r="H80" s="27"/>
      <c r="I80" s="27"/>
      <c r="J80" s="27"/>
      <c r="K80" s="27"/>
      <c r="L80" s="27"/>
      <c r="M80" s="27"/>
      <c r="N80" s="27"/>
      <c r="O80" s="27"/>
      <c r="P80" s="27" t="str">
        <f t="shared" si="17"/>
        <v/>
      </c>
      <c r="Q80" s="27" t="str">
        <f t="shared" si="18"/>
        <v/>
      </c>
      <c r="R80" s="51"/>
      <c r="S80" s="51"/>
      <c r="T80" s="51"/>
      <c r="U80" s="27" t="str">
        <f t="shared" si="19"/>
        <v/>
      </c>
    </row>
    <row r="81" spans="1:21">
      <c r="A81" s="52">
        <f t="shared" si="11"/>
        <v>20</v>
      </c>
      <c r="C81" s="61">
        <v>4.462E-2</v>
      </c>
      <c r="D81" s="61">
        <v>0</v>
      </c>
      <c r="G81" s="27"/>
      <c r="H81" s="27"/>
      <c r="I81" s="27"/>
      <c r="J81" s="27"/>
      <c r="K81" s="27"/>
      <c r="L81" s="27"/>
      <c r="M81" s="27"/>
      <c r="N81" s="27"/>
      <c r="O81" s="27"/>
      <c r="P81" s="27" t="str">
        <f t="shared" si="17"/>
        <v/>
      </c>
      <c r="Q81" s="27" t="str">
        <f t="shared" si="18"/>
        <v/>
      </c>
      <c r="R81" s="51"/>
      <c r="S81" s="51"/>
      <c r="T81" s="51"/>
      <c r="U81" s="27" t="str">
        <f t="shared" si="19"/>
        <v/>
      </c>
    </row>
    <row r="82" spans="1:21">
      <c r="A82" s="52">
        <f t="shared" si="11"/>
        <v>21</v>
      </c>
      <c r="C82" s="61">
        <v>4.4609999999999997E-2</v>
      </c>
      <c r="D82" s="61">
        <v>0</v>
      </c>
      <c r="G82" s="27"/>
      <c r="H82" s="27"/>
      <c r="I82" s="27"/>
      <c r="J82" s="27"/>
      <c r="K82" s="27"/>
      <c r="L82" s="27"/>
      <c r="M82" s="27"/>
      <c r="N82" s="27"/>
      <c r="O82" s="27"/>
      <c r="P82" s="27" t="str">
        <f t="shared" si="17"/>
        <v/>
      </c>
      <c r="Q82" s="27" t="str">
        <f t="shared" si="18"/>
        <v/>
      </c>
      <c r="R82" s="51"/>
      <c r="S82" s="51"/>
      <c r="T82" s="51"/>
      <c r="U82" s="27" t="str">
        <f t="shared" si="19"/>
        <v/>
      </c>
    </row>
    <row r="83" spans="1:21">
      <c r="A83" s="52">
        <f t="shared" si="11"/>
        <v>22</v>
      </c>
      <c r="C83" s="61">
        <v>4.462E-2</v>
      </c>
      <c r="D83" s="61">
        <v>0</v>
      </c>
      <c r="G83" s="27"/>
      <c r="H83" s="27"/>
      <c r="I83" s="27"/>
      <c r="J83" s="27"/>
      <c r="K83" s="27"/>
      <c r="L83" s="27"/>
      <c r="M83" s="27"/>
      <c r="N83" s="27"/>
      <c r="O83" s="27"/>
      <c r="P83" s="27" t="str">
        <f t="shared" si="17"/>
        <v/>
      </c>
      <c r="Q83" s="27" t="str">
        <f t="shared" si="18"/>
        <v/>
      </c>
      <c r="R83" s="51"/>
      <c r="S83" s="51"/>
      <c r="T83" s="51"/>
      <c r="U83" s="27" t="str">
        <f t="shared" si="19"/>
        <v/>
      </c>
    </row>
    <row r="84" spans="1:21">
      <c r="A84" s="52">
        <f t="shared" si="11"/>
        <v>23</v>
      </c>
      <c r="C84" s="61">
        <v>4.4609999999999997E-2</v>
      </c>
      <c r="D84" s="61">
        <v>0</v>
      </c>
      <c r="G84" s="27"/>
      <c r="H84" s="27"/>
      <c r="I84" s="27"/>
      <c r="J84" s="27"/>
      <c r="K84" s="27"/>
      <c r="L84" s="27"/>
      <c r="M84" s="27"/>
      <c r="N84" s="27"/>
      <c r="O84" s="27"/>
      <c r="P84" s="27" t="str">
        <f t="shared" si="17"/>
        <v/>
      </c>
      <c r="Q84" s="27" t="str">
        <f t="shared" si="18"/>
        <v/>
      </c>
      <c r="R84" s="51"/>
      <c r="S84" s="51"/>
      <c r="T84" s="51"/>
      <c r="U84" s="27" t="str">
        <f t="shared" si="19"/>
        <v/>
      </c>
    </row>
    <row r="85" spans="1:21">
      <c r="A85" s="52">
        <f t="shared" si="11"/>
        <v>24</v>
      </c>
      <c r="C85" s="61">
        <v>2.231E-2</v>
      </c>
      <c r="D85" s="61">
        <v>0</v>
      </c>
      <c r="G85" s="27"/>
      <c r="H85" s="27"/>
      <c r="I85" s="27"/>
      <c r="J85" s="27"/>
      <c r="K85" s="27"/>
      <c r="L85" s="27"/>
      <c r="M85" s="27"/>
      <c r="N85" s="27"/>
      <c r="O85" s="27"/>
      <c r="P85" s="27" t="str">
        <f t="shared" si="17"/>
        <v/>
      </c>
      <c r="Q85" s="27" t="str">
        <f t="shared" si="18"/>
        <v/>
      </c>
      <c r="R85" s="51"/>
      <c r="S85" s="51"/>
      <c r="T85" s="51"/>
      <c r="U85" s="27" t="str">
        <f t="shared" si="19"/>
        <v/>
      </c>
    </row>
    <row r="86" spans="1:21">
      <c r="A86" s="52">
        <f t="shared" si="11"/>
        <v>25</v>
      </c>
      <c r="C86" s="61">
        <v>0</v>
      </c>
      <c r="D86" s="61">
        <v>0</v>
      </c>
      <c r="H86" s="27"/>
      <c r="I86" s="27"/>
      <c r="J86" s="27"/>
      <c r="K86" s="27"/>
      <c r="L86" s="27"/>
      <c r="M86" s="27"/>
      <c r="N86" s="27"/>
      <c r="O86" s="27"/>
      <c r="P86" s="27" t="str">
        <f t="shared" si="17"/>
        <v/>
      </c>
      <c r="Q86" s="27" t="str">
        <f t="shared" si="18"/>
        <v/>
      </c>
      <c r="R86" s="51"/>
      <c r="S86" s="51"/>
      <c r="T86" s="51"/>
      <c r="U86" s="27" t="str">
        <f t="shared" si="19"/>
        <v/>
      </c>
    </row>
    <row r="87" spans="1:21">
      <c r="A87" s="52">
        <f t="shared" si="11"/>
        <v>26</v>
      </c>
      <c r="C87" s="61">
        <v>0</v>
      </c>
      <c r="I87" s="27"/>
      <c r="J87" s="27"/>
      <c r="K87" s="27"/>
      <c r="L87" s="27"/>
      <c r="M87" s="27"/>
      <c r="P87" s="27" t="str">
        <f t="shared" si="17"/>
        <v/>
      </c>
      <c r="Q87" s="27" t="str">
        <f t="shared" si="18"/>
        <v/>
      </c>
      <c r="R87" s="51"/>
      <c r="S87" s="51"/>
      <c r="T87" s="51"/>
      <c r="U87" s="27" t="str">
        <f t="shared" si="19"/>
        <v/>
      </c>
    </row>
    <row r="88" spans="1:21">
      <c r="A88" s="52">
        <f t="shared" si="11"/>
        <v>27</v>
      </c>
      <c r="C88" s="61">
        <v>0</v>
      </c>
      <c r="J88" s="27"/>
      <c r="K88" s="27"/>
      <c r="L88" s="27"/>
      <c r="M88" s="27"/>
      <c r="P88" s="27" t="str">
        <f t="shared" si="17"/>
        <v/>
      </c>
      <c r="Q88" s="27" t="str">
        <f t="shared" si="18"/>
        <v/>
      </c>
      <c r="R88" s="51"/>
      <c r="S88" s="51"/>
      <c r="T88" s="51"/>
      <c r="U88" s="27" t="str">
        <f t="shared" si="19"/>
        <v/>
      </c>
    </row>
    <row r="89" spans="1:21">
      <c r="A89" s="52">
        <f t="shared" si="11"/>
        <v>28</v>
      </c>
      <c r="C89" s="61">
        <v>0</v>
      </c>
      <c r="K89" s="27"/>
      <c r="L89" s="27"/>
      <c r="M89" s="27"/>
      <c r="P89" s="27" t="str">
        <f t="shared" si="17"/>
        <v/>
      </c>
      <c r="Q89" s="27" t="str">
        <f t="shared" si="18"/>
        <v/>
      </c>
      <c r="R89" s="51"/>
      <c r="S89" s="51"/>
      <c r="T89" s="51"/>
      <c r="U89" s="27" t="str">
        <f t="shared" si="19"/>
        <v/>
      </c>
    </row>
    <row r="90" spans="1:21">
      <c r="A90" s="52">
        <f t="shared" si="11"/>
        <v>29</v>
      </c>
      <c r="C90" s="61">
        <v>0</v>
      </c>
      <c r="L90" s="27"/>
      <c r="M90" s="27"/>
      <c r="P90" s="27" t="str">
        <f t="shared" si="17"/>
        <v/>
      </c>
      <c r="Q90" s="27" t="str">
        <f t="shared" si="18"/>
        <v/>
      </c>
      <c r="R90" s="51"/>
      <c r="S90" s="51"/>
      <c r="T90" s="51"/>
      <c r="U90" s="27" t="str">
        <f t="shared" si="19"/>
        <v/>
      </c>
    </row>
    <row r="91" spans="1:21">
      <c r="A91" s="52">
        <f t="shared" si="11"/>
        <v>30</v>
      </c>
      <c r="C91" s="61">
        <v>0</v>
      </c>
      <c r="M91" s="27"/>
      <c r="P91" s="27" t="str">
        <f t="shared" si="17"/>
        <v/>
      </c>
      <c r="Q91" s="27" t="str">
        <f t="shared" si="18"/>
        <v/>
      </c>
      <c r="U91" s="27" t="str">
        <f t="shared" si="19"/>
        <v/>
      </c>
    </row>
    <row r="92" spans="1:21">
      <c r="A92" s="52">
        <f t="shared" si="11"/>
        <v>31</v>
      </c>
      <c r="G92" s="27">
        <f t="shared" ref="G92:Q92" si="20">SUM(G65:G91)</f>
        <v>0</v>
      </c>
      <c r="H92" s="27">
        <f t="shared" si="20"/>
        <v>0</v>
      </c>
      <c r="I92" s="27">
        <f t="shared" si="20"/>
        <v>0</v>
      </c>
      <c r="J92" s="27">
        <f t="shared" si="20"/>
        <v>0</v>
      </c>
      <c r="K92" s="27">
        <f t="shared" si="20"/>
        <v>0</v>
      </c>
      <c r="L92" s="27">
        <f t="shared" si="20"/>
        <v>4715707.3970000008</v>
      </c>
      <c r="M92" s="27">
        <f t="shared" si="20"/>
        <v>4715707.3970000008</v>
      </c>
      <c r="N92" s="27">
        <f t="shared" si="20"/>
        <v>1643717.1300000001</v>
      </c>
      <c r="O92" s="27">
        <f t="shared" si="20"/>
        <v>158385.19315550002</v>
      </c>
      <c r="P92" s="27">
        <f t="shared" si="20"/>
        <v>6201039.3338444997</v>
      </c>
      <c r="Q92" s="27">
        <f t="shared" si="20"/>
        <v>372062.36003067007</v>
      </c>
      <c r="R92" s="27"/>
      <c r="S92" s="27"/>
      <c r="T92" s="27"/>
      <c r="U92" s="27"/>
    </row>
    <row r="93" spans="1:21">
      <c r="H93" s="27"/>
      <c r="I93" s="27"/>
      <c r="J93" s="27"/>
      <c r="K93" s="27"/>
      <c r="L93" s="27"/>
      <c r="M93" s="27"/>
      <c r="N93" s="27"/>
      <c r="O93" s="27"/>
      <c r="U93" s="27"/>
    </row>
    <row r="94" spans="1:21">
      <c r="I94" s="62"/>
      <c r="J94" s="27"/>
    </row>
    <row r="95" spans="1:21">
      <c r="B95" s="60" t="s">
        <v>163</v>
      </c>
      <c r="C95" s="52" t="s">
        <v>226</v>
      </c>
    </row>
    <row r="96" spans="1:21">
      <c r="B96" s="60" t="s">
        <v>164</v>
      </c>
      <c r="C96" s="52" t="s">
        <v>227</v>
      </c>
    </row>
    <row r="97" spans="2:3">
      <c r="B97" s="60" t="s">
        <v>165</v>
      </c>
      <c r="C97" s="52" t="s">
        <v>228</v>
      </c>
    </row>
    <row r="98" spans="2:3">
      <c r="B98" s="60" t="s">
        <v>174</v>
      </c>
      <c r="C98" s="52" t="s">
        <v>229</v>
      </c>
    </row>
    <row r="99" spans="2:3">
      <c r="B99" s="60" t="s">
        <v>210</v>
      </c>
      <c r="C99" s="52" t="s">
        <v>230</v>
      </c>
    </row>
    <row r="100" spans="2:3">
      <c r="B100" s="60" t="s">
        <v>225</v>
      </c>
      <c r="C100" s="52" t="s">
        <v>232</v>
      </c>
    </row>
  </sheetData>
  <mergeCells count="1">
    <mergeCell ref="G63:N63"/>
  </mergeCells>
  <pageMargins left="0.7" right="0.7" top="0.75" bottom="0.75" header="0.3" footer="0.3"/>
  <pageSetup scale="39" orientation="landscape" r:id="rId1"/>
  <headerFooter>
    <oddFooter>&amp;R&amp;"Times New Roman,Bold"&amp;12Exhibit CMG-5
Page 12 of 12&amp;L&amp;1#&amp;"Calibri"&amp;14&amp;K000000Business Use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39997558519241921"/>
  </sheetPr>
  <dimension ref="A1:X79"/>
  <sheetViews>
    <sheetView workbookViewId="0"/>
  </sheetViews>
  <sheetFormatPr defaultColWidth="9.140625" defaultRowHeight="12.75"/>
  <cols>
    <col min="1" max="1" width="10.85546875" style="28" bestFit="1" customWidth="1"/>
    <col min="2" max="2" width="11.85546875" style="28" bestFit="1" customWidth="1"/>
    <col min="3" max="3" width="32.85546875" style="28" bestFit="1" customWidth="1"/>
    <col min="4" max="4" width="5.5703125" style="28" bestFit="1" customWidth="1"/>
    <col min="5" max="16" width="11.85546875" style="28" bestFit="1" customWidth="1"/>
    <col min="17" max="17" width="12.85546875" style="28" bestFit="1" customWidth="1"/>
    <col min="18" max="18" width="9.140625" style="28"/>
    <col min="19" max="19" width="17.5703125" style="28" bestFit="1" customWidth="1"/>
    <col min="20" max="20" width="14" style="28" customWidth="1"/>
    <col min="21" max="21" width="12.85546875" style="28" customWidth="1"/>
    <col min="22" max="22" width="13.140625" style="28" customWidth="1"/>
    <col min="23" max="16384" width="9.140625" style="28"/>
  </cols>
  <sheetData>
    <row r="1" spans="1:21" s="177" customFormat="1">
      <c r="A1" s="175" t="s">
        <v>7</v>
      </c>
      <c r="B1" s="175" t="s">
        <v>106</v>
      </c>
      <c r="C1" s="175" t="s">
        <v>107</v>
      </c>
      <c r="D1" s="175" t="s">
        <v>27</v>
      </c>
      <c r="E1" s="176" t="s">
        <v>83</v>
      </c>
      <c r="F1" s="176" t="s">
        <v>84</v>
      </c>
      <c r="G1" s="176" t="s">
        <v>96</v>
      </c>
      <c r="H1" s="176" t="s">
        <v>97</v>
      </c>
      <c r="I1" s="176" t="s">
        <v>85</v>
      </c>
      <c r="J1" s="176" t="s">
        <v>98</v>
      </c>
      <c r="K1" s="176" t="s">
        <v>99</v>
      </c>
      <c r="L1" s="176" t="s">
        <v>87</v>
      </c>
      <c r="M1" s="176" t="s">
        <v>108</v>
      </c>
      <c r="N1" s="176" t="s">
        <v>89</v>
      </c>
      <c r="O1" s="176" t="s">
        <v>90</v>
      </c>
      <c r="P1" s="176" t="s">
        <v>91</v>
      </c>
      <c r="Q1" s="176" t="s">
        <v>3</v>
      </c>
    </row>
    <row r="2" spans="1:21">
      <c r="A2" s="178" t="s">
        <v>109</v>
      </c>
      <c r="S2" s="28" t="s">
        <v>689</v>
      </c>
      <c r="U2" s="513" t="s">
        <v>688</v>
      </c>
    </row>
    <row r="3" spans="1:21">
      <c r="B3" s="233" t="s">
        <v>120</v>
      </c>
      <c r="C3" s="233" t="s">
        <v>121</v>
      </c>
      <c r="D3" s="28">
        <v>2017</v>
      </c>
      <c r="E3" s="510">
        <v>520978.89999999851</v>
      </c>
      <c r="F3" s="510">
        <v>235337.40000000224</v>
      </c>
      <c r="G3" s="510">
        <v>1086822.0999999978</v>
      </c>
      <c r="H3" s="510">
        <v>498570.6400000006</v>
      </c>
      <c r="I3" s="510">
        <v>661669.41999999806</v>
      </c>
      <c r="J3" s="510">
        <v>339707.83000000194</v>
      </c>
      <c r="K3" s="510">
        <v>472477.71</v>
      </c>
      <c r="L3" s="510">
        <v>240387.73999999993</v>
      </c>
      <c r="M3" s="510">
        <v>560835.84000000008</v>
      </c>
      <c r="N3" s="510">
        <v>1350211.8599999999</v>
      </c>
      <c r="O3" s="510">
        <v>209637.68000000017</v>
      </c>
      <c r="P3" s="510">
        <v>74276.189999999944</v>
      </c>
      <c r="Q3" s="179">
        <f t="shared" ref="Q3:Q18" si="0">SUM(E3:P3)</f>
        <v>6250913.3099999987</v>
      </c>
      <c r="S3" s="179">
        <f>SUM(K3:P3)</f>
        <v>2907827.02</v>
      </c>
    </row>
    <row r="4" spans="1:21">
      <c r="B4" s="233" t="s">
        <v>123</v>
      </c>
      <c r="C4" s="233" t="s">
        <v>124</v>
      </c>
      <c r="D4" s="28">
        <v>2017</v>
      </c>
      <c r="E4" s="510">
        <v>528769.89999999851</v>
      </c>
      <c r="F4" s="510">
        <v>1071641.6600000001</v>
      </c>
      <c r="G4" s="510">
        <v>405396.62999999896</v>
      </c>
      <c r="H4" s="510">
        <v>456509.66000000015</v>
      </c>
      <c r="I4" s="510">
        <v>119386.58999999985</v>
      </c>
      <c r="J4" s="510">
        <v>123413.67000000179</v>
      </c>
      <c r="K4" s="510">
        <v>107348.31</v>
      </c>
      <c r="L4" s="510">
        <v>94422.010000000009</v>
      </c>
      <c r="M4" s="510">
        <v>75156.219999999972</v>
      </c>
      <c r="N4" s="510">
        <v>36052.75</v>
      </c>
      <c r="O4" s="510">
        <v>377006.46</v>
      </c>
      <c r="P4" s="510">
        <v>31586.229999999981</v>
      </c>
      <c r="Q4" s="179">
        <f t="shared" si="0"/>
        <v>3426690.0899999994</v>
      </c>
      <c r="S4" s="179">
        <f t="shared" ref="S4:S19" si="1">SUM(K4:P4)</f>
        <v>721571.98</v>
      </c>
    </row>
    <row r="5" spans="1:21">
      <c r="B5" s="233" t="s">
        <v>125</v>
      </c>
      <c r="C5" s="233" t="s">
        <v>126</v>
      </c>
      <c r="D5" s="28">
        <v>2017</v>
      </c>
      <c r="E5" s="510">
        <v>233181.33000000007</v>
      </c>
      <c r="F5" s="510">
        <v>171957.97999999858</v>
      </c>
      <c r="G5" s="510">
        <v>125507.69000000134</v>
      </c>
      <c r="H5" s="510">
        <v>315149.74000000022</v>
      </c>
      <c r="I5" s="510">
        <v>233780.32999999821</v>
      </c>
      <c r="J5" s="510">
        <v>234858.84000000171</v>
      </c>
      <c r="K5" s="510">
        <v>159759.81</v>
      </c>
      <c r="L5" s="510">
        <v>138326.57</v>
      </c>
      <c r="M5" s="510">
        <v>530409.01</v>
      </c>
      <c r="N5" s="510">
        <v>-13997.579999999958</v>
      </c>
      <c r="O5" s="510">
        <v>45160.04999999993</v>
      </c>
      <c r="P5" s="510">
        <v>34352.119999999995</v>
      </c>
      <c r="Q5" s="250">
        <f t="shared" si="0"/>
        <v>2208445.89</v>
      </c>
      <c r="R5" s="28" t="s">
        <v>415</v>
      </c>
      <c r="S5" s="179">
        <f t="shared" si="1"/>
        <v>894009.98</v>
      </c>
      <c r="T5"/>
      <c r="U5"/>
    </row>
    <row r="6" spans="1:21">
      <c r="A6" s="28">
        <v>376</v>
      </c>
      <c r="B6" s="325" t="s">
        <v>127</v>
      </c>
      <c r="C6" s="325" t="s">
        <v>128</v>
      </c>
      <c r="D6" s="28">
        <v>2017</v>
      </c>
      <c r="E6" s="510">
        <v>14120.400000000001</v>
      </c>
      <c r="F6" s="510">
        <v>15614</v>
      </c>
      <c r="G6" s="510">
        <v>17931.079999999994</v>
      </c>
      <c r="H6" s="510">
        <v>15428.660000000003</v>
      </c>
      <c r="I6" s="510">
        <v>24044.42</v>
      </c>
      <c r="J6" s="510">
        <v>14034.37999999999</v>
      </c>
      <c r="K6" s="510">
        <v>18596.599999999999</v>
      </c>
      <c r="L6" s="510">
        <v>33532.1</v>
      </c>
      <c r="M6" s="510">
        <v>33311.570000000007</v>
      </c>
      <c r="N6" s="510">
        <v>49193.469999999987</v>
      </c>
      <c r="O6" s="510">
        <v>21667.700000000012</v>
      </c>
      <c r="P6" s="510">
        <v>55597.600000000006</v>
      </c>
      <c r="Q6" s="250">
        <f t="shared" si="0"/>
        <v>313071.98</v>
      </c>
      <c r="R6" s="28" t="s">
        <v>415</v>
      </c>
      <c r="S6" s="179">
        <f t="shared" si="1"/>
        <v>211899.04</v>
      </c>
      <c r="T6"/>
      <c r="U6"/>
    </row>
    <row r="7" spans="1:21">
      <c r="B7" s="233" t="s">
        <v>189</v>
      </c>
      <c r="C7" s="233" t="s">
        <v>190</v>
      </c>
      <c r="D7" s="28">
        <v>2017</v>
      </c>
      <c r="E7" s="510">
        <v>139089.51</v>
      </c>
      <c r="F7" s="510">
        <v>100273</v>
      </c>
      <c r="G7" s="510">
        <v>183131.20999999996</v>
      </c>
      <c r="H7" s="510">
        <v>141251.33000000007</v>
      </c>
      <c r="I7" s="510">
        <v>174004.80000000005</v>
      </c>
      <c r="J7" s="510">
        <v>154064.29000000004</v>
      </c>
      <c r="K7" s="510">
        <v>156532.4</v>
      </c>
      <c r="L7" s="510">
        <v>87262.390000000014</v>
      </c>
      <c r="M7" s="510">
        <v>44724.28</v>
      </c>
      <c r="N7" s="510">
        <v>9977.570000000007</v>
      </c>
      <c r="O7" s="510">
        <v>48445.56</v>
      </c>
      <c r="P7" s="510">
        <v>71189.159999999974</v>
      </c>
      <c r="Q7" s="250">
        <f t="shared" si="0"/>
        <v>1309945.5000000002</v>
      </c>
      <c r="R7" s="28" t="s">
        <v>415</v>
      </c>
      <c r="S7" s="179">
        <f t="shared" si="1"/>
        <v>418131.36</v>
      </c>
      <c r="T7"/>
      <c r="U7"/>
    </row>
    <row r="8" spans="1:21">
      <c r="B8" s="237" t="s">
        <v>111</v>
      </c>
      <c r="C8" s="237" t="s">
        <v>112</v>
      </c>
      <c r="D8" s="28">
        <v>2017</v>
      </c>
      <c r="E8" s="179">
        <v>228764</v>
      </c>
      <c r="F8" s="179">
        <v>113240.16000000015</v>
      </c>
      <c r="G8" s="179">
        <v>242232.45999999996</v>
      </c>
      <c r="H8" s="179">
        <v>270778.31000000052</v>
      </c>
      <c r="I8" s="179">
        <v>186266.41999999899</v>
      </c>
      <c r="J8" s="179">
        <v>164938.8200000003</v>
      </c>
      <c r="K8" s="179">
        <v>178208.03</v>
      </c>
      <c r="L8" s="179">
        <v>216686.65</v>
      </c>
      <c r="M8" s="179">
        <v>242194.71000000002</v>
      </c>
      <c r="N8" s="179">
        <v>274861.59999999998</v>
      </c>
      <c r="O8" s="179">
        <v>146568.65999999992</v>
      </c>
      <c r="P8" s="179">
        <v>171112.55000000005</v>
      </c>
      <c r="Q8" s="250">
        <f>SUM(E8:P8)</f>
        <v>2435852.3699999992</v>
      </c>
      <c r="R8" s="28" t="s">
        <v>415</v>
      </c>
      <c r="S8" s="179">
        <f t="shared" si="1"/>
        <v>1229632.2</v>
      </c>
      <c r="T8"/>
      <c r="U8"/>
    </row>
    <row r="9" spans="1:21">
      <c r="B9" s="237" t="s">
        <v>113</v>
      </c>
      <c r="C9" s="237" t="s">
        <v>114</v>
      </c>
      <c r="D9" s="28">
        <v>2017</v>
      </c>
      <c r="E9" s="179">
        <v>5789.1300000000047</v>
      </c>
      <c r="F9" s="179">
        <v>6097</v>
      </c>
      <c r="G9" s="179">
        <v>1717.2200000000012</v>
      </c>
      <c r="H9" s="179">
        <v>5594.9100000000035</v>
      </c>
      <c r="I9" s="179">
        <v>1216.3999999999942</v>
      </c>
      <c r="J9" s="179">
        <v>3702.070000000007</v>
      </c>
      <c r="K9" s="179">
        <v>-11129.050000000001</v>
      </c>
      <c r="L9" s="179">
        <v>18151.579999999998</v>
      </c>
      <c r="M9" s="179">
        <v>0</v>
      </c>
      <c r="N9" s="179">
        <v>2053.87</v>
      </c>
      <c r="O9" s="179">
        <v>2107.2100000000009</v>
      </c>
      <c r="P9" s="179">
        <v>2277.1800000000003</v>
      </c>
      <c r="Q9" s="250">
        <f t="shared" si="0"/>
        <v>37577.520000000011</v>
      </c>
      <c r="R9" s="28" t="s">
        <v>415</v>
      </c>
      <c r="S9" s="179">
        <f t="shared" si="1"/>
        <v>13460.789999999999</v>
      </c>
      <c r="T9"/>
      <c r="U9"/>
    </row>
    <row r="10" spans="1:21">
      <c r="B10" s="237" t="s">
        <v>115</v>
      </c>
      <c r="C10" s="237" t="s">
        <v>116</v>
      </c>
      <c r="D10" s="28">
        <v>2017</v>
      </c>
      <c r="E10" s="179">
        <v>581.79000000000815</v>
      </c>
      <c r="F10" s="179">
        <v>7402.1999999999825</v>
      </c>
      <c r="G10" s="179">
        <v>8468.9800000000105</v>
      </c>
      <c r="H10" s="179">
        <v>1043.9499999999825</v>
      </c>
      <c r="I10" s="179">
        <v>9023.570000000007</v>
      </c>
      <c r="J10" s="179">
        <v>0</v>
      </c>
      <c r="K10" s="179">
        <v>41689.47</v>
      </c>
      <c r="L10" s="179">
        <v>5161.7299999999959</v>
      </c>
      <c r="M10" s="179">
        <v>-1411.6999999999971</v>
      </c>
      <c r="N10" s="179">
        <v>534.76000000000204</v>
      </c>
      <c r="O10" s="179">
        <v>-1401.3899999999994</v>
      </c>
      <c r="P10" s="179">
        <v>8962.43</v>
      </c>
      <c r="Q10" s="250">
        <f t="shared" si="0"/>
        <v>80055.790000000008</v>
      </c>
      <c r="R10" s="28" t="s">
        <v>415</v>
      </c>
      <c r="S10" s="179">
        <f t="shared" si="1"/>
        <v>53535.3</v>
      </c>
      <c r="T10"/>
      <c r="U10"/>
    </row>
    <row r="11" spans="1:21">
      <c r="B11" s="237" t="s">
        <v>117</v>
      </c>
      <c r="C11" s="237" t="s">
        <v>118</v>
      </c>
      <c r="D11" s="28">
        <v>2017</v>
      </c>
      <c r="E11" s="179">
        <v>396106.8900000006</v>
      </c>
      <c r="F11" s="179">
        <v>462578.48000000045</v>
      </c>
      <c r="G11" s="179">
        <v>382900.55999999866</v>
      </c>
      <c r="H11" s="179">
        <v>352185.10000000149</v>
      </c>
      <c r="I11" s="179">
        <v>304538.59999999963</v>
      </c>
      <c r="J11" s="179">
        <v>307815.5700000003</v>
      </c>
      <c r="K11" s="179">
        <v>306901.28000000003</v>
      </c>
      <c r="L11" s="179">
        <v>308028.39</v>
      </c>
      <c r="M11" s="179">
        <v>337339.0199999999</v>
      </c>
      <c r="N11" s="179">
        <v>494973.42000000016</v>
      </c>
      <c r="O11" s="179">
        <v>479984.35999999987</v>
      </c>
      <c r="P11" s="179">
        <v>531075.55999999982</v>
      </c>
      <c r="Q11" s="249">
        <f t="shared" si="0"/>
        <v>4664427.2300000014</v>
      </c>
      <c r="R11" s="28" t="s">
        <v>414</v>
      </c>
      <c r="S11" s="179">
        <f t="shared" si="1"/>
        <v>2458302.0299999998</v>
      </c>
      <c r="T11"/>
      <c r="U11"/>
    </row>
    <row r="12" spans="1:21">
      <c r="B12" s="237" t="s">
        <v>119</v>
      </c>
      <c r="C12" s="237" t="s">
        <v>216</v>
      </c>
      <c r="D12" s="28">
        <v>2017</v>
      </c>
      <c r="E12" s="179">
        <v>1732.6600000000035</v>
      </c>
      <c r="F12" s="179">
        <v>590.23999999999069</v>
      </c>
      <c r="G12" s="179">
        <v>4634.1000000000058</v>
      </c>
      <c r="H12" s="179">
        <v>3289.3500000000058</v>
      </c>
      <c r="I12" s="179">
        <v>254.82000000000698</v>
      </c>
      <c r="J12" s="179">
        <v>1484.9400000000023</v>
      </c>
      <c r="K12" s="179">
        <v>-2920.12</v>
      </c>
      <c r="L12" s="179">
        <v>7558.4</v>
      </c>
      <c r="M12" s="179">
        <v>3637.5199999999995</v>
      </c>
      <c r="N12" s="179">
        <v>1665.8400000000001</v>
      </c>
      <c r="O12" s="179">
        <v>12133.46</v>
      </c>
      <c r="P12" s="179">
        <v>30537.520000000004</v>
      </c>
      <c r="Q12" s="249">
        <f t="shared" si="0"/>
        <v>64598.730000000018</v>
      </c>
      <c r="R12" s="28" t="s">
        <v>414</v>
      </c>
      <c r="S12" s="179">
        <f t="shared" si="1"/>
        <v>52612.62</v>
      </c>
      <c r="T12"/>
      <c r="U12"/>
    </row>
    <row r="13" spans="1:21">
      <c r="B13" s="237" t="s">
        <v>288</v>
      </c>
      <c r="C13" s="238" t="s">
        <v>344</v>
      </c>
      <c r="D13" s="28">
        <v>2017</v>
      </c>
      <c r="E13" s="179">
        <v>1481.4799999999959</v>
      </c>
      <c r="F13" s="179">
        <v>332.63000000000466</v>
      </c>
      <c r="G13" s="179">
        <v>517.33000000000175</v>
      </c>
      <c r="H13" s="179">
        <v>0</v>
      </c>
      <c r="I13" s="179">
        <v>0</v>
      </c>
      <c r="J13" s="179">
        <v>520.22000000000116</v>
      </c>
      <c r="K13" s="179">
        <v>-1037.55</v>
      </c>
      <c r="L13" s="179">
        <v>1037.55</v>
      </c>
      <c r="M13" s="179">
        <v>0</v>
      </c>
      <c r="N13" s="179">
        <v>0</v>
      </c>
      <c r="O13" s="179">
        <v>0</v>
      </c>
      <c r="P13" s="179">
        <v>0</v>
      </c>
      <c r="Q13" s="249">
        <f t="shared" si="0"/>
        <v>2851.6600000000035</v>
      </c>
      <c r="R13" s="28" t="s">
        <v>414</v>
      </c>
      <c r="S13" s="179">
        <f t="shared" si="1"/>
        <v>0</v>
      </c>
      <c r="T13"/>
      <c r="U13"/>
    </row>
    <row r="14" spans="1:21">
      <c r="B14" s="234" t="s">
        <v>120</v>
      </c>
      <c r="C14" s="234" t="s">
        <v>121</v>
      </c>
      <c r="D14" s="28">
        <v>2017</v>
      </c>
      <c r="E14" s="510">
        <v>0</v>
      </c>
      <c r="F14" s="510">
        <v>0</v>
      </c>
      <c r="G14" s="510">
        <v>0</v>
      </c>
      <c r="H14" s="510">
        <v>0</v>
      </c>
      <c r="I14" s="510">
        <v>0</v>
      </c>
      <c r="J14" s="510">
        <v>0</v>
      </c>
      <c r="K14" s="510">
        <v>0</v>
      </c>
      <c r="L14" s="510">
        <v>227290.54</v>
      </c>
      <c r="M14" s="510">
        <v>0</v>
      </c>
      <c r="N14" s="510">
        <v>0</v>
      </c>
      <c r="O14" s="510">
        <v>0</v>
      </c>
      <c r="P14" s="510">
        <v>0</v>
      </c>
      <c r="Q14" s="179">
        <f t="shared" si="0"/>
        <v>227290.54</v>
      </c>
      <c r="S14" s="179">
        <f t="shared" si="1"/>
        <v>227290.54</v>
      </c>
      <c r="T14"/>
      <c r="U14"/>
    </row>
    <row r="15" spans="1:21">
      <c r="B15" s="240" t="s">
        <v>122</v>
      </c>
      <c r="C15" s="240" t="s">
        <v>166</v>
      </c>
      <c r="D15" s="28">
        <v>2017</v>
      </c>
      <c r="E15" s="510">
        <v>1369037.4699999988</v>
      </c>
      <c r="F15" s="510">
        <v>1390174.0300000012</v>
      </c>
      <c r="G15" s="510">
        <v>1356976.2199999988</v>
      </c>
      <c r="H15" s="510">
        <v>1383896.5199999958</v>
      </c>
      <c r="I15" s="510">
        <v>1709499.3800000101</v>
      </c>
      <c r="J15" s="510">
        <v>1494016.1799999923</v>
      </c>
      <c r="K15" s="510">
        <v>1397473.08</v>
      </c>
      <c r="L15" s="510">
        <v>1524779.69</v>
      </c>
      <c r="M15" s="510">
        <v>1152787.42</v>
      </c>
      <c r="N15" s="510">
        <v>1487575.2799999998</v>
      </c>
      <c r="O15" s="510">
        <v>1174067.3700000001</v>
      </c>
      <c r="P15" s="510">
        <v>367164.8900000006</v>
      </c>
      <c r="Q15" s="249">
        <f t="shared" si="0"/>
        <v>15807447.529999997</v>
      </c>
      <c r="R15" s="28" t="s">
        <v>414</v>
      </c>
      <c r="S15" s="179">
        <f t="shared" si="1"/>
        <v>7103847.7300000004</v>
      </c>
      <c r="T15"/>
      <c r="U15"/>
    </row>
    <row r="16" spans="1:21">
      <c r="B16" s="234" t="s">
        <v>189</v>
      </c>
      <c r="C16" s="234" t="s">
        <v>190</v>
      </c>
      <c r="D16" s="28">
        <v>2017</v>
      </c>
      <c r="E16" s="510">
        <v>139089.64999999991</v>
      </c>
      <c r="F16" s="510">
        <v>100273.10000000009</v>
      </c>
      <c r="G16" s="510">
        <v>183131.36999999988</v>
      </c>
      <c r="H16" s="510">
        <v>141251.4700000002</v>
      </c>
      <c r="I16" s="510">
        <v>174004.94999999995</v>
      </c>
      <c r="J16" s="510">
        <v>154064.42999999993</v>
      </c>
      <c r="K16" s="510">
        <v>156532.54999999999</v>
      </c>
      <c r="L16" s="510">
        <v>77488.800000000017</v>
      </c>
      <c r="M16" s="510">
        <v>44724.249999999971</v>
      </c>
      <c r="N16" s="510">
        <v>9977.5599999999977</v>
      </c>
      <c r="O16" s="510">
        <v>48445.540000000037</v>
      </c>
      <c r="P16" s="510">
        <v>71189.13</v>
      </c>
      <c r="Q16" s="250">
        <f t="shared" si="0"/>
        <v>1300172.8000000003</v>
      </c>
      <c r="R16" s="28" t="s">
        <v>415</v>
      </c>
      <c r="S16" s="179">
        <f t="shared" si="1"/>
        <v>408357.83</v>
      </c>
      <c r="T16"/>
      <c r="U16"/>
    </row>
    <row r="17" spans="1:24">
      <c r="A17" s="28">
        <v>380</v>
      </c>
      <c r="B17" s="234" t="s">
        <v>127</v>
      </c>
      <c r="C17" s="234" t="s">
        <v>128</v>
      </c>
      <c r="D17" s="28">
        <v>2017</v>
      </c>
      <c r="E17" s="179">
        <v>56481.599999999627</v>
      </c>
      <c r="F17" s="179">
        <v>62456</v>
      </c>
      <c r="G17" s="179">
        <v>71724.320000000298</v>
      </c>
      <c r="H17" s="179">
        <v>61714.639999999665</v>
      </c>
      <c r="I17" s="179">
        <v>96177.680000000633</v>
      </c>
      <c r="J17" s="179">
        <v>56137.519999999553</v>
      </c>
      <c r="K17" s="179">
        <v>74386.399999999994</v>
      </c>
      <c r="L17" s="179">
        <v>268033.94000000006</v>
      </c>
      <c r="M17" s="179">
        <v>133246.21999999997</v>
      </c>
      <c r="N17" s="179">
        <v>196773.81</v>
      </c>
      <c r="O17" s="179">
        <v>86670.760000000009</v>
      </c>
      <c r="P17" s="179">
        <v>222390.31999999995</v>
      </c>
      <c r="Q17" s="250">
        <f t="shared" si="0"/>
        <v>1386193.21</v>
      </c>
      <c r="R17" s="28" t="s">
        <v>415</v>
      </c>
      <c r="S17" s="179">
        <f t="shared" si="1"/>
        <v>981501.45000000007</v>
      </c>
      <c r="T17"/>
      <c r="U17"/>
    </row>
    <row r="18" spans="1:24">
      <c r="B18" s="235" t="s">
        <v>129</v>
      </c>
      <c r="C18" s="234" t="s">
        <v>130</v>
      </c>
      <c r="D18" s="28">
        <v>2017</v>
      </c>
      <c r="E18" s="179">
        <v>0</v>
      </c>
      <c r="F18" s="179">
        <v>0</v>
      </c>
      <c r="G18" s="179">
        <v>0</v>
      </c>
      <c r="H18" s="179">
        <v>0</v>
      </c>
      <c r="I18" s="179">
        <v>0</v>
      </c>
      <c r="J18" s="179">
        <v>0</v>
      </c>
      <c r="K18" s="179">
        <v>-17369.669999999998</v>
      </c>
      <c r="L18" s="179">
        <v>17369.669999999998</v>
      </c>
      <c r="M18" s="179">
        <v>0</v>
      </c>
      <c r="N18" s="179">
        <v>0</v>
      </c>
      <c r="O18" s="179">
        <v>0</v>
      </c>
      <c r="P18" s="179">
        <v>0</v>
      </c>
      <c r="Q18" s="250">
        <f t="shared" si="0"/>
        <v>0</v>
      </c>
      <c r="R18" s="28" t="s">
        <v>415</v>
      </c>
      <c r="S18" s="179">
        <f t="shared" si="1"/>
        <v>0</v>
      </c>
      <c r="T18"/>
      <c r="U18"/>
    </row>
    <row r="19" spans="1:24">
      <c r="B19" s="234" t="s">
        <v>342</v>
      </c>
      <c r="C19" s="236" t="s">
        <v>343</v>
      </c>
      <c r="D19" s="28">
        <v>2017</v>
      </c>
      <c r="E19" s="241">
        <v>0</v>
      </c>
      <c r="F19" s="241">
        <v>0</v>
      </c>
      <c r="G19" s="180">
        <v>615.03000000000247</v>
      </c>
      <c r="H19" s="180">
        <v>0</v>
      </c>
      <c r="I19" s="180">
        <v>67.099999999998545</v>
      </c>
      <c r="J19" s="180">
        <v>-0.33000000000174623</v>
      </c>
      <c r="K19" s="512">
        <v>-19.29</v>
      </c>
      <c r="L19" s="512">
        <v>19.29</v>
      </c>
      <c r="M19" s="512">
        <v>0</v>
      </c>
      <c r="N19" s="512">
        <v>0</v>
      </c>
      <c r="O19" s="512">
        <v>0</v>
      </c>
      <c r="P19" s="512">
        <v>0</v>
      </c>
      <c r="Q19" s="251">
        <f>SUM(E19:P19)</f>
        <v>681.79999999999927</v>
      </c>
      <c r="R19" s="28" t="s">
        <v>415</v>
      </c>
      <c r="S19" s="179">
        <f t="shared" si="1"/>
        <v>0</v>
      </c>
    </row>
    <row r="20" spans="1:24">
      <c r="C20" s="29" t="s">
        <v>131</v>
      </c>
      <c r="E20" s="181">
        <f t="shared" ref="E20:P20" si="2">SUM(E3:E19)</f>
        <v>3635204.7099999958</v>
      </c>
      <c r="F20" s="181">
        <f t="shared" si="2"/>
        <v>3737967.8800000031</v>
      </c>
      <c r="G20" s="181">
        <f t="shared" si="2"/>
        <v>4071706.2999999956</v>
      </c>
      <c r="H20" s="181">
        <f t="shared" si="2"/>
        <v>3646664.2799999989</v>
      </c>
      <c r="I20" s="181">
        <f t="shared" si="2"/>
        <v>3693934.4800000056</v>
      </c>
      <c r="J20" s="181">
        <f t="shared" si="2"/>
        <v>3048758.4299999978</v>
      </c>
      <c r="K20" s="181">
        <f t="shared" si="2"/>
        <v>3037429.9599999995</v>
      </c>
      <c r="L20" s="181">
        <f t="shared" si="2"/>
        <v>3265537.0399999996</v>
      </c>
      <c r="M20" s="181">
        <f t="shared" si="2"/>
        <v>3156954.3600000003</v>
      </c>
      <c r="N20" s="181">
        <f t="shared" si="2"/>
        <v>3899854.21</v>
      </c>
      <c r="O20" s="181">
        <f t="shared" si="2"/>
        <v>2650493.42</v>
      </c>
      <c r="P20" s="181">
        <f t="shared" si="2"/>
        <v>1671710.8800000004</v>
      </c>
      <c r="Q20" s="181">
        <f>SUM(Q3:Q19)</f>
        <v>39516215.949999996</v>
      </c>
    </row>
    <row r="21" spans="1:24">
      <c r="C21" s="29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1:24">
      <c r="C22" s="29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</row>
    <row r="23" spans="1:24">
      <c r="A23" s="182" t="s">
        <v>110</v>
      </c>
      <c r="B23" s="182" t="s">
        <v>316</v>
      </c>
      <c r="C23" s="182"/>
      <c r="D23" s="182">
        <v>2017</v>
      </c>
      <c r="E23" s="511">
        <v>0</v>
      </c>
      <c r="F23" s="511">
        <v>0</v>
      </c>
      <c r="G23" s="511">
        <v>0</v>
      </c>
      <c r="H23" s="511">
        <v>0</v>
      </c>
      <c r="I23" s="511">
        <v>0</v>
      </c>
      <c r="J23" s="511">
        <v>0</v>
      </c>
      <c r="K23" s="511">
        <v>239723.06</v>
      </c>
      <c r="L23" s="511">
        <v>70380.760000000009</v>
      </c>
      <c r="M23" s="511">
        <v>306489.25000000006</v>
      </c>
      <c r="N23" s="511">
        <v>429940.78</v>
      </c>
      <c r="O23" s="511">
        <v>393412.5399999998</v>
      </c>
      <c r="P23" s="511">
        <v>1622694.82</v>
      </c>
      <c r="Q23" s="179">
        <f>SUM(E23:P23)</f>
        <v>3062641.21</v>
      </c>
      <c r="R23" s="28" t="s">
        <v>219</v>
      </c>
      <c r="S23" s="179">
        <f>SUM(K23:P23)</f>
        <v>3062641.21</v>
      </c>
    </row>
    <row r="24" spans="1:24"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S24" s="179"/>
    </row>
    <row r="25" spans="1:24">
      <c r="A25" s="178" t="s">
        <v>37</v>
      </c>
      <c r="S25" s="179"/>
      <c r="T25"/>
      <c r="U25"/>
      <c r="V25"/>
      <c r="W25"/>
      <c r="X25"/>
    </row>
    <row r="26" spans="1:24">
      <c r="A26" s="28" t="s">
        <v>132</v>
      </c>
      <c r="B26" s="239" t="s">
        <v>120</v>
      </c>
      <c r="C26" s="239" t="s">
        <v>121</v>
      </c>
      <c r="D26" s="28">
        <v>2017</v>
      </c>
      <c r="E26" s="510">
        <v>3419.82</v>
      </c>
      <c r="F26" s="510">
        <v>6138.96</v>
      </c>
      <c r="G26" s="510">
        <v>7265.57</v>
      </c>
      <c r="H26" s="510">
        <v>11339.26</v>
      </c>
      <c r="I26" s="510">
        <v>48283.839999999997</v>
      </c>
      <c r="J26" s="510">
        <v>44705.18</v>
      </c>
      <c r="K26" s="510">
        <v>38874.949999999997</v>
      </c>
      <c r="L26" s="510">
        <v>13652.62</v>
      </c>
      <c r="M26" s="510">
        <v>36086.69</v>
      </c>
      <c r="N26" s="510">
        <v>147498.39000000001</v>
      </c>
      <c r="O26" s="510">
        <v>198015.39</v>
      </c>
      <c r="P26" s="510">
        <v>315268.21999999997</v>
      </c>
      <c r="Q26" s="179">
        <f t="shared" ref="Q26:Q31" si="3">SUM(E26:P26)</f>
        <v>870548.89</v>
      </c>
      <c r="S26" s="179">
        <f t="shared" ref="S26:S31" si="4">SUM(K26:P26)</f>
        <v>749396.26</v>
      </c>
      <c r="T26"/>
      <c r="U26"/>
      <c r="V26"/>
      <c r="W26"/>
      <c r="X26"/>
    </row>
    <row r="27" spans="1:24">
      <c r="A27" s="28" t="s">
        <v>132</v>
      </c>
      <c r="B27" s="239" t="s">
        <v>123</v>
      </c>
      <c r="C27" s="239" t="s">
        <v>124</v>
      </c>
      <c r="D27" s="28">
        <v>2017</v>
      </c>
      <c r="E27" s="510">
        <v>10591.47</v>
      </c>
      <c r="F27" s="510">
        <v>69695.240000000005</v>
      </c>
      <c r="G27" s="510">
        <v>408.53</v>
      </c>
      <c r="H27" s="510">
        <v>3060.12</v>
      </c>
      <c r="I27" s="510">
        <v>12155.12</v>
      </c>
      <c r="J27" s="510">
        <v>45491.64</v>
      </c>
      <c r="K27" s="510">
        <v>118656.44</v>
      </c>
      <c r="L27" s="510">
        <v>47773.16</v>
      </c>
      <c r="M27" s="510">
        <v>7823.23</v>
      </c>
      <c r="N27" s="510">
        <v>12470.76</v>
      </c>
      <c r="O27" s="510">
        <v>7387.7</v>
      </c>
      <c r="P27" s="510">
        <v>60669.52</v>
      </c>
      <c r="Q27" s="179">
        <f t="shared" si="3"/>
        <v>396182.93</v>
      </c>
      <c r="S27" s="179">
        <f t="shared" si="4"/>
        <v>254780.81000000003</v>
      </c>
      <c r="T27"/>
      <c r="U27"/>
      <c r="V27"/>
      <c r="W27"/>
      <c r="X27"/>
    </row>
    <row r="28" spans="1:24">
      <c r="A28" s="28" t="s">
        <v>132</v>
      </c>
      <c r="B28" s="239" t="s">
        <v>125</v>
      </c>
      <c r="C28" s="239" t="s">
        <v>126</v>
      </c>
      <c r="D28" s="28">
        <v>2017</v>
      </c>
      <c r="E28" s="510">
        <v>18724.18</v>
      </c>
      <c r="F28" s="510">
        <v>113905.69</v>
      </c>
      <c r="G28" s="510">
        <v>64789.79</v>
      </c>
      <c r="H28" s="510">
        <v>1723.75</v>
      </c>
      <c r="I28" s="510">
        <v>33286.61</v>
      </c>
      <c r="J28" s="510">
        <v>34648.080000000002</v>
      </c>
      <c r="K28" s="510">
        <v>19593.14</v>
      </c>
      <c r="L28" s="510">
        <v>34511.69</v>
      </c>
      <c r="M28" s="510">
        <v>41454.58</v>
      </c>
      <c r="N28" s="510">
        <v>73381.240000000005</v>
      </c>
      <c r="O28" s="510">
        <v>10571.38</v>
      </c>
      <c r="P28" s="510">
        <v>2295.92</v>
      </c>
      <c r="Q28" s="179">
        <f t="shared" si="3"/>
        <v>448886.05000000005</v>
      </c>
      <c r="S28" s="179">
        <f t="shared" si="4"/>
        <v>181807.95000000004</v>
      </c>
      <c r="T28"/>
      <c r="U28"/>
      <c r="V28"/>
      <c r="W28"/>
      <c r="X28"/>
    </row>
    <row r="29" spans="1:24">
      <c r="A29" s="28" t="s">
        <v>132</v>
      </c>
      <c r="B29" s="242" t="s">
        <v>127</v>
      </c>
      <c r="C29" s="242" t="s">
        <v>128</v>
      </c>
      <c r="D29" s="28">
        <v>2017</v>
      </c>
      <c r="E29" s="179">
        <v>7714.94</v>
      </c>
      <c r="F29" s="179">
        <v>13634.23</v>
      </c>
      <c r="G29" s="179">
        <v>18500.919999999998</v>
      </c>
      <c r="H29" s="179">
        <v>10452.540000000001</v>
      </c>
      <c r="I29" s="179">
        <v>21963.52</v>
      </c>
      <c r="J29" s="179">
        <v>43551.3</v>
      </c>
      <c r="K29" s="179">
        <v>16158.76</v>
      </c>
      <c r="L29" s="179">
        <v>16083.48</v>
      </c>
      <c r="M29" s="179">
        <v>18536.05</v>
      </c>
      <c r="N29" s="179">
        <v>17341.64</v>
      </c>
      <c r="O29" s="179">
        <v>28010.400000000001</v>
      </c>
      <c r="P29" s="179">
        <v>24027.32</v>
      </c>
      <c r="Q29" s="179">
        <f t="shared" si="3"/>
        <v>235975.1</v>
      </c>
      <c r="S29" s="179">
        <f t="shared" si="4"/>
        <v>120157.65</v>
      </c>
      <c r="T29"/>
      <c r="U29"/>
      <c r="V29"/>
      <c r="W29"/>
      <c r="X29"/>
    </row>
    <row r="30" spans="1:24">
      <c r="A30" s="28" t="s">
        <v>132</v>
      </c>
      <c r="B30" s="242" t="s">
        <v>129</v>
      </c>
      <c r="C30" s="242" t="s">
        <v>130</v>
      </c>
      <c r="D30" s="28">
        <v>2017</v>
      </c>
      <c r="E30" s="179">
        <v>26251.599999999999</v>
      </c>
      <c r="F30" s="179">
        <v>29321.27</v>
      </c>
      <c r="G30" s="179">
        <v>30169.439999999999</v>
      </c>
      <c r="H30" s="179">
        <v>24981.24</v>
      </c>
      <c r="I30" s="179">
        <v>18663.61</v>
      </c>
      <c r="J30" s="179">
        <v>19225.32</v>
      </c>
      <c r="K30" s="179">
        <v>10258.4</v>
      </c>
      <c r="L30" s="179">
        <v>12861.93</v>
      </c>
      <c r="M30" s="179">
        <v>5501.79</v>
      </c>
      <c r="N30" s="179">
        <v>14104.64</v>
      </c>
      <c r="O30" s="179">
        <v>10789.93</v>
      </c>
      <c r="P30" s="179">
        <v>13422.09</v>
      </c>
      <c r="Q30" s="179">
        <f t="shared" si="3"/>
        <v>215551.25999999998</v>
      </c>
      <c r="S30" s="179">
        <f t="shared" si="4"/>
        <v>66938.78</v>
      </c>
      <c r="T30"/>
      <c r="U30"/>
      <c r="V30"/>
      <c r="W30"/>
      <c r="X30"/>
    </row>
    <row r="31" spans="1:24">
      <c r="A31" s="28" t="s">
        <v>132</v>
      </c>
      <c r="B31" s="239" t="s">
        <v>189</v>
      </c>
      <c r="C31" s="239" t="s">
        <v>190</v>
      </c>
      <c r="D31" s="28">
        <v>2017</v>
      </c>
      <c r="E31" s="512"/>
      <c r="F31" s="512"/>
      <c r="G31" s="512"/>
      <c r="H31" s="512"/>
      <c r="I31" s="512">
        <v>49974.13</v>
      </c>
      <c r="J31" s="512">
        <v>6755.03</v>
      </c>
      <c r="K31" s="512">
        <v>17509.02</v>
      </c>
      <c r="L31" s="512">
        <v>8667.06</v>
      </c>
      <c r="M31" s="512">
        <v>38264.68</v>
      </c>
      <c r="N31" s="512">
        <v>136357.10999999999</v>
      </c>
      <c r="O31" s="512">
        <v>34286.449999999997</v>
      </c>
      <c r="P31" s="512">
        <v>35551.360000000001</v>
      </c>
      <c r="Q31" s="180">
        <f t="shared" si="3"/>
        <v>327364.83999999997</v>
      </c>
      <c r="S31" s="179">
        <f t="shared" si="4"/>
        <v>270635.68</v>
      </c>
      <c r="T31"/>
      <c r="U31"/>
      <c r="V31"/>
      <c r="W31"/>
      <c r="X31"/>
    </row>
    <row r="32" spans="1:24">
      <c r="C32" s="29" t="s">
        <v>133</v>
      </c>
      <c r="E32" s="181">
        <f t="shared" ref="E32:Q32" si="5">SUM(E26:E31)</f>
        <v>66702.010000000009</v>
      </c>
      <c r="F32" s="181">
        <f t="shared" si="5"/>
        <v>232695.39</v>
      </c>
      <c r="G32" s="181">
        <f t="shared" si="5"/>
        <v>121134.25</v>
      </c>
      <c r="H32" s="181">
        <f>SUM(H26:H31)</f>
        <v>51556.91</v>
      </c>
      <c r="I32" s="181">
        <f t="shared" si="5"/>
        <v>184326.83000000002</v>
      </c>
      <c r="J32" s="181">
        <f>SUM(J26:J31)</f>
        <v>194376.55000000002</v>
      </c>
      <c r="K32" s="181">
        <f t="shared" si="5"/>
        <v>221050.71000000002</v>
      </c>
      <c r="L32" s="181">
        <f t="shared" si="5"/>
        <v>133549.94</v>
      </c>
      <c r="M32" s="181">
        <f t="shared" si="5"/>
        <v>147667.01999999999</v>
      </c>
      <c r="N32" s="181">
        <f t="shared" si="5"/>
        <v>401153.78</v>
      </c>
      <c r="O32" s="181">
        <f t="shared" si="5"/>
        <v>289061.25</v>
      </c>
      <c r="P32" s="181">
        <f t="shared" si="5"/>
        <v>451234.43</v>
      </c>
      <c r="Q32" s="181">
        <f t="shared" si="5"/>
        <v>2494509.0699999998</v>
      </c>
      <c r="S32"/>
      <c r="T32"/>
      <c r="U32"/>
      <c r="V32"/>
      <c r="W32"/>
      <c r="X32"/>
    </row>
    <row r="33" spans="1:24">
      <c r="S33"/>
      <c r="T33"/>
      <c r="U33"/>
      <c r="V33"/>
      <c r="W33"/>
      <c r="X33"/>
    </row>
    <row r="34" spans="1:24">
      <c r="C34" s="29" t="s">
        <v>191</v>
      </c>
      <c r="E34" s="181">
        <f t="shared" ref="E34:O34" si="6">E20+E32+E23</f>
        <v>3701906.719999996</v>
      </c>
      <c r="F34" s="181">
        <f t="shared" si="6"/>
        <v>3970663.2700000033</v>
      </c>
      <c r="G34" s="181">
        <f t="shared" si="6"/>
        <v>4192840.5499999956</v>
      </c>
      <c r="H34" s="181">
        <f t="shared" si="6"/>
        <v>3698221.189999999</v>
      </c>
      <c r="I34" s="181">
        <f t="shared" si="6"/>
        <v>3878261.3100000056</v>
      </c>
      <c r="J34" s="181">
        <f t="shared" si="6"/>
        <v>3243134.9799999977</v>
      </c>
      <c r="K34" s="181">
        <f t="shared" si="6"/>
        <v>3498203.7299999995</v>
      </c>
      <c r="L34" s="181">
        <f t="shared" si="6"/>
        <v>3469467.7399999993</v>
      </c>
      <c r="M34" s="181">
        <f t="shared" si="6"/>
        <v>3611110.6300000004</v>
      </c>
      <c r="N34" s="181">
        <f t="shared" si="6"/>
        <v>4730948.7700000005</v>
      </c>
      <c r="O34" s="181">
        <f t="shared" si="6"/>
        <v>3332967.21</v>
      </c>
      <c r="P34" s="181">
        <f>P20+P32+P23</f>
        <v>3745640.1300000008</v>
      </c>
      <c r="Q34" s="181">
        <f>Q20+Q32+Q23</f>
        <v>45073366.229999997</v>
      </c>
      <c r="S34" s="179">
        <f>SUM(S3:S31)</f>
        <v>22388338.210000001</v>
      </c>
      <c r="T34" s="182"/>
      <c r="U34" s="182"/>
      <c r="V34" s="182"/>
    </row>
    <row r="35" spans="1:24">
      <c r="C35" s="29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</row>
    <row r="36" spans="1:24" hidden="1">
      <c r="A36" s="178" t="s">
        <v>109</v>
      </c>
    </row>
    <row r="37" spans="1:24" hidden="1">
      <c r="A37" s="28" t="s">
        <v>110</v>
      </c>
      <c r="B37" s="28" t="s">
        <v>111</v>
      </c>
      <c r="C37" s="28" t="s">
        <v>112</v>
      </c>
      <c r="D37" s="28">
        <v>2018</v>
      </c>
      <c r="E37" s="179">
        <v>186185.53</v>
      </c>
      <c r="F37" s="179">
        <v>160489.14000000001</v>
      </c>
      <c r="G37" s="179">
        <v>169260.06</v>
      </c>
      <c r="H37" s="179">
        <v>162592.25</v>
      </c>
      <c r="I37" s="179">
        <v>176374.84</v>
      </c>
      <c r="J37" s="179">
        <v>158518.10999999999</v>
      </c>
      <c r="K37" s="179">
        <v>159817.35999999999</v>
      </c>
      <c r="L37" s="179">
        <v>186878.72</v>
      </c>
      <c r="M37" s="179">
        <v>162215.48000000001</v>
      </c>
      <c r="N37" s="179">
        <v>180247.71</v>
      </c>
      <c r="O37" s="179">
        <v>167622.68</v>
      </c>
      <c r="P37" s="179">
        <v>157909.67000000001</v>
      </c>
      <c r="Q37" s="179">
        <f t="shared" ref="Q37:Q48" si="7">SUM(E37:P37)</f>
        <v>2028111.5499999998</v>
      </c>
    </row>
    <row r="38" spans="1:24" hidden="1">
      <c r="A38" s="28" t="s">
        <v>110</v>
      </c>
      <c r="B38" s="28" t="s">
        <v>113</v>
      </c>
      <c r="C38" s="28" t="s">
        <v>114</v>
      </c>
      <c r="D38" s="28">
        <v>2018</v>
      </c>
      <c r="E38" s="179">
        <v>12063.07</v>
      </c>
      <c r="F38" s="179">
        <v>8642.9699999999993</v>
      </c>
      <c r="G38" s="179">
        <v>9978.69</v>
      </c>
      <c r="H38" s="179">
        <v>14011.59</v>
      </c>
      <c r="I38" s="179">
        <v>22487.79</v>
      </c>
      <c r="J38" s="179">
        <v>7893.27</v>
      </c>
      <c r="K38" s="179">
        <v>11927.31</v>
      </c>
      <c r="L38" s="179">
        <v>10922.97</v>
      </c>
      <c r="M38" s="179">
        <v>8727.43</v>
      </c>
      <c r="N38" s="179">
        <v>16982.37</v>
      </c>
      <c r="O38" s="179">
        <v>12062.97</v>
      </c>
      <c r="P38" s="179">
        <v>4337.6099999999997</v>
      </c>
      <c r="Q38" s="179">
        <f t="shared" si="7"/>
        <v>140038.04</v>
      </c>
    </row>
    <row r="39" spans="1:24" hidden="1">
      <c r="A39" s="28" t="s">
        <v>110</v>
      </c>
      <c r="B39" s="28" t="s">
        <v>115</v>
      </c>
      <c r="C39" s="28" t="s">
        <v>116</v>
      </c>
      <c r="D39" s="28">
        <v>2018</v>
      </c>
      <c r="E39" s="179">
        <v>4186.8</v>
      </c>
      <c r="F39" s="179">
        <v>0</v>
      </c>
      <c r="G39" s="179">
        <v>8746.7999999999993</v>
      </c>
      <c r="H39" s="179">
        <v>0</v>
      </c>
      <c r="I39" s="179">
        <v>13306.8</v>
      </c>
      <c r="J39" s="179">
        <v>34200</v>
      </c>
      <c r="K39" s="179">
        <v>11400</v>
      </c>
      <c r="L39" s="179">
        <v>11026.8</v>
      </c>
      <c r="M39" s="179">
        <v>0</v>
      </c>
      <c r="N39" s="179">
        <v>4186.8</v>
      </c>
      <c r="O39" s="179">
        <v>4560</v>
      </c>
      <c r="P39" s="179">
        <v>7793.4</v>
      </c>
      <c r="Q39" s="179">
        <f t="shared" si="7"/>
        <v>99407.4</v>
      </c>
    </row>
    <row r="40" spans="1:24" hidden="1">
      <c r="A40" s="28" t="s">
        <v>110</v>
      </c>
      <c r="B40" s="28" t="s">
        <v>117</v>
      </c>
      <c r="C40" s="28" t="s">
        <v>118</v>
      </c>
      <c r="D40" s="28">
        <v>2018</v>
      </c>
      <c r="E40" s="179">
        <v>387527.36</v>
      </c>
      <c r="F40" s="179">
        <v>325903.34000000003</v>
      </c>
      <c r="G40" s="179">
        <v>356177.76</v>
      </c>
      <c r="H40" s="179">
        <v>340813.14</v>
      </c>
      <c r="I40" s="179">
        <v>373653.38</v>
      </c>
      <c r="J40" s="179">
        <v>336399.05</v>
      </c>
      <c r="K40" s="179">
        <v>341054.36</v>
      </c>
      <c r="L40" s="179">
        <v>397880.68</v>
      </c>
      <c r="M40" s="179">
        <v>338179.39</v>
      </c>
      <c r="N40" s="179">
        <v>381704.17</v>
      </c>
      <c r="O40" s="179">
        <v>348481.75</v>
      </c>
      <c r="P40" s="179">
        <v>312069.15999999997</v>
      </c>
      <c r="Q40" s="179">
        <f t="shared" si="7"/>
        <v>4239843.54</v>
      </c>
    </row>
    <row r="41" spans="1:24" hidden="1">
      <c r="A41" s="28" t="s">
        <v>110</v>
      </c>
      <c r="B41" s="28" t="s">
        <v>119</v>
      </c>
      <c r="C41" s="28" t="s">
        <v>216</v>
      </c>
      <c r="D41" s="28">
        <v>2018</v>
      </c>
      <c r="E41" s="179">
        <v>1140</v>
      </c>
      <c r="F41" s="179">
        <v>4373.3999999999996</v>
      </c>
      <c r="G41" s="179">
        <v>3224.28</v>
      </c>
      <c r="H41" s="179">
        <v>4560</v>
      </c>
      <c r="I41" s="179">
        <v>3224.28</v>
      </c>
      <c r="J41" s="179">
        <v>10636.5</v>
      </c>
      <c r="K41" s="179">
        <v>3224.28</v>
      </c>
      <c r="L41" s="179">
        <v>3224.28</v>
      </c>
      <c r="M41" s="179">
        <v>3224.28</v>
      </c>
      <c r="N41" s="179">
        <v>4364.28</v>
      </c>
      <c r="O41" s="179">
        <v>3224.28</v>
      </c>
      <c r="P41" s="179">
        <v>1140</v>
      </c>
      <c r="Q41" s="179">
        <f t="shared" si="7"/>
        <v>45559.859999999993</v>
      </c>
    </row>
    <row r="42" spans="1:24" hidden="1">
      <c r="A42" s="28" t="s">
        <v>110</v>
      </c>
      <c r="B42" s="28" t="s">
        <v>120</v>
      </c>
      <c r="C42" s="28" t="s">
        <v>121</v>
      </c>
      <c r="D42" s="28">
        <v>2018</v>
      </c>
      <c r="E42" s="179">
        <v>324961.05</v>
      </c>
      <c r="F42" s="179">
        <v>329947.18</v>
      </c>
      <c r="G42" s="179">
        <v>332498.55</v>
      </c>
      <c r="H42" s="179">
        <v>328543.65999999997</v>
      </c>
      <c r="I42" s="179">
        <v>333103.65999999997</v>
      </c>
      <c r="J42" s="179">
        <v>328901.58</v>
      </c>
      <c r="K42" s="179">
        <v>326977.52</v>
      </c>
      <c r="L42" s="179">
        <v>335120.13</v>
      </c>
      <c r="M42" s="179">
        <v>333103.65999999997</v>
      </c>
      <c r="N42" s="179">
        <v>330560.13</v>
      </c>
      <c r="O42" s="179">
        <v>333103.65999999997</v>
      </c>
      <c r="P42" s="179">
        <v>362743.66</v>
      </c>
      <c r="Q42" s="179">
        <f t="shared" si="7"/>
        <v>3999564.4400000004</v>
      </c>
    </row>
    <row r="43" spans="1:24" hidden="1">
      <c r="A43" s="28" t="s">
        <v>110</v>
      </c>
      <c r="B43" s="28" t="s">
        <v>123</v>
      </c>
      <c r="C43" s="28" t="s">
        <v>124</v>
      </c>
      <c r="D43" s="28">
        <v>2018</v>
      </c>
      <c r="E43" s="179">
        <v>386063.56</v>
      </c>
      <c r="F43" s="179">
        <v>377913.09</v>
      </c>
      <c r="G43" s="179">
        <v>393516.51</v>
      </c>
      <c r="H43" s="179">
        <v>382115.16</v>
      </c>
      <c r="I43" s="179">
        <v>387995.48</v>
      </c>
      <c r="J43" s="179">
        <v>383265</v>
      </c>
      <c r="K43" s="179">
        <v>377828.52</v>
      </c>
      <c r="L43" s="179">
        <v>389561.59999999998</v>
      </c>
      <c r="M43" s="179">
        <v>381502.2</v>
      </c>
      <c r="N43" s="179">
        <v>390181.07</v>
      </c>
      <c r="O43" s="179">
        <v>385528.65</v>
      </c>
      <c r="P43" s="179">
        <v>365805.73</v>
      </c>
      <c r="Q43" s="179">
        <f t="shared" si="7"/>
        <v>4601276.57</v>
      </c>
    </row>
    <row r="44" spans="1:24" hidden="1">
      <c r="A44" s="28" t="s">
        <v>110</v>
      </c>
      <c r="B44" s="28" t="s">
        <v>125</v>
      </c>
      <c r="C44" s="28" t="s">
        <v>126</v>
      </c>
      <c r="D44" s="28">
        <v>2018</v>
      </c>
      <c r="E44" s="179">
        <v>55664.67</v>
      </c>
      <c r="F44" s="179">
        <v>54524.67</v>
      </c>
      <c r="G44" s="179">
        <v>49606.74</v>
      </c>
      <c r="H44" s="179">
        <v>48466.74</v>
      </c>
      <c r="I44" s="179">
        <v>50746.74</v>
      </c>
      <c r="J44" s="179">
        <v>49606.74</v>
      </c>
      <c r="K44" s="179">
        <v>46365.71</v>
      </c>
      <c r="L44" s="179">
        <v>49606.74</v>
      </c>
      <c r="M44" s="179">
        <v>49606.74</v>
      </c>
      <c r="N44" s="179">
        <v>48466.74</v>
      </c>
      <c r="O44" s="179">
        <v>49606.74</v>
      </c>
      <c r="P44" s="179">
        <v>47505.71</v>
      </c>
      <c r="Q44" s="179">
        <f t="shared" si="7"/>
        <v>599774.67999999993</v>
      </c>
    </row>
    <row r="45" spans="1:24" hidden="1">
      <c r="A45" s="28" t="s">
        <v>110</v>
      </c>
      <c r="B45" s="28" t="s">
        <v>127</v>
      </c>
      <c r="C45" s="28" t="s">
        <v>128</v>
      </c>
      <c r="D45" s="28">
        <v>2018</v>
      </c>
      <c r="E45" s="179">
        <v>182995.97</v>
      </c>
      <c r="F45" s="179">
        <v>154533.23000000001</v>
      </c>
      <c r="G45" s="179">
        <v>169606.99</v>
      </c>
      <c r="H45" s="179">
        <v>161299.14000000001</v>
      </c>
      <c r="I45" s="179">
        <v>178027.04</v>
      </c>
      <c r="J45" s="179">
        <v>159554.56</v>
      </c>
      <c r="K45" s="179">
        <v>162594.53</v>
      </c>
      <c r="L45" s="179">
        <v>191476.63</v>
      </c>
      <c r="M45" s="179">
        <v>162282.1</v>
      </c>
      <c r="N45" s="179">
        <v>182293.42</v>
      </c>
      <c r="O45" s="179">
        <v>165401.94</v>
      </c>
      <c r="P45" s="179">
        <v>147852.20000000001</v>
      </c>
      <c r="Q45" s="179">
        <f t="shared" si="7"/>
        <v>2017917.7500000002</v>
      </c>
    </row>
    <row r="46" spans="1:24" hidden="1">
      <c r="A46" s="28" t="s">
        <v>110</v>
      </c>
      <c r="B46" s="28" t="s">
        <v>129</v>
      </c>
      <c r="C46" s="28" t="s">
        <v>130</v>
      </c>
      <c r="D46" s="28">
        <v>2018</v>
      </c>
      <c r="E46" s="179">
        <v>7704.19</v>
      </c>
      <c r="F46" s="179">
        <v>7704.33</v>
      </c>
      <c r="G46" s="179">
        <v>11601.57</v>
      </c>
      <c r="H46" s="179">
        <v>13550.19</v>
      </c>
      <c r="I46" s="179">
        <v>12741.57</v>
      </c>
      <c r="J46" s="179">
        <v>7704.33</v>
      </c>
      <c r="K46" s="179">
        <v>7704.33</v>
      </c>
      <c r="L46" s="179">
        <v>11601.57</v>
      </c>
      <c r="M46" s="179">
        <v>8844.33</v>
      </c>
      <c r="N46" s="179">
        <v>11601.57</v>
      </c>
      <c r="O46" s="179">
        <v>13550.19</v>
      </c>
      <c r="P46" s="179">
        <v>7704.33</v>
      </c>
      <c r="Q46" s="179">
        <f t="shared" si="7"/>
        <v>122012.49999999999</v>
      </c>
    </row>
    <row r="47" spans="1:24" hidden="1">
      <c r="A47" s="28" t="s">
        <v>110</v>
      </c>
      <c r="B47" s="28" t="s">
        <v>220</v>
      </c>
      <c r="C47" s="28" t="s">
        <v>221</v>
      </c>
      <c r="D47" s="28">
        <v>2018</v>
      </c>
      <c r="E47" s="179">
        <v>134055.41</v>
      </c>
      <c r="F47" s="179">
        <v>286749.19</v>
      </c>
      <c r="G47" s="179">
        <v>912267.63</v>
      </c>
      <c r="H47" s="179">
        <v>913749.19</v>
      </c>
      <c r="I47" s="179">
        <v>913749.19</v>
      </c>
      <c r="J47" s="179">
        <v>1022049.19</v>
      </c>
      <c r="K47" s="179">
        <v>942249.19</v>
      </c>
      <c r="L47" s="179">
        <v>942249.19</v>
      </c>
      <c r="M47" s="179">
        <v>942249.19</v>
      </c>
      <c r="N47" s="179">
        <v>942249.19</v>
      </c>
      <c r="O47" s="179">
        <v>776949.19</v>
      </c>
      <c r="P47" s="179">
        <v>686889.19</v>
      </c>
      <c r="Q47" s="179">
        <f t="shared" si="7"/>
        <v>9415454.9399999976</v>
      </c>
      <c r="R47" s="28" t="s">
        <v>219</v>
      </c>
    </row>
    <row r="48" spans="1:24" hidden="1">
      <c r="A48" s="28" t="s">
        <v>110</v>
      </c>
      <c r="B48" s="28" t="s">
        <v>217</v>
      </c>
      <c r="C48" s="28" t="s">
        <v>218</v>
      </c>
      <c r="D48" s="28">
        <v>2018</v>
      </c>
      <c r="E48" s="180">
        <v>1358103.19</v>
      </c>
      <c r="F48" s="180">
        <v>1373178.07</v>
      </c>
      <c r="G48" s="180">
        <v>1628357.32</v>
      </c>
      <c r="H48" s="180">
        <v>1643178.53</v>
      </c>
      <c r="I48" s="180">
        <v>1699518.61</v>
      </c>
      <c r="J48" s="180">
        <v>1729786</v>
      </c>
      <c r="K48" s="180">
        <v>1740449.26</v>
      </c>
      <c r="L48" s="180">
        <v>1889198.12</v>
      </c>
      <c r="M48" s="180">
        <v>1669762.17</v>
      </c>
      <c r="N48" s="180">
        <v>1666346.84</v>
      </c>
      <c r="O48" s="180">
        <v>1633930.6</v>
      </c>
      <c r="P48" s="180">
        <v>1567469.06</v>
      </c>
      <c r="Q48" s="180">
        <f t="shared" si="7"/>
        <v>19599277.77</v>
      </c>
      <c r="R48" s="28" t="s">
        <v>219</v>
      </c>
    </row>
    <row r="49" spans="1:18" hidden="1">
      <c r="C49" s="29" t="s">
        <v>131</v>
      </c>
      <c r="E49" s="181">
        <f t="shared" ref="E49:Q49" si="8">SUM(E37:E48)</f>
        <v>3040650.8</v>
      </c>
      <c r="F49" s="181">
        <f t="shared" si="8"/>
        <v>3083958.6100000003</v>
      </c>
      <c r="G49" s="181">
        <f t="shared" si="8"/>
        <v>4044842.9000000004</v>
      </c>
      <c r="H49" s="181">
        <f t="shared" si="8"/>
        <v>4012879.59</v>
      </c>
      <c r="I49" s="181">
        <f t="shared" si="8"/>
        <v>4164929.38</v>
      </c>
      <c r="J49" s="181">
        <f t="shared" si="8"/>
        <v>4228514.33</v>
      </c>
      <c r="K49" s="181">
        <f t="shared" si="8"/>
        <v>4131592.37</v>
      </c>
      <c r="L49" s="181">
        <f t="shared" si="8"/>
        <v>4418747.43</v>
      </c>
      <c r="M49" s="181">
        <f t="shared" si="8"/>
        <v>4059696.9699999997</v>
      </c>
      <c r="N49" s="181">
        <f t="shared" si="8"/>
        <v>4159184.29</v>
      </c>
      <c r="O49" s="181">
        <f t="shared" si="8"/>
        <v>3894022.65</v>
      </c>
      <c r="P49" s="181">
        <f t="shared" si="8"/>
        <v>3669219.72</v>
      </c>
      <c r="Q49" s="181">
        <f t="shared" si="8"/>
        <v>46908239.039999999</v>
      </c>
    </row>
    <row r="50" spans="1:18" hidden="1">
      <c r="A50" s="178" t="s">
        <v>37</v>
      </c>
    </row>
    <row r="51" spans="1:18" hidden="1">
      <c r="A51" s="28" t="s">
        <v>132</v>
      </c>
      <c r="B51" s="28" t="s">
        <v>127</v>
      </c>
      <c r="C51" s="28" t="s">
        <v>128</v>
      </c>
      <c r="D51" s="28">
        <v>2018</v>
      </c>
      <c r="E51" s="179">
        <v>33548.199999999997</v>
      </c>
      <c r="F51" s="179">
        <v>28399.08</v>
      </c>
      <c r="G51" s="179">
        <v>31287.51</v>
      </c>
      <c r="H51" s="179">
        <v>29694.04</v>
      </c>
      <c r="I51" s="179">
        <v>32777.99</v>
      </c>
      <c r="J51" s="179">
        <v>29274.59</v>
      </c>
      <c r="K51" s="179">
        <v>29837.88</v>
      </c>
      <c r="L51" s="179">
        <v>35167.31</v>
      </c>
      <c r="M51" s="179">
        <v>29381.99</v>
      </c>
      <c r="N51" s="179">
        <v>33618.82</v>
      </c>
      <c r="O51" s="179">
        <v>30303.37</v>
      </c>
      <c r="P51" s="179">
        <v>26844.63</v>
      </c>
      <c r="Q51" s="179">
        <f>SUM(E51:P51)</f>
        <v>370135.41</v>
      </c>
    </row>
    <row r="52" spans="1:18" hidden="1">
      <c r="A52" s="28" t="s">
        <v>132</v>
      </c>
      <c r="B52" s="28" t="s">
        <v>129</v>
      </c>
      <c r="C52" s="28" t="s">
        <v>130</v>
      </c>
      <c r="D52" s="28">
        <v>2018</v>
      </c>
      <c r="E52" s="179">
        <v>0</v>
      </c>
      <c r="F52" s="179">
        <v>4186.8</v>
      </c>
      <c r="G52" s="179">
        <v>0</v>
      </c>
      <c r="H52" s="179">
        <v>11980.2</v>
      </c>
      <c r="I52" s="179">
        <v>11400</v>
      </c>
      <c r="J52" s="179">
        <v>11980.2</v>
      </c>
      <c r="K52" s="179">
        <v>0</v>
      </c>
      <c r="L52" s="179">
        <v>1140</v>
      </c>
      <c r="M52" s="179">
        <v>0</v>
      </c>
      <c r="N52" s="179">
        <v>4186.8</v>
      </c>
      <c r="O52" s="179">
        <v>0</v>
      </c>
      <c r="P52" s="179">
        <v>2093.4</v>
      </c>
      <c r="Q52" s="179">
        <f>SUM(E52:P52)</f>
        <v>46967.4</v>
      </c>
    </row>
    <row r="53" spans="1:18" hidden="1">
      <c r="A53" s="28" t="s">
        <v>132</v>
      </c>
      <c r="B53" s="28" t="s">
        <v>217</v>
      </c>
      <c r="C53" s="28" t="s">
        <v>218</v>
      </c>
      <c r="D53" s="28">
        <v>2018</v>
      </c>
      <c r="E53" s="180">
        <v>27360</v>
      </c>
      <c r="F53" s="180">
        <v>30780</v>
      </c>
      <c r="G53" s="180">
        <v>30780</v>
      </c>
      <c r="H53" s="180">
        <v>27360</v>
      </c>
      <c r="I53" s="180">
        <v>38760</v>
      </c>
      <c r="J53" s="180">
        <v>38760</v>
      </c>
      <c r="K53" s="180">
        <v>34200</v>
      </c>
      <c r="L53" s="180">
        <v>38760</v>
      </c>
      <c r="M53" s="180">
        <v>38760</v>
      </c>
      <c r="N53" s="180">
        <v>30780</v>
      </c>
      <c r="O53" s="180">
        <v>31920</v>
      </c>
      <c r="P53" s="180">
        <v>31920</v>
      </c>
      <c r="Q53" s="180">
        <f>SUM(E53:P53)</f>
        <v>400140</v>
      </c>
      <c r="R53" s="28" t="s">
        <v>219</v>
      </c>
    </row>
    <row r="54" spans="1:18" hidden="1">
      <c r="C54" s="29" t="s">
        <v>133</v>
      </c>
      <c r="E54" s="181">
        <f t="shared" ref="E54:Q54" si="9">SUM(E51:E53)</f>
        <v>60908.2</v>
      </c>
      <c r="F54" s="181">
        <f t="shared" si="9"/>
        <v>63365.880000000005</v>
      </c>
      <c r="G54" s="181">
        <f t="shared" si="9"/>
        <v>62067.509999999995</v>
      </c>
      <c r="H54" s="181">
        <f t="shared" si="9"/>
        <v>69034.240000000005</v>
      </c>
      <c r="I54" s="181">
        <f t="shared" si="9"/>
        <v>82937.989999999991</v>
      </c>
      <c r="J54" s="181">
        <f t="shared" si="9"/>
        <v>80014.790000000008</v>
      </c>
      <c r="K54" s="181">
        <f t="shared" si="9"/>
        <v>64037.880000000005</v>
      </c>
      <c r="L54" s="181">
        <f t="shared" si="9"/>
        <v>75067.31</v>
      </c>
      <c r="M54" s="181">
        <f t="shared" si="9"/>
        <v>68141.990000000005</v>
      </c>
      <c r="N54" s="181">
        <f t="shared" si="9"/>
        <v>68585.62</v>
      </c>
      <c r="O54" s="181">
        <f t="shared" si="9"/>
        <v>62223.369999999995</v>
      </c>
      <c r="P54" s="181">
        <f t="shared" si="9"/>
        <v>60858.03</v>
      </c>
      <c r="Q54" s="181">
        <f t="shared" si="9"/>
        <v>817242.81</v>
      </c>
    </row>
    <row r="55" spans="1:18" hidden="1"/>
    <row r="56" spans="1:18" hidden="1">
      <c r="C56" s="29" t="s">
        <v>222</v>
      </c>
      <c r="E56" s="181">
        <f t="shared" ref="E56:Q56" si="10">E49+E54</f>
        <v>3101559</v>
      </c>
      <c r="F56" s="181">
        <f t="shared" si="10"/>
        <v>3147324.49</v>
      </c>
      <c r="G56" s="181">
        <f t="shared" si="10"/>
        <v>4106910.41</v>
      </c>
      <c r="H56" s="181">
        <f t="shared" si="10"/>
        <v>4081913.83</v>
      </c>
      <c r="I56" s="181">
        <f t="shared" si="10"/>
        <v>4247867.37</v>
      </c>
      <c r="J56" s="181">
        <f t="shared" si="10"/>
        <v>4308529.12</v>
      </c>
      <c r="K56" s="181">
        <f t="shared" si="10"/>
        <v>4195630.25</v>
      </c>
      <c r="L56" s="181">
        <f t="shared" si="10"/>
        <v>4493814.7399999993</v>
      </c>
      <c r="M56" s="181">
        <f t="shared" si="10"/>
        <v>4127838.96</v>
      </c>
      <c r="N56" s="181">
        <f t="shared" si="10"/>
        <v>4227769.91</v>
      </c>
      <c r="O56" s="181">
        <f t="shared" si="10"/>
        <v>3956246.02</v>
      </c>
      <c r="P56" s="181">
        <f t="shared" si="10"/>
        <v>3730077.75</v>
      </c>
      <c r="Q56" s="181">
        <f t="shared" si="10"/>
        <v>47725481.850000001</v>
      </c>
    </row>
    <row r="57" spans="1:18" hidden="1">
      <c r="C57" s="29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</row>
    <row r="58" spans="1:18" hidden="1">
      <c r="A58" s="178" t="s">
        <v>109</v>
      </c>
    </row>
    <row r="59" spans="1:18" hidden="1">
      <c r="A59" s="28" t="s">
        <v>110</v>
      </c>
      <c r="B59" s="28" t="s">
        <v>111</v>
      </c>
      <c r="C59" s="28" t="s">
        <v>112</v>
      </c>
      <c r="D59" s="28">
        <v>2019</v>
      </c>
      <c r="E59" s="179">
        <v>195835.63</v>
      </c>
      <c r="F59" s="179">
        <v>168740.26</v>
      </c>
      <c r="G59" s="179">
        <v>175998.34</v>
      </c>
      <c r="H59" s="179">
        <v>172442.62</v>
      </c>
      <c r="I59" s="179">
        <v>179189.87</v>
      </c>
      <c r="J59" s="179">
        <v>152409.91</v>
      </c>
      <c r="K59" s="179">
        <v>169535.82</v>
      </c>
      <c r="L59" s="179">
        <v>181298.9</v>
      </c>
      <c r="M59" s="179">
        <v>170278.1</v>
      </c>
      <c r="N59" s="179">
        <v>187083.61</v>
      </c>
      <c r="O59" s="179">
        <v>167346.92000000001</v>
      </c>
      <c r="P59" s="179">
        <v>166726.26999999999</v>
      </c>
      <c r="Q59" s="179">
        <f t="shared" ref="Q59:Q69" si="11">SUM(E59:P59)</f>
        <v>2086886.25</v>
      </c>
    </row>
    <row r="60" spans="1:18" hidden="1">
      <c r="A60" s="28" t="s">
        <v>110</v>
      </c>
      <c r="B60" s="28" t="s">
        <v>113</v>
      </c>
      <c r="C60" s="28" t="s">
        <v>114</v>
      </c>
      <c r="D60" s="28">
        <v>2019</v>
      </c>
      <c r="E60" s="179">
        <v>14095.13</v>
      </c>
      <c r="F60" s="179">
        <v>10675.03</v>
      </c>
      <c r="G60" s="179">
        <v>9961.69</v>
      </c>
      <c r="H60" s="179">
        <v>13957.09</v>
      </c>
      <c r="I60" s="179">
        <v>22361.71</v>
      </c>
      <c r="J60" s="179">
        <v>7895.02</v>
      </c>
      <c r="K60" s="179">
        <v>11890.42</v>
      </c>
      <c r="L60" s="179">
        <v>10888.36</v>
      </c>
      <c r="M60" s="179">
        <v>8721.23</v>
      </c>
      <c r="N60" s="179">
        <v>16875.04</v>
      </c>
      <c r="O60" s="179">
        <v>12028.36</v>
      </c>
      <c r="P60" s="179">
        <v>4337.08</v>
      </c>
      <c r="Q60" s="179">
        <f t="shared" si="11"/>
        <v>143686.16</v>
      </c>
    </row>
    <row r="61" spans="1:18" hidden="1">
      <c r="A61" s="28" t="s">
        <v>110</v>
      </c>
      <c r="B61" s="28" t="s">
        <v>115</v>
      </c>
      <c r="C61" s="28" t="s">
        <v>116</v>
      </c>
      <c r="D61" s="28">
        <v>2019</v>
      </c>
      <c r="E61" s="179">
        <v>4149.3</v>
      </c>
      <c r="F61" s="179">
        <v>0</v>
      </c>
      <c r="G61" s="179">
        <v>8709.2999999999993</v>
      </c>
      <c r="H61" s="179">
        <v>0</v>
      </c>
      <c r="I61" s="179">
        <v>13269.3</v>
      </c>
      <c r="J61" s="179">
        <v>34200</v>
      </c>
      <c r="K61" s="179">
        <v>11400</v>
      </c>
      <c r="L61" s="179">
        <v>10989.3</v>
      </c>
      <c r="M61" s="179">
        <v>0</v>
      </c>
      <c r="N61" s="179">
        <v>4149.3</v>
      </c>
      <c r="O61" s="179">
        <v>4560</v>
      </c>
      <c r="P61" s="179">
        <v>7774.65</v>
      </c>
      <c r="Q61" s="179">
        <f t="shared" si="11"/>
        <v>99201.15</v>
      </c>
    </row>
    <row r="62" spans="1:18" hidden="1">
      <c r="A62" s="28" t="s">
        <v>110</v>
      </c>
      <c r="B62" s="28" t="s">
        <v>117</v>
      </c>
      <c r="C62" s="28" t="s">
        <v>118</v>
      </c>
      <c r="D62" s="28">
        <v>2019</v>
      </c>
      <c r="E62" s="179">
        <v>403654.79</v>
      </c>
      <c r="F62" s="179">
        <v>342109.42</v>
      </c>
      <c r="G62" s="179">
        <v>358927.85</v>
      </c>
      <c r="H62" s="179">
        <v>364109.91</v>
      </c>
      <c r="I62" s="179">
        <v>380002.07</v>
      </c>
      <c r="J62" s="179">
        <v>322838.09999999998</v>
      </c>
      <c r="K62" s="179">
        <v>360761.99</v>
      </c>
      <c r="L62" s="179">
        <v>387203.54</v>
      </c>
      <c r="M62" s="179">
        <v>363651.3</v>
      </c>
      <c r="N62" s="179">
        <v>388404.63</v>
      </c>
      <c r="O62" s="179">
        <v>339180.79999999999</v>
      </c>
      <c r="P62" s="179">
        <v>335190.43</v>
      </c>
      <c r="Q62" s="179">
        <f t="shared" si="11"/>
        <v>4346034.8299999991</v>
      </c>
    </row>
    <row r="63" spans="1:18" hidden="1">
      <c r="A63" s="28" t="s">
        <v>110</v>
      </c>
      <c r="B63" s="28" t="s">
        <v>119</v>
      </c>
      <c r="C63" s="28" t="s">
        <v>216</v>
      </c>
      <c r="D63" s="28">
        <v>2019</v>
      </c>
      <c r="E63" s="179">
        <v>0</v>
      </c>
      <c r="F63" s="179">
        <v>3214.65</v>
      </c>
      <c r="G63" s="179">
        <v>2066.67</v>
      </c>
      <c r="H63" s="179">
        <v>3420</v>
      </c>
      <c r="I63" s="179">
        <v>2066.67</v>
      </c>
      <c r="J63" s="179">
        <v>21962.639999999999</v>
      </c>
      <c r="K63" s="179">
        <v>2066.67</v>
      </c>
      <c r="L63" s="179">
        <v>2066.67</v>
      </c>
      <c r="M63" s="179">
        <v>3206.67</v>
      </c>
      <c r="N63" s="179">
        <v>3206.67</v>
      </c>
      <c r="O63" s="179">
        <v>2066.67</v>
      </c>
      <c r="P63" s="179">
        <v>0</v>
      </c>
      <c r="Q63" s="179">
        <f t="shared" si="11"/>
        <v>45343.979999999989</v>
      </c>
    </row>
    <row r="64" spans="1:18" hidden="1">
      <c r="A64" s="28" t="s">
        <v>110</v>
      </c>
      <c r="B64" s="28" t="s">
        <v>120</v>
      </c>
      <c r="C64" s="28" t="s">
        <v>121</v>
      </c>
      <c r="D64" s="28">
        <v>2019</v>
      </c>
      <c r="E64" s="179">
        <v>250652.76</v>
      </c>
      <c r="F64" s="179">
        <v>252737.85</v>
      </c>
      <c r="G64" s="179">
        <v>252729.01</v>
      </c>
      <c r="H64" s="179">
        <v>252733.44</v>
      </c>
      <c r="I64" s="179">
        <v>252733.44</v>
      </c>
      <c r="J64" s="179">
        <v>248572.07</v>
      </c>
      <c r="K64" s="179">
        <v>252128.79</v>
      </c>
      <c r="L64" s="179">
        <v>252128.79</v>
      </c>
      <c r="M64" s="179">
        <v>252133.22</v>
      </c>
      <c r="N64" s="179">
        <v>252128.79</v>
      </c>
      <c r="O64" s="179">
        <v>252133.22</v>
      </c>
      <c r="P64" s="179">
        <v>228992.76</v>
      </c>
      <c r="Q64" s="179">
        <f t="shared" si="11"/>
        <v>2999804.1400000006</v>
      </c>
    </row>
    <row r="65" spans="1:18" hidden="1">
      <c r="A65" s="28" t="s">
        <v>110</v>
      </c>
      <c r="B65" s="28" t="s">
        <v>123</v>
      </c>
      <c r="C65" s="28" t="s">
        <v>124</v>
      </c>
      <c r="D65" s="28">
        <v>2019</v>
      </c>
      <c r="E65" s="179">
        <v>315010.81</v>
      </c>
      <c r="F65" s="179">
        <v>306938.03000000003</v>
      </c>
      <c r="G65" s="179">
        <v>319005.53999999998</v>
      </c>
      <c r="H65" s="179">
        <v>276899.40999999997</v>
      </c>
      <c r="I65" s="179">
        <v>282724.84000000003</v>
      </c>
      <c r="J65" s="179">
        <v>274652.08</v>
      </c>
      <c r="K65" s="179">
        <v>272054.49</v>
      </c>
      <c r="L65" s="179">
        <v>280210.59000000003</v>
      </c>
      <c r="M65" s="179">
        <v>270223.77</v>
      </c>
      <c r="N65" s="179">
        <v>282207.96999999997</v>
      </c>
      <c r="O65" s="179">
        <v>276215.87</v>
      </c>
      <c r="P65" s="179">
        <v>243945.93</v>
      </c>
      <c r="Q65" s="179">
        <f t="shared" si="11"/>
        <v>3400089.3300000005</v>
      </c>
    </row>
    <row r="66" spans="1:18" hidden="1">
      <c r="A66" s="28" t="s">
        <v>110</v>
      </c>
      <c r="B66" s="28" t="s">
        <v>127</v>
      </c>
      <c r="C66" s="28" t="s">
        <v>128</v>
      </c>
      <c r="D66" s="28">
        <v>2019</v>
      </c>
      <c r="E66" s="179">
        <v>191630.64</v>
      </c>
      <c r="F66" s="179">
        <v>160579.31</v>
      </c>
      <c r="G66" s="179">
        <v>168922.2</v>
      </c>
      <c r="H66" s="179">
        <v>174094.93</v>
      </c>
      <c r="I66" s="179">
        <v>182205.79</v>
      </c>
      <c r="J66" s="179">
        <v>154775.65</v>
      </c>
      <c r="K66" s="179">
        <v>175064.6</v>
      </c>
      <c r="L66" s="179">
        <v>188121.34</v>
      </c>
      <c r="M66" s="179">
        <v>175394.81</v>
      </c>
      <c r="N66" s="179">
        <v>183674.51</v>
      </c>
      <c r="O66" s="179">
        <v>158768.13</v>
      </c>
      <c r="P66" s="179">
        <v>156607.60999999999</v>
      </c>
      <c r="Q66" s="179">
        <f t="shared" si="11"/>
        <v>2069839.52</v>
      </c>
    </row>
    <row r="67" spans="1:18" hidden="1">
      <c r="A67" s="28" t="s">
        <v>110</v>
      </c>
      <c r="B67" s="28" t="s">
        <v>129</v>
      </c>
      <c r="C67" s="28" t="s">
        <v>130</v>
      </c>
      <c r="D67" s="28">
        <v>2019</v>
      </c>
      <c r="E67" s="179">
        <v>7742.02</v>
      </c>
      <c r="F67" s="179">
        <v>7742.06</v>
      </c>
      <c r="G67" s="179">
        <v>11599.52</v>
      </c>
      <c r="H67" s="179">
        <v>13528.25</v>
      </c>
      <c r="I67" s="179">
        <v>13528.25</v>
      </c>
      <c r="J67" s="179">
        <v>7742.06</v>
      </c>
      <c r="K67" s="179">
        <v>7742.06</v>
      </c>
      <c r="L67" s="179">
        <v>11599.52</v>
      </c>
      <c r="M67" s="179">
        <v>7742.06</v>
      </c>
      <c r="N67" s="179">
        <v>15456.98</v>
      </c>
      <c r="O67" s="179">
        <v>13528.25</v>
      </c>
      <c r="P67" s="179">
        <v>7742.06</v>
      </c>
      <c r="Q67" s="179">
        <f t="shared" si="11"/>
        <v>125693.09</v>
      </c>
    </row>
    <row r="68" spans="1:18" hidden="1">
      <c r="A68" s="28" t="s">
        <v>110</v>
      </c>
      <c r="B68" s="28" t="s">
        <v>220</v>
      </c>
      <c r="C68" s="28" t="s">
        <v>221</v>
      </c>
      <c r="D68" s="28">
        <v>2019</v>
      </c>
      <c r="E68" s="179">
        <v>591437.17000000004</v>
      </c>
      <c r="F68" s="179">
        <v>703356.47</v>
      </c>
      <c r="G68" s="179">
        <v>819437.17</v>
      </c>
      <c r="H68" s="179">
        <v>878517.85</v>
      </c>
      <c r="I68" s="179">
        <v>874356.47</v>
      </c>
      <c r="J68" s="179">
        <v>929275.79</v>
      </c>
      <c r="K68" s="179">
        <v>873156.03</v>
      </c>
      <c r="L68" s="179">
        <v>881478.79</v>
      </c>
      <c r="M68" s="179">
        <v>824478.79</v>
      </c>
      <c r="N68" s="179">
        <v>824478.79</v>
      </c>
      <c r="O68" s="179">
        <v>807378.79</v>
      </c>
      <c r="P68" s="179">
        <v>698397.85</v>
      </c>
      <c r="Q68" s="179">
        <f t="shared" si="11"/>
        <v>9705749.959999999</v>
      </c>
      <c r="R68" s="28" t="s">
        <v>219</v>
      </c>
    </row>
    <row r="69" spans="1:18" hidden="1">
      <c r="A69" s="28" t="s">
        <v>110</v>
      </c>
      <c r="B69" s="28" t="s">
        <v>217</v>
      </c>
      <c r="C69" s="28" t="s">
        <v>218</v>
      </c>
      <c r="D69" s="28">
        <v>2019</v>
      </c>
      <c r="E69" s="180">
        <v>2053387.02</v>
      </c>
      <c r="F69" s="180">
        <v>2916467.32</v>
      </c>
      <c r="G69" s="180">
        <v>3040800.54</v>
      </c>
      <c r="H69" s="180">
        <v>3323303.23</v>
      </c>
      <c r="I69" s="180">
        <v>3360715.49</v>
      </c>
      <c r="J69" s="180">
        <v>3315886.95</v>
      </c>
      <c r="K69" s="180">
        <v>3350032</v>
      </c>
      <c r="L69" s="180">
        <v>3190709.12</v>
      </c>
      <c r="M69" s="180">
        <v>3070230.17</v>
      </c>
      <c r="N69" s="180">
        <v>3210915.79</v>
      </c>
      <c r="O69" s="180">
        <v>3161759.22</v>
      </c>
      <c r="P69" s="180">
        <v>2787445.73</v>
      </c>
      <c r="Q69" s="180">
        <f t="shared" si="11"/>
        <v>36781652.579999998</v>
      </c>
      <c r="R69" s="28" t="s">
        <v>219</v>
      </c>
    </row>
    <row r="70" spans="1:18" hidden="1">
      <c r="C70" s="29" t="s">
        <v>131</v>
      </c>
      <c r="E70" s="181">
        <f t="shared" ref="E70:Q70" si="12">SUM(E59:E69)</f>
        <v>4027595.27</v>
      </c>
      <c r="F70" s="181">
        <f t="shared" si="12"/>
        <v>4872560.4000000004</v>
      </c>
      <c r="G70" s="181">
        <f t="shared" si="12"/>
        <v>5168157.83</v>
      </c>
      <c r="H70" s="181">
        <f t="shared" si="12"/>
        <v>5473006.7300000004</v>
      </c>
      <c r="I70" s="181">
        <f t="shared" si="12"/>
        <v>5563153.9000000004</v>
      </c>
      <c r="J70" s="181">
        <f t="shared" si="12"/>
        <v>5470210.2700000005</v>
      </c>
      <c r="K70" s="181">
        <f t="shared" si="12"/>
        <v>5485832.8700000001</v>
      </c>
      <c r="L70" s="181">
        <f t="shared" si="12"/>
        <v>5396694.9199999999</v>
      </c>
      <c r="M70" s="181">
        <f t="shared" si="12"/>
        <v>5146060.12</v>
      </c>
      <c r="N70" s="181">
        <f t="shared" si="12"/>
        <v>5368582.08</v>
      </c>
      <c r="O70" s="181">
        <f t="shared" si="12"/>
        <v>5194966.2300000004</v>
      </c>
      <c r="P70" s="181">
        <f t="shared" si="12"/>
        <v>4637160.37</v>
      </c>
      <c r="Q70" s="181">
        <f t="shared" si="12"/>
        <v>61803980.989999995</v>
      </c>
    </row>
    <row r="71" spans="1:18" hidden="1">
      <c r="A71" s="178" t="s">
        <v>37</v>
      </c>
    </row>
    <row r="72" spans="1:18" hidden="1">
      <c r="A72" s="28" t="s">
        <v>132</v>
      </c>
      <c r="B72" s="28" t="s">
        <v>127</v>
      </c>
      <c r="C72" s="28" t="s">
        <v>128</v>
      </c>
      <c r="D72" s="28">
        <v>2019</v>
      </c>
      <c r="E72" s="179">
        <v>35020.78</v>
      </c>
      <c r="F72" s="179">
        <v>29397.99</v>
      </c>
      <c r="G72" s="179">
        <v>31018.58</v>
      </c>
      <c r="H72" s="179">
        <v>32027.3</v>
      </c>
      <c r="I72" s="179">
        <v>33486.65</v>
      </c>
      <c r="J72" s="179">
        <v>28287.43</v>
      </c>
      <c r="K72" s="179">
        <v>32116.35</v>
      </c>
      <c r="L72" s="179">
        <v>34399.15</v>
      </c>
      <c r="M72" s="179">
        <v>31799.040000000001</v>
      </c>
      <c r="N72" s="179">
        <v>33823.980000000003</v>
      </c>
      <c r="O72" s="179">
        <v>28997.81</v>
      </c>
      <c r="P72" s="179">
        <v>28513.67</v>
      </c>
      <c r="Q72" s="179">
        <f>SUM(E72:P72)</f>
        <v>378888.73</v>
      </c>
    </row>
    <row r="73" spans="1:18" hidden="1">
      <c r="A73" s="28" t="s">
        <v>132</v>
      </c>
      <c r="B73" s="28" t="s">
        <v>129</v>
      </c>
      <c r="C73" s="28" t="s">
        <v>130</v>
      </c>
      <c r="D73" s="28">
        <v>2019</v>
      </c>
      <c r="E73" s="179">
        <v>0</v>
      </c>
      <c r="F73" s="179">
        <v>4149.3</v>
      </c>
      <c r="G73" s="179">
        <v>0</v>
      </c>
      <c r="H73" s="179">
        <v>11923.95</v>
      </c>
      <c r="I73" s="179">
        <v>11400</v>
      </c>
      <c r="J73" s="179">
        <v>11923.95</v>
      </c>
      <c r="K73" s="179">
        <v>0</v>
      </c>
      <c r="L73" s="179">
        <v>1140</v>
      </c>
      <c r="M73" s="179">
        <v>0</v>
      </c>
      <c r="N73" s="179">
        <v>3857.46</v>
      </c>
      <c r="O73" s="179">
        <v>1140</v>
      </c>
      <c r="P73" s="179">
        <v>1928.73</v>
      </c>
      <c r="Q73" s="179">
        <f>SUM(E73:P73)</f>
        <v>47463.39</v>
      </c>
    </row>
    <row r="74" spans="1:18" hidden="1">
      <c r="A74" s="28" t="s">
        <v>132</v>
      </c>
      <c r="B74" s="28" t="s">
        <v>217</v>
      </c>
      <c r="C74" s="28" t="s">
        <v>218</v>
      </c>
      <c r="D74" s="28">
        <v>2019</v>
      </c>
      <c r="E74" s="180">
        <v>57000</v>
      </c>
      <c r="F74" s="180">
        <v>60420</v>
      </c>
      <c r="G74" s="180">
        <v>60420</v>
      </c>
      <c r="H74" s="180">
        <v>57000</v>
      </c>
      <c r="I74" s="180">
        <v>61560</v>
      </c>
      <c r="J74" s="180">
        <v>61560</v>
      </c>
      <c r="K74" s="180">
        <v>57000</v>
      </c>
      <c r="L74" s="180">
        <v>61560</v>
      </c>
      <c r="M74" s="180">
        <v>61560</v>
      </c>
      <c r="N74" s="180">
        <v>57000</v>
      </c>
      <c r="O74" s="180">
        <v>61560</v>
      </c>
      <c r="P74" s="180">
        <v>61560</v>
      </c>
      <c r="Q74" s="180">
        <f>SUM(E74:P74)</f>
        <v>718200</v>
      </c>
      <c r="R74" s="28" t="s">
        <v>219</v>
      </c>
    </row>
    <row r="75" spans="1:18" hidden="1">
      <c r="C75" s="29" t="s">
        <v>133</v>
      </c>
      <c r="E75" s="181">
        <f t="shared" ref="E75:Q75" si="13">SUM(E72:E74)</f>
        <v>92020.78</v>
      </c>
      <c r="F75" s="181">
        <f t="shared" si="13"/>
        <v>93967.290000000008</v>
      </c>
      <c r="G75" s="181">
        <f t="shared" si="13"/>
        <v>91438.58</v>
      </c>
      <c r="H75" s="181">
        <f t="shared" si="13"/>
        <v>100951.25</v>
      </c>
      <c r="I75" s="181">
        <f t="shared" si="13"/>
        <v>106446.65</v>
      </c>
      <c r="J75" s="181">
        <f t="shared" si="13"/>
        <v>101771.38</v>
      </c>
      <c r="K75" s="181">
        <f t="shared" si="13"/>
        <v>89116.35</v>
      </c>
      <c r="L75" s="181">
        <f t="shared" si="13"/>
        <v>97099.15</v>
      </c>
      <c r="M75" s="181">
        <f t="shared" si="13"/>
        <v>93359.040000000008</v>
      </c>
      <c r="N75" s="181">
        <f t="shared" si="13"/>
        <v>94681.44</v>
      </c>
      <c r="O75" s="181">
        <f t="shared" si="13"/>
        <v>91697.81</v>
      </c>
      <c r="P75" s="181">
        <f t="shared" si="13"/>
        <v>92002.4</v>
      </c>
      <c r="Q75" s="181">
        <f t="shared" si="13"/>
        <v>1144552.1200000001</v>
      </c>
    </row>
    <row r="76" spans="1:18" hidden="1"/>
    <row r="77" spans="1:18" hidden="1">
      <c r="C77" s="29" t="s">
        <v>223</v>
      </c>
      <c r="E77" s="181">
        <f t="shared" ref="E77:Q77" si="14">E70+E75</f>
        <v>4119616.05</v>
      </c>
      <c r="F77" s="181">
        <f t="shared" si="14"/>
        <v>4966527.6900000004</v>
      </c>
      <c r="G77" s="181">
        <f t="shared" si="14"/>
        <v>5259596.41</v>
      </c>
      <c r="H77" s="181">
        <f t="shared" si="14"/>
        <v>5573957.9800000004</v>
      </c>
      <c r="I77" s="181">
        <f t="shared" si="14"/>
        <v>5669600.5500000007</v>
      </c>
      <c r="J77" s="181">
        <f t="shared" si="14"/>
        <v>5571981.6500000004</v>
      </c>
      <c r="K77" s="181">
        <f t="shared" si="14"/>
        <v>5574949.2199999997</v>
      </c>
      <c r="L77" s="181">
        <f t="shared" si="14"/>
        <v>5493794.0700000003</v>
      </c>
      <c r="M77" s="181">
        <f t="shared" si="14"/>
        <v>5239419.16</v>
      </c>
      <c r="N77" s="181">
        <f t="shared" si="14"/>
        <v>5463263.5200000005</v>
      </c>
      <c r="O77" s="181">
        <f t="shared" si="14"/>
        <v>5286664.04</v>
      </c>
      <c r="P77" s="181">
        <f t="shared" si="14"/>
        <v>4729162.7700000005</v>
      </c>
      <c r="Q77" s="181">
        <f t="shared" si="14"/>
        <v>62948533.109999992</v>
      </c>
    </row>
    <row r="79" spans="1:18" ht="26.25">
      <c r="B79" s="243" t="s">
        <v>345</v>
      </c>
    </row>
  </sheetData>
  <pageMargins left="0.7" right="0.7" top="0.75" bottom="0.75" header="0.3" footer="0.3"/>
  <pageSetup scale="52" orientation="landscape" r:id="rId1"/>
  <headerFooter>
    <oddFooter>&amp;L&amp;1#&amp;"Calibri"&amp;14&amp;K000000Business Use</oddFooter>
  </headerFooter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E0319-330C-4195-9594-C9C4E42D3EBF}">
  <sheetPr>
    <tabColor rgb="FFD8E4BC"/>
    <pageSetUpPr autoPageBreaks="0"/>
  </sheetPr>
  <dimension ref="A1:AK92"/>
  <sheetViews>
    <sheetView showGridLines="0" view="pageBreakPreview" zoomScale="90" zoomScaleNormal="100" zoomScaleSheetLayoutView="90" workbookViewId="0"/>
  </sheetViews>
  <sheetFormatPr defaultColWidth="9.140625" defaultRowHeight="12.75"/>
  <cols>
    <col min="1" max="1" width="4.28515625" style="52" bestFit="1" customWidth="1"/>
    <col min="2" max="2" width="3.140625" style="52" bestFit="1" customWidth="1"/>
    <col min="3" max="3" width="11.28515625" style="52" customWidth="1"/>
    <col min="4" max="4" width="11.85546875" style="52" hidden="1" customWidth="1"/>
    <col min="5" max="5" width="4.5703125" style="59" bestFit="1" customWidth="1"/>
    <col min="6" max="6" width="0.85546875" style="52" customWidth="1"/>
    <col min="7" max="7" width="6" style="59" bestFit="1" customWidth="1"/>
    <col min="8" max="15" width="11.28515625" style="52" customWidth="1"/>
    <col min="16" max="16" width="12.42578125" style="52" customWidth="1"/>
    <col min="17" max="17" width="9.7109375" style="52" customWidth="1"/>
    <col min="18" max="18" width="11" style="52" customWidth="1"/>
    <col min="19" max="19" width="11.28515625" style="52" bestFit="1" customWidth="1"/>
    <col min="20" max="20" width="10.28515625" style="52" bestFit="1" customWidth="1"/>
    <col min="21" max="21" width="9.7109375" style="52" customWidth="1"/>
    <col min="22" max="23" width="9" style="52" customWidth="1"/>
    <col min="24" max="24" width="7" style="52" bestFit="1" customWidth="1"/>
    <col min="25" max="25" width="10" style="52" bestFit="1" customWidth="1"/>
    <col min="26" max="26" width="11.7109375" style="52" bestFit="1" customWidth="1"/>
    <col min="27" max="27" width="9.7109375" style="52" customWidth="1"/>
    <col min="28" max="28" width="8.7109375" style="52" bestFit="1" customWidth="1"/>
    <col min="29" max="29" width="11.7109375" style="52" bestFit="1" customWidth="1"/>
    <col min="30" max="31" width="5.85546875" style="52" customWidth="1"/>
    <col min="32" max="32" width="10.140625" style="52" bestFit="1" customWidth="1"/>
    <col min="33" max="33" width="12.42578125" style="52" bestFit="1" customWidth="1"/>
    <col min="34" max="34" width="11.28515625" style="52" bestFit="1" customWidth="1"/>
    <col min="35" max="35" width="11" style="52" customWidth="1"/>
    <col min="36" max="36" width="9.140625" style="52"/>
    <col min="37" max="37" width="8.5703125" style="59" bestFit="1" customWidth="1"/>
    <col min="38" max="16384" width="9.140625" style="52"/>
  </cols>
  <sheetData>
    <row r="1" spans="1:37" ht="18.75">
      <c r="B1" s="191"/>
      <c r="C1" s="191"/>
      <c r="D1" s="191"/>
      <c r="E1" s="1416"/>
      <c r="F1" s="191"/>
      <c r="G1" s="1416"/>
      <c r="H1" s="191"/>
      <c r="I1" s="191"/>
      <c r="J1" s="191"/>
      <c r="K1" s="191"/>
      <c r="M1" s="191"/>
      <c r="P1" s="1459" t="s">
        <v>669</v>
      </c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</row>
    <row r="2" spans="1:37" ht="18.75">
      <c r="B2" s="194"/>
      <c r="C2" s="194"/>
      <c r="D2" s="194"/>
      <c r="E2" s="1460"/>
      <c r="F2" s="194"/>
      <c r="G2" s="1460"/>
      <c r="H2" s="194"/>
      <c r="I2" s="194"/>
      <c r="J2" s="194"/>
      <c r="K2" s="194"/>
      <c r="M2" s="194"/>
      <c r="P2" s="1461" t="s">
        <v>961</v>
      </c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</row>
    <row r="3" spans="1:37" ht="18.75">
      <c r="B3" s="191"/>
      <c r="C3" s="191"/>
      <c r="D3" s="191"/>
      <c r="E3" s="1416"/>
      <c r="F3" s="191"/>
      <c r="G3" s="1416"/>
      <c r="H3" s="191"/>
      <c r="I3" s="191"/>
      <c r="J3" s="191"/>
      <c r="K3" s="191"/>
      <c r="M3" s="191"/>
      <c r="P3" s="1459" t="s">
        <v>43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</row>
    <row r="4" spans="1:37" ht="6.75" customHeight="1">
      <c r="A4" s="53"/>
      <c r="M4" s="231"/>
      <c r="W4" s="403"/>
    </row>
    <row r="5" spans="1:37" ht="7.5" customHeight="1"/>
    <row r="6" spans="1:37" ht="7.5" customHeight="1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N6" s="54"/>
      <c r="O6" s="54"/>
      <c r="P6" s="155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37" ht="25.5">
      <c r="A7" s="59"/>
      <c r="B7" s="59"/>
      <c r="C7" s="1462"/>
      <c r="D7" s="59" t="s">
        <v>25</v>
      </c>
      <c r="F7" s="59"/>
      <c r="H7" s="59"/>
      <c r="I7" s="59"/>
      <c r="J7" s="59"/>
      <c r="K7" s="59"/>
      <c r="L7" s="59"/>
      <c r="M7" s="59"/>
      <c r="N7" s="59"/>
      <c r="O7" s="59"/>
      <c r="P7" s="59" t="s">
        <v>3</v>
      </c>
      <c r="Q7" s="59" t="s">
        <v>35</v>
      </c>
      <c r="R7" s="59"/>
      <c r="S7" s="59"/>
      <c r="T7" s="1462" t="s">
        <v>178</v>
      </c>
      <c r="U7" s="1462" t="s">
        <v>179</v>
      </c>
      <c r="V7" s="1462" t="s">
        <v>184</v>
      </c>
      <c r="W7" s="1462" t="s">
        <v>862</v>
      </c>
      <c r="X7" s="1462" t="s">
        <v>847</v>
      </c>
      <c r="Y7" s="1462" t="s">
        <v>40</v>
      </c>
      <c r="Z7" s="59" t="s">
        <v>41</v>
      </c>
      <c r="AA7" s="1462" t="s">
        <v>161</v>
      </c>
      <c r="AB7" s="1462"/>
      <c r="AC7" s="1462" t="s">
        <v>618</v>
      </c>
    </row>
    <row r="8" spans="1:37">
      <c r="A8" s="59" t="s">
        <v>4</v>
      </c>
      <c r="B8" s="59"/>
      <c r="C8" s="59"/>
      <c r="D8" s="59" t="s">
        <v>26</v>
      </c>
      <c r="F8" s="59"/>
      <c r="H8" s="1573" t="s">
        <v>20</v>
      </c>
      <c r="I8" s="1573"/>
      <c r="J8" s="1573"/>
      <c r="K8" s="1573"/>
      <c r="L8" s="1573"/>
      <c r="M8" s="1573"/>
      <c r="N8" s="1573"/>
      <c r="O8" s="1573"/>
      <c r="P8" s="59" t="s">
        <v>34</v>
      </c>
      <c r="Q8" s="59" t="s">
        <v>36</v>
      </c>
      <c r="R8" s="59" t="s">
        <v>38</v>
      </c>
      <c r="S8" s="59"/>
      <c r="T8" s="59" t="s">
        <v>34</v>
      </c>
      <c r="U8" s="59" t="s">
        <v>34</v>
      </c>
      <c r="V8" s="59" t="s">
        <v>185</v>
      </c>
      <c r="W8" s="59" t="s">
        <v>844</v>
      </c>
      <c r="X8" s="59" t="s">
        <v>844</v>
      </c>
      <c r="Y8" s="59" t="s">
        <v>1027</v>
      </c>
      <c r="Z8" s="59" t="s">
        <v>40</v>
      </c>
      <c r="AA8" s="59" t="s">
        <v>234</v>
      </c>
      <c r="AB8" s="59" t="s">
        <v>161</v>
      </c>
      <c r="AC8" s="59" t="s">
        <v>40</v>
      </c>
      <c r="AF8" s="59" t="s">
        <v>975</v>
      </c>
      <c r="AG8" s="59" t="s">
        <v>975</v>
      </c>
      <c r="AH8" s="59" t="s">
        <v>978</v>
      </c>
      <c r="AI8" s="59" t="s">
        <v>636</v>
      </c>
      <c r="AK8" s="799"/>
    </row>
    <row r="9" spans="1:37">
      <c r="A9" s="1463" t="s">
        <v>5</v>
      </c>
      <c r="B9" s="1463"/>
      <c r="C9" s="1463"/>
      <c r="D9" s="1463" t="s">
        <v>2</v>
      </c>
      <c r="E9" s="1463" t="s">
        <v>27</v>
      </c>
      <c r="F9" s="1463"/>
      <c r="G9" s="1463" t="s">
        <v>105</v>
      </c>
      <c r="H9" s="1472">
        <v>2017</v>
      </c>
      <c r="I9" s="1473">
        <v>2018</v>
      </c>
      <c r="J9" s="1473">
        <v>2019</v>
      </c>
      <c r="K9" s="1473">
        <v>2020</v>
      </c>
      <c r="L9" s="1473">
        <v>2021</v>
      </c>
      <c r="M9" s="1479" t="s">
        <v>1031</v>
      </c>
      <c r="N9" s="1473">
        <v>2023</v>
      </c>
      <c r="O9" s="1474">
        <v>2024</v>
      </c>
      <c r="P9" s="1463" t="s">
        <v>0</v>
      </c>
      <c r="Q9" s="1463" t="s">
        <v>37</v>
      </c>
      <c r="R9" s="1463" t="s">
        <v>0</v>
      </c>
      <c r="S9" s="1463" t="s">
        <v>39</v>
      </c>
      <c r="T9" s="1131" t="s">
        <v>340</v>
      </c>
      <c r="U9" s="1131" t="s">
        <v>453</v>
      </c>
      <c r="V9" s="1131" t="s">
        <v>340</v>
      </c>
      <c r="W9" s="1131" t="s">
        <v>845</v>
      </c>
      <c r="X9" s="1131" t="s">
        <v>845</v>
      </c>
      <c r="Y9" s="1131" t="s">
        <v>12</v>
      </c>
      <c r="Z9" s="1463" t="s">
        <v>42</v>
      </c>
      <c r="AA9" s="1131" t="s">
        <v>235</v>
      </c>
      <c r="AB9" s="1131" t="s">
        <v>236</v>
      </c>
      <c r="AC9" s="1463" t="s">
        <v>42</v>
      </c>
      <c r="AF9" s="1131" t="s">
        <v>976</v>
      </c>
      <c r="AG9" s="1131" t="s">
        <v>977</v>
      </c>
      <c r="AH9" s="1131" t="s">
        <v>10</v>
      </c>
      <c r="AI9" s="1131" t="s">
        <v>637</v>
      </c>
      <c r="AK9" s="799"/>
    </row>
    <row r="10" spans="1:37" ht="15.75" customHeight="1">
      <c r="C10" s="57"/>
      <c r="D10" s="57" t="s">
        <v>69</v>
      </c>
      <c r="E10" s="57"/>
      <c r="F10" s="58"/>
      <c r="G10" s="57"/>
      <c r="H10" s="884" t="s">
        <v>163</v>
      </c>
      <c r="I10" s="884" t="s">
        <v>164</v>
      </c>
      <c r="J10" s="884" t="s">
        <v>165</v>
      </c>
      <c r="K10" s="884" t="s">
        <v>174</v>
      </c>
      <c r="L10" s="884" t="s">
        <v>210</v>
      </c>
      <c r="M10" s="884" t="s">
        <v>225</v>
      </c>
      <c r="N10" s="884" t="s">
        <v>848</v>
      </c>
      <c r="O10" s="884" t="s">
        <v>980</v>
      </c>
      <c r="AK10" s="799"/>
    </row>
    <row r="11" spans="1:37">
      <c r="A11" s="59">
        <v>1</v>
      </c>
      <c r="C11" s="57" t="s">
        <v>68</v>
      </c>
      <c r="D11" s="59"/>
      <c r="E11" s="57"/>
      <c r="H11" s="793">
        <f>'Tax Depr 2023'!H11</f>
        <v>1255457.3249999995</v>
      </c>
      <c r="I11" s="793">
        <f>'Tax Depr 2023'!I11</f>
        <v>4755556.1999999983</v>
      </c>
      <c r="J11" s="793">
        <f>'Tax Depr 2023'!J11</f>
        <v>4801920.54</v>
      </c>
      <c r="K11" s="793">
        <f>'Tax Depr 2023'!K11</f>
        <v>4929518.1200000104</v>
      </c>
      <c r="L11" s="793">
        <f>'Tax Depr 2023'!L11</f>
        <v>4803986.8599999901</v>
      </c>
      <c r="M11" s="793">
        <f>'Tax Depr 2023'!M11</f>
        <v>6174770.9499999955</v>
      </c>
      <c r="N11" s="793">
        <f>'Tax Depr 2023'!N11</f>
        <v>5869494.8700000001</v>
      </c>
      <c r="O11" s="793">
        <f>'2024 Capital Budget'!Q14</f>
        <v>5699429.0199999996</v>
      </c>
      <c r="AK11" s="799"/>
    </row>
    <row r="12" spans="1:37">
      <c r="A12" s="59">
        <v>2</v>
      </c>
      <c r="C12" s="57" t="s">
        <v>72</v>
      </c>
      <c r="D12" s="59"/>
      <c r="E12" s="57"/>
      <c r="H12" s="793">
        <f>'Tax Depr 2023'!H12</f>
        <v>2278129.7400000002</v>
      </c>
      <c r="I12" s="793">
        <f>'Tax Depr 2023'!I12</f>
        <v>5069750.870000002</v>
      </c>
      <c r="J12" s="793">
        <f>'Tax Depr 2023'!J12</f>
        <v>6475425.9099999992</v>
      </c>
      <c r="K12" s="793">
        <f>'Tax Depr 2023'!K12</f>
        <v>4720575.92</v>
      </c>
      <c r="L12" s="793">
        <f>'Tax Depr 2023'!L12</f>
        <v>4028678.0700000003</v>
      </c>
      <c r="M12" s="793">
        <f>'Tax Depr 2023'!M12</f>
        <v>8518992.4499999993</v>
      </c>
      <c r="N12" s="793">
        <f>'Tax Depr 2023'!N12</f>
        <v>14410630.010000002</v>
      </c>
      <c r="O12" s="793">
        <f>'2024 Capital Budget'!Q15</f>
        <v>15686560.960000001</v>
      </c>
      <c r="AK12" s="799"/>
    </row>
    <row r="13" spans="1:37">
      <c r="A13" s="59">
        <v>3</v>
      </c>
      <c r="C13" s="57" t="s">
        <v>182</v>
      </c>
      <c r="D13" s="59"/>
      <c r="E13" s="57"/>
      <c r="H13" s="793">
        <f>'Tax Depr 2023'!H13</f>
        <v>1255457.325</v>
      </c>
      <c r="I13" s="1464">
        <f>'Tax Depr 2023'!I13</f>
        <v>0</v>
      </c>
      <c r="J13" s="1464">
        <f>'Tax Depr 2023'!J13</f>
        <v>0</v>
      </c>
      <c r="K13" s="1464">
        <f>'Tax Depr 2023'!K13</f>
        <v>0</v>
      </c>
      <c r="L13" s="1464">
        <f>'Tax Depr 2023'!L13</f>
        <v>0</v>
      </c>
      <c r="M13" s="1464">
        <f>'Tax Depr 2023'!M13</f>
        <v>0</v>
      </c>
      <c r="N13" s="1464">
        <f>'Tax Depr 2023'!N13</f>
        <v>0</v>
      </c>
      <c r="O13" s="1464">
        <v>0</v>
      </c>
      <c r="AK13" s="799"/>
    </row>
    <row r="14" spans="1:37" ht="8.25" customHeight="1">
      <c r="A14" s="59"/>
      <c r="C14" s="59"/>
      <c r="H14" s="231"/>
      <c r="I14" s="231"/>
      <c r="J14" s="231"/>
      <c r="K14" s="231"/>
      <c r="AE14" s="50"/>
      <c r="AK14" s="799"/>
    </row>
    <row r="15" spans="1:37">
      <c r="A15" s="59"/>
      <c r="C15" s="59" t="s">
        <v>561</v>
      </c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244"/>
      <c r="AE15" s="50"/>
      <c r="AK15" s="799"/>
    </row>
    <row r="16" spans="1:37">
      <c r="A16" s="59"/>
      <c r="C16" s="1465" t="s">
        <v>562</v>
      </c>
      <c r="H16" s="883" t="s">
        <v>163</v>
      </c>
      <c r="I16" s="883" t="s">
        <v>164</v>
      </c>
      <c r="J16" s="883" t="s">
        <v>165</v>
      </c>
      <c r="K16" s="883" t="s">
        <v>174</v>
      </c>
      <c r="L16" s="883" t="s">
        <v>210</v>
      </c>
      <c r="M16" s="883" t="s">
        <v>225</v>
      </c>
      <c r="N16" s="883" t="s">
        <v>848</v>
      </c>
      <c r="O16" s="1466" t="s">
        <v>980</v>
      </c>
      <c r="Y16" s="231"/>
      <c r="Z16" s="880">
        <f>'Tax Depr 2023'!Y28</f>
        <v>13302287.810621576</v>
      </c>
      <c r="AC16" s="231">
        <f>Z16</f>
        <v>13302287.810621576</v>
      </c>
      <c r="AE16" s="50"/>
      <c r="AJ16" s="403"/>
      <c r="AK16" s="799"/>
    </row>
    <row r="17" spans="1:37">
      <c r="A17" s="59">
        <f>A13+1</f>
        <v>4</v>
      </c>
      <c r="C17" s="1467">
        <v>3.7499999999999999E-2</v>
      </c>
      <c r="D17" s="1005">
        <v>0.05</v>
      </c>
      <c r="E17" s="59">
        <v>1</v>
      </c>
      <c r="F17" s="59"/>
      <c r="G17" s="59" t="s">
        <v>83</v>
      </c>
      <c r="H17" s="231">
        <f t="shared" ref="H17:H28" si="0">$H$11*$C$24/12</f>
        <v>4730.9816863749984</v>
      </c>
      <c r="I17" s="231">
        <f t="shared" ref="I17:I28" si="1">$I$11*$C$23/12</f>
        <v>19370.965587999995</v>
      </c>
      <c r="J17" s="231">
        <f t="shared" ref="J17:J28" si="2">$J$11*$C$22/12</f>
        <v>21148.458378250001</v>
      </c>
      <c r="K17" s="27">
        <f t="shared" ref="K17:K28" si="3">$K$11*$C$21/12</f>
        <v>23468.614182966718</v>
      </c>
      <c r="L17" s="27">
        <f t="shared" ref="L17:L28" si="4">$L$11*$C$20/12</f>
        <v>24728.522361849948</v>
      </c>
      <c r="M17" s="27">
        <f t="shared" ref="M17:M28" si="5">$M$11*$C$19/12</f>
        <v>34357.454694291642</v>
      </c>
      <c r="N17" s="27">
        <f>$N$11*$C$18/12</f>
        <v>35309.902888775003</v>
      </c>
      <c r="O17" s="27">
        <f>AI17</f>
        <v>110418.67090625</v>
      </c>
      <c r="P17" s="231">
        <f>SUM(H17:O17)</f>
        <v>273533.57068675832</v>
      </c>
      <c r="Q17" s="794">
        <f>'Cap&amp;OpEx 2024'!C31</f>
        <v>24914.77</v>
      </c>
      <c r="R17" s="794">
        <f>'Depreciation 2024'!F16</f>
        <v>216646.45553250005</v>
      </c>
      <c r="S17" s="231">
        <f>P17+Q17-R17</f>
        <v>81801.885154258285</v>
      </c>
      <c r="T17" s="231">
        <f>S17*0.21</f>
        <v>17178.395882394238</v>
      </c>
      <c r="U17" s="231">
        <f>T59</f>
        <v>4326.6433420316635</v>
      </c>
      <c r="V17" s="231">
        <f>-U17*0.21</f>
        <v>-908.59510182664928</v>
      </c>
      <c r="W17" s="231">
        <f>$W$38/12</f>
        <v>-1119.2608333333333</v>
      </c>
      <c r="X17" s="231">
        <f>$X$38/12</f>
        <v>-34.119166666666665</v>
      </c>
      <c r="Y17" s="27"/>
      <c r="Z17" s="231">
        <f>Z16+T17+U17+V17+W17+X17+Y17</f>
        <v>13321730.874744175</v>
      </c>
      <c r="AA17" s="231">
        <f>Z17-Z16</f>
        <v>19443.064122598618</v>
      </c>
      <c r="AB17" s="801" t="s">
        <v>518</v>
      </c>
      <c r="AC17" s="231">
        <f>AC16+AA17*336/366</f>
        <v>13320137.180963634</v>
      </c>
      <c r="AF17" s="156">
        <f>((('2024 Capital Budget'!E14-(1/12*$N$13))*$C$17))/12</f>
        <v>1484.2259062499998</v>
      </c>
      <c r="AG17" s="156">
        <f>'2024 Capital Budget'!$E$15*1/12</f>
        <v>108934.44500000001</v>
      </c>
      <c r="AH17" s="156">
        <f t="shared" ref="AH17:AH22" si="6">(1/12*$O$13)</f>
        <v>0</v>
      </c>
      <c r="AI17" s="156">
        <f>SUM(AF17:AH17)</f>
        <v>110418.67090625</v>
      </c>
      <c r="AJ17" s="576"/>
      <c r="AK17" s="799"/>
    </row>
    <row r="18" spans="1:37">
      <c r="A18" s="59">
        <f>A17+1</f>
        <v>5</v>
      </c>
      <c r="C18" s="1467">
        <v>7.2190000000000004E-2</v>
      </c>
      <c r="D18" s="1005">
        <v>9.5000000000000001E-2</v>
      </c>
      <c r="E18" s="59">
        <v>2</v>
      </c>
      <c r="F18" s="59"/>
      <c r="G18" s="59" t="s">
        <v>84</v>
      </c>
      <c r="H18" s="231">
        <f t="shared" si="0"/>
        <v>4730.9816863749984</v>
      </c>
      <c r="I18" s="231">
        <f t="shared" si="1"/>
        <v>19370.965587999995</v>
      </c>
      <c r="J18" s="231">
        <f t="shared" si="2"/>
        <v>21148.458378250001</v>
      </c>
      <c r="K18" s="27">
        <f t="shared" si="3"/>
        <v>23468.614182966718</v>
      </c>
      <c r="L18" s="27">
        <f t="shared" si="4"/>
        <v>24728.522361849948</v>
      </c>
      <c r="M18" s="27">
        <f t="shared" si="5"/>
        <v>34357.454694291642</v>
      </c>
      <c r="N18" s="27">
        <f t="shared" ref="N18:N28" si="7">$N$11*$C$18/12</f>
        <v>35309.902888775003</v>
      </c>
      <c r="O18" s="27">
        <f t="shared" ref="O18:O28" si="8">AI18</f>
        <v>331256.02692708338</v>
      </c>
      <c r="P18" s="231">
        <f t="shared" ref="P18:P28" si="9">SUM(H18:O18)</f>
        <v>494370.92670759169</v>
      </c>
      <c r="Q18" s="794">
        <f>'Cap&amp;OpEx 2024'!D31</f>
        <v>24914.75</v>
      </c>
      <c r="R18" s="794">
        <f>'Depreciation 2024'!G16</f>
        <v>221458.30303050004</v>
      </c>
      <c r="S18" s="231">
        <f t="shared" ref="S18:S28" si="10">P18+Q18-R18</f>
        <v>297827.37367709167</v>
      </c>
      <c r="T18" s="231">
        <f t="shared" ref="T18:T28" si="11">S18*0.21</f>
        <v>62543.748472189247</v>
      </c>
      <c r="U18" s="231">
        <f t="shared" ref="U18:U28" si="12">T60</f>
        <v>15127.917768173334</v>
      </c>
      <c r="V18" s="231">
        <f t="shared" ref="V18:V28" si="13">-U18*0.21</f>
        <v>-3176.8627313164002</v>
      </c>
      <c r="W18" s="231">
        <f t="shared" ref="W18:W28" si="14">$W$38/12</f>
        <v>-1119.2608333333333</v>
      </c>
      <c r="X18" s="231">
        <f t="shared" ref="X18:X28" si="15">$X$38/12</f>
        <v>-34.119166666666665</v>
      </c>
      <c r="Y18" s="27"/>
      <c r="Z18" s="231">
        <f t="shared" ref="Z18:Z28" si="16">Z17+T18+U18+V18+W18+X18+Y18</f>
        <v>13395072.29825322</v>
      </c>
      <c r="AA18" s="231">
        <f t="shared" ref="AA18:AA28" si="17">Z18-Z17</f>
        <v>73341.423509044573</v>
      </c>
      <c r="AB18" s="801" t="s">
        <v>508</v>
      </c>
      <c r="AC18" s="231">
        <f>AC17+AA18*307/366</f>
        <v>13381655.806693899</v>
      </c>
      <c r="AF18" s="156">
        <f>((((SUM('2024 Capital Budget'!E14:F14)-(1/12*$N$13))*$C$17))*2/12)-AF17</f>
        <v>4452.6785937499999</v>
      </c>
      <c r="AG18" s="156">
        <f>SUM('2024 Capital Budget'!$E$15:$F$15)*2/12-AG17</f>
        <v>326803.34833333339</v>
      </c>
      <c r="AH18" s="156">
        <f t="shared" si="6"/>
        <v>0</v>
      </c>
      <c r="AI18" s="156">
        <f t="shared" ref="AI18:AI28" si="18">SUM(AF18:AH18)</f>
        <v>331256.02692708338</v>
      </c>
      <c r="AJ18" s="62"/>
      <c r="AK18" s="799"/>
    </row>
    <row r="19" spans="1:37">
      <c r="A19" s="59">
        <f t="shared" ref="A19:A38" si="19">A18+1</f>
        <v>6</v>
      </c>
      <c r="C19" s="1467">
        <v>6.6769999999999996E-2</v>
      </c>
      <c r="D19" s="1005">
        <v>8.5500000000000007E-2</v>
      </c>
      <c r="E19" s="59">
        <v>3</v>
      </c>
      <c r="F19" s="59"/>
      <c r="G19" s="59" t="s">
        <v>253</v>
      </c>
      <c r="H19" s="231">
        <f t="shared" si="0"/>
        <v>4730.9816863749984</v>
      </c>
      <c r="I19" s="231">
        <f t="shared" si="1"/>
        <v>19370.965587999995</v>
      </c>
      <c r="J19" s="231">
        <f t="shared" si="2"/>
        <v>21148.458378250001</v>
      </c>
      <c r="K19" s="27">
        <f t="shared" si="3"/>
        <v>23468.614182966718</v>
      </c>
      <c r="L19" s="27">
        <f t="shared" si="4"/>
        <v>24728.522361849948</v>
      </c>
      <c r="M19" s="27">
        <f t="shared" si="5"/>
        <v>34357.454694291642</v>
      </c>
      <c r="N19" s="27">
        <f t="shared" si="7"/>
        <v>35309.902888775003</v>
      </c>
      <c r="O19" s="27">
        <f t="shared" si="8"/>
        <v>552093.38294791698</v>
      </c>
      <c r="P19" s="231">
        <f t="shared" si="9"/>
        <v>715208.28272842523</v>
      </c>
      <c r="Q19" s="794">
        <f>'Cap&amp;OpEx 2024'!E31</f>
        <v>24914.75</v>
      </c>
      <c r="R19" s="794">
        <f>'Depreciation 2024'!H16</f>
        <v>226270.15082550002</v>
      </c>
      <c r="S19" s="231">
        <f t="shared" si="10"/>
        <v>513852.8819029252</v>
      </c>
      <c r="T19" s="231">
        <f t="shared" si="11"/>
        <v>107909.10519961429</v>
      </c>
      <c r="U19" s="231">
        <f t="shared" si="12"/>
        <v>25929.193179465015</v>
      </c>
      <c r="V19" s="231">
        <f t="shared" si="13"/>
        <v>-5445.1305676876527</v>
      </c>
      <c r="W19" s="231">
        <f t="shared" si="14"/>
        <v>-1119.2608333333333</v>
      </c>
      <c r="X19" s="231">
        <f t="shared" si="15"/>
        <v>-34.119166666666665</v>
      </c>
      <c r="Y19" s="62"/>
      <c r="Z19" s="231">
        <f t="shared" si="16"/>
        <v>13522312.086064611</v>
      </c>
      <c r="AA19" s="231">
        <f t="shared" si="17"/>
        <v>127239.78781139106</v>
      </c>
      <c r="AB19" s="801" t="s">
        <v>509</v>
      </c>
      <c r="AC19" s="231">
        <f>AC18+AA19*276/366</f>
        <v>13477607.122092653</v>
      </c>
      <c r="AF19" s="156">
        <f>((((SUM('2024 Capital Budget'!E14:G14)-(1/12*$N$13))*$C$17))*3/12)-AF18-AF17</f>
        <v>7421.1312812499982</v>
      </c>
      <c r="AG19" s="156">
        <f>SUM('2024 Capital Budget'!$E$15:$G$15)*3/12-AG18-AG17</f>
        <v>544672.25166666694</v>
      </c>
      <c r="AH19" s="156">
        <f t="shared" si="6"/>
        <v>0</v>
      </c>
      <c r="AI19" s="156">
        <f t="shared" si="18"/>
        <v>552093.38294791698</v>
      </c>
      <c r="AK19" s="799"/>
    </row>
    <row r="20" spans="1:37">
      <c r="A20" s="59">
        <f t="shared" si="19"/>
        <v>7</v>
      </c>
      <c r="C20" s="1467">
        <v>6.1769999999999999E-2</v>
      </c>
      <c r="D20" s="1005">
        <v>7.6999999999999999E-2</v>
      </c>
      <c r="E20" s="59">
        <v>4</v>
      </c>
      <c r="F20" s="59"/>
      <c r="G20" s="59" t="s">
        <v>254</v>
      </c>
      <c r="H20" s="231">
        <f t="shared" si="0"/>
        <v>4730.9816863749984</v>
      </c>
      <c r="I20" s="231">
        <f t="shared" si="1"/>
        <v>19370.965587999995</v>
      </c>
      <c r="J20" s="231">
        <f t="shared" si="2"/>
        <v>21148.458378250001</v>
      </c>
      <c r="K20" s="27">
        <f t="shared" si="3"/>
        <v>23468.614182966718</v>
      </c>
      <c r="L20" s="27">
        <f t="shared" si="4"/>
        <v>24728.522361849948</v>
      </c>
      <c r="M20" s="27">
        <f t="shared" si="5"/>
        <v>34357.454694291642</v>
      </c>
      <c r="N20" s="27">
        <f t="shared" si="7"/>
        <v>35309.902888775003</v>
      </c>
      <c r="O20" s="27">
        <f t="shared" si="8"/>
        <v>772930.73896874976</v>
      </c>
      <c r="P20" s="231">
        <f t="shared" si="9"/>
        <v>936045.63874925813</v>
      </c>
      <c r="Q20" s="794">
        <f>'Cap&amp;OpEx 2024'!F31</f>
        <v>24914.75</v>
      </c>
      <c r="R20" s="794">
        <f>'Depreciation 2024'!I16</f>
        <v>231081.9986205</v>
      </c>
      <c r="S20" s="231">
        <f t="shared" si="10"/>
        <v>729878.39012875815</v>
      </c>
      <c r="T20" s="231">
        <f t="shared" si="11"/>
        <v>153274.4619270392</v>
      </c>
      <c r="U20" s="231">
        <f t="shared" si="12"/>
        <v>36730.468590756653</v>
      </c>
      <c r="V20" s="231">
        <f t="shared" si="13"/>
        <v>-7713.3984040588966</v>
      </c>
      <c r="W20" s="231">
        <f t="shared" si="14"/>
        <v>-1119.2608333333333</v>
      </c>
      <c r="X20" s="231">
        <f t="shared" si="15"/>
        <v>-34.119166666666665</v>
      </c>
      <c r="Y20" s="27"/>
      <c r="Z20" s="231">
        <f t="shared" si="16"/>
        <v>13703450.238178348</v>
      </c>
      <c r="AA20" s="231">
        <f t="shared" si="17"/>
        <v>181138.15211373754</v>
      </c>
      <c r="AB20" s="801" t="s">
        <v>510</v>
      </c>
      <c r="AC20" s="231">
        <f>AC19+AA20*246/366</f>
        <v>13599355.716136312</v>
      </c>
      <c r="AF20" s="156">
        <f>((((SUM('2024 Capital Budget'!E14:H14)-(1/12*$N$13))*$C$17))*4/12)-AF19-AF18-AF17</f>
        <v>10389.583968749999</v>
      </c>
      <c r="AG20" s="156">
        <f>SUM('2024 Capital Budget'!$E$15:$H$15)*4/12-AG19-AG18-AG17</f>
        <v>762541.1549999998</v>
      </c>
      <c r="AH20" s="156">
        <f t="shared" si="6"/>
        <v>0</v>
      </c>
      <c r="AI20" s="156">
        <f t="shared" si="18"/>
        <v>772930.73896874976</v>
      </c>
      <c r="AK20" s="799"/>
    </row>
    <row r="21" spans="1:37">
      <c r="A21" s="59">
        <f t="shared" si="19"/>
        <v>8</v>
      </c>
      <c r="C21" s="1467">
        <v>5.713E-2</v>
      </c>
      <c r="D21" s="1005">
        <v>6.93E-2</v>
      </c>
      <c r="E21" s="59">
        <v>5</v>
      </c>
      <c r="F21" s="59"/>
      <c r="G21" s="59" t="s">
        <v>85</v>
      </c>
      <c r="H21" s="231">
        <f t="shared" si="0"/>
        <v>4730.9816863749984</v>
      </c>
      <c r="I21" s="231">
        <f t="shared" si="1"/>
        <v>19370.965587999995</v>
      </c>
      <c r="J21" s="231">
        <f t="shared" si="2"/>
        <v>21148.458378250001</v>
      </c>
      <c r="K21" s="27">
        <f t="shared" si="3"/>
        <v>23468.614182966718</v>
      </c>
      <c r="L21" s="27">
        <f t="shared" si="4"/>
        <v>24728.522361849948</v>
      </c>
      <c r="M21" s="27">
        <f t="shared" si="5"/>
        <v>34357.454694291642</v>
      </c>
      <c r="N21" s="27">
        <f t="shared" si="7"/>
        <v>35309.902888775003</v>
      </c>
      <c r="O21" s="27">
        <f t="shared" si="8"/>
        <v>993768.09498958313</v>
      </c>
      <c r="P21" s="231">
        <f t="shared" si="9"/>
        <v>1156882.9947700915</v>
      </c>
      <c r="Q21" s="794">
        <f>'Cap&amp;OpEx 2024'!G31</f>
        <v>24914.75</v>
      </c>
      <c r="R21" s="794">
        <f>'Depreciation 2024'!J16</f>
        <v>235893.84641549998</v>
      </c>
      <c r="S21" s="231">
        <f t="shared" si="10"/>
        <v>945903.89835459157</v>
      </c>
      <c r="T21" s="231">
        <f t="shared" si="11"/>
        <v>198639.81865446421</v>
      </c>
      <c r="U21" s="231">
        <f t="shared" si="12"/>
        <v>47531.744002048326</v>
      </c>
      <c r="V21" s="231">
        <f t="shared" si="13"/>
        <v>-9981.6662404301478</v>
      </c>
      <c r="W21" s="231">
        <f t="shared" si="14"/>
        <v>-1119.2608333333333</v>
      </c>
      <c r="X21" s="231">
        <f t="shared" si="15"/>
        <v>-34.119166666666665</v>
      </c>
      <c r="Y21" s="27"/>
      <c r="Z21" s="231">
        <f t="shared" si="16"/>
        <v>13938486.75459443</v>
      </c>
      <c r="AA21" s="231">
        <f t="shared" si="17"/>
        <v>235036.51641608216</v>
      </c>
      <c r="AB21" s="801" t="s">
        <v>511</v>
      </c>
      <c r="AC21" s="231">
        <f>AC20+AA21*215/366</f>
        <v>13737423.615123902</v>
      </c>
      <c r="AF21" s="156">
        <f>((((SUM('2024 Capital Budget'!E14:I14)-(1/12*$N$13))*$C$17))*5/12)-AF20-AF19-AF18-AF17</f>
        <v>13358.036656250004</v>
      </c>
      <c r="AG21" s="156">
        <f>SUM('2024 Capital Budget'!$E$15:$I$15)*5/12-AG20-AG19-AG18-AG17</f>
        <v>980410.05833333312</v>
      </c>
      <c r="AH21" s="156">
        <f t="shared" si="6"/>
        <v>0</v>
      </c>
      <c r="AI21" s="156">
        <f t="shared" si="18"/>
        <v>993768.09498958313</v>
      </c>
      <c r="AK21" s="460"/>
    </row>
    <row r="22" spans="1:37">
      <c r="A22" s="59">
        <f t="shared" si="19"/>
        <v>9</v>
      </c>
      <c r="C22" s="1467">
        <v>5.2850000000000001E-2</v>
      </c>
      <c r="D22" s="1005">
        <v>6.2300000000000001E-2</v>
      </c>
      <c r="E22" s="59">
        <v>6</v>
      </c>
      <c r="F22" s="59"/>
      <c r="G22" s="59" t="s">
        <v>255</v>
      </c>
      <c r="H22" s="231">
        <f t="shared" si="0"/>
        <v>4730.9816863749984</v>
      </c>
      <c r="I22" s="231">
        <f t="shared" si="1"/>
        <v>19370.965587999995</v>
      </c>
      <c r="J22" s="231">
        <f t="shared" si="2"/>
        <v>21148.458378250001</v>
      </c>
      <c r="K22" s="27">
        <f t="shared" si="3"/>
        <v>23468.614182966718</v>
      </c>
      <c r="L22" s="27">
        <f t="shared" si="4"/>
        <v>24728.522361849948</v>
      </c>
      <c r="M22" s="27">
        <f t="shared" si="5"/>
        <v>34357.454694291642</v>
      </c>
      <c r="N22" s="27">
        <f t="shared" si="7"/>
        <v>35309.902888775003</v>
      </c>
      <c r="O22" s="27">
        <f t="shared" si="8"/>
        <v>1214605.451010417</v>
      </c>
      <c r="P22" s="231">
        <f t="shared" si="9"/>
        <v>1377720.3507909253</v>
      </c>
      <c r="Q22" s="794">
        <f>'Cap&amp;OpEx 2024'!H31</f>
        <v>24914.75</v>
      </c>
      <c r="R22" s="794">
        <f>'Depreciation 2024'!K16</f>
        <v>240705.69421049996</v>
      </c>
      <c r="S22" s="231">
        <f t="shared" si="10"/>
        <v>1161929.4065804253</v>
      </c>
      <c r="T22" s="231">
        <f t="shared" si="11"/>
        <v>244005.1753818893</v>
      </c>
      <c r="U22" s="231">
        <f t="shared" si="12"/>
        <v>58333.019413340015</v>
      </c>
      <c r="V22" s="231">
        <f t="shared" si="13"/>
        <v>-12249.934076801403</v>
      </c>
      <c r="W22" s="231">
        <f t="shared" si="14"/>
        <v>-1119.2608333333333</v>
      </c>
      <c r="X22" s="231">
        <f t="shared" si="15"/>
        <v>-34.119166666666665</v>
      </c>
      <c r="Y22" s="27"/>
      <c r="Z22" s="231">
        <f t="shared" si="16"/>
        <v>14227421.635312859</v>
      </c>
      <c r="AA22" s="231">
        <f t="shared" si="17"/>
        <v>288934.88071842864</v>
      </c>
      <c r="AB22" s="801" t="s">
        <v>512</v>
      </c>
      <c r="AC22" s="231">
        <f>AC21+AA22*185/366</f>
        <v>13883469.934612725</v>
      </c>
      <c r="AF22" s="156">
        <f>((((SUM('2024 Capital Budget'!E14:J14)-(1/12*$N$13))*$C$17))*6/12)-AF21-AF20-AF19-AF18-AF17</f>
        <v>16326.489343749998</v>
      </c>
      <c r="AG22" s="156">
        <f>SUM('2024 Capital Budget'!$E$15:$J$15)*6/12-AG21-AG20-AG19-AG18-AG17</f>
        <v>1198278.9616666669</v>
      </c>
      <c r="AH22" s="156">
        <f t="shared" si="6"/>
        <v>0</v>
      </c>
      <c r="AI22" s="156">
        <f t="shared" si="18"/>
        <v>1214605.451010417</v>
      </c>
      <c r="AK22" s="460"/>
    </row>
    <row r="23" spans="1:37">
      <c r="A23" s="59">
        <f t="shared" si="19"/>
        <v>10</v>
      </c>
      <c r="C23" s="1467">
        <v>4.888E-2</v>
      </c>
      <c r="D23" s="1005">
        <v>5.8999999999999997E-2</v>
      </c>
      <c r="E23" s="59">
        <v>7</v>
      </c>
      <c r="F23" s="59"/>
      <c r="G23" s="59" t="s">
        <v>86</v>
      </c>
      <c r="H23" s="231">
        <f t="shared" si="0"/>
        <v>4730.9816863749984</v>
      </c>
      <c r="I23" s="231">
        <f t="shared" si="1"/>
        <v>19370.965587999995</v>
      </c>
      <c r="J23" s="231">
        <f t="shared" si="2"/>
        <v>21148.458378250001</v>
      </c>
      <c r="K23" s="27">
        <f t="shared" si="3"/>
        <v>23468.614182966718</v>
      </c>
      <c r="L23" s="27">
        <f t="shared" si="4"/>
        <v>24728.522361849948</v>
      </c>
      <c r="M23" s="27">
        <f t="shared" si="5"/>
        <v>34357.454694291642</v>
      </c>
      <c r="N23" s="27">
        <f t="shared" si="7"/>
        <v>35309.902888775003</v>
      </c>
      <c r="O23" s="27">
        <f t="shared" si="8"/>
        <v>1435442.8070312508</v>
      </c>
      <c r="P23" s="231">
        <f t="shared" si="9"/>
        <v>1598557.7068117592</v>
      </c>
      <c r="Q23" s="794">
        <f>'Cap&amp;OpEx 2024'!I31</f>
        <v>24914.75</v>
      </c>
      <c r="R23" s="794">
        <f>'Depreciation 2024'!L16</f>
        <v>245517.54200549994</v>
      </c>
      <c r="S23" s="231">
        <f t="shared" si="10"/>
        <v>1377954.9148062593</v>
      </c>
      <c r="T23" s="231">
        <f t="shared" si="11"/>
        <v>289370.53210931446</v>
      </c>
      <c r="U23" s="231">
        <f t="shared" si="12"/>
        <v>69134.294824631696</v>
      </c>
      <c r="V23" s="231">
        <f t="shared" si="13"/>
        <v>-14518.201913172656</v>
      </c>
      <c r="W23" s="231">
        <f t="shared" si="14"/>
        <v>-1119.2608333333333</v>
      </c>
      <c r="X23" s="231">
        <f t="shared" si="15"/>
        <v>-34.119166666666665</v>
      </c>
      <c r="Y23" s="27"/>
      <c r="Z23" s="231">
        <f t="shared" si="16"/>
        <v>14570254.880333632</v>
      </c>
      <c r="AA23" s="231">
        <f t="shared" si="17"/>
        <v>342833.24502077326</v>
      </c>
      <c r="AB23" s="801" t="s">
        <v>513</v>
      </c>
      <c r="AC23" s="231">
        <f>AC22+AA23*154/366</f>
        <v>14027722.174320919</v>
      </c>
      <c r="AF23" s="156">
        <f>((((SUM('2024 Capital Budget'!E14:K14)-(1/12*$N$13))*$C$17))*7/12)-AF22-AF21-AF20-AF19-AF18-AF17</f>
        <v>19294.942031250001</v>
      </c>
      <c r="AG23" s="156">
        <f>SUM('2024 Capital Budget'!$E$15:$K$15)*7/12-AG22-AG21-AG20-AG19-AG18-AG17</f>
        <v>1416147.8650000007</v>
      </c>
      <c r="AH23" s="156">
        <f t="shared" ref="AH23" si="20">(1/12*$O$13)</f>
        <v>0</v>
      </c>
      <c r="AI23" s="156">
        <f t="shared" si="18"/>
        <v>1435442.8070312508</v>
      </c>
      <c r="AK23" s="460"/>
    </row>
    <row r="24" spans="1:37">
      <c r="A24" s="59">
        <f t="shared" si="19"/>
        <v>11</v>
      </c>
      <c r="C24" s="1467">
        <v>4.5220000000000003E-2</v>
      </c>
      <c r="D24" s="1005">
        <v>5.8999999999999997E-2</v>
      </c>
      <c r="E24" s="59">
        <v>8</v>
      </c>
      <c r="F24" s="59"/>
      <c r="G24" s="59" t="s">
        <v>87</v>
      </c>
      <c r="H24" s="231">
        <f t="shared" si="0"/>
        <v>4730.9816863749984</v>
      </c>
      <c r="I24" s="231">
        <f t="shared" si="1"/>
        <v>19370.965587999995</v>
      </c>
      <c r="J24" s="231">
        <f t="shared" si="2"/>
        <v>21148.458378250001</v>
      </c>
      <c r="K24" s="27">
        <f t="shared" si="3"/>
        <v>23468.614182966718</v>
      </c>
      <c r="L24" s="27">
        <f t="shared" si="4"/>
        <v>24728.522361849948</v>
      </c>
      <c r="M24" s="27">
        <f t="shared" si="5"/>
        <v>34357.454694291642</v>
      </c>
      <c r="N24" s="27">
        <f t="shared" si="7"/>
        <v>35309.902888775003</v>
      </c>
      <c r="O24" s="27">
        <f t="shared" si="8"/>
        <v>1656280.163052083</v>
      </c>
      <c r="P24" s="231">
        <f t="shared" si="9"/>
        <v>1819395.0628325914</v>
      </c>
      <c r="Q24" s="794">
        <f>'Cap&amp;OpEx 2024'!J31</f>
        <v>24914.75</v>
      </c>
      <c r="R24" s="794">
        <f>'Depreciation 2024'!M16</f>
        <v>250329.38980049995</v>
      </c>
      <c r="S24" s="231">
        <f t="shared" si="10"/>
        <v>1593980.4230320915</v>
      </c>
      <c r="T24" s="231">
        <f t="shared" si="11"/>
        <v>334735.88883673918</v>
      </c>
      <c r="U24" s="231">
        <f t="shared" si="12"/>
        <v>79935.570235923326</v>
      </c>
      <c r="V24" s="231">
        <f t="shared" si="13"/>
        <v>-16786.4697495439</v>
      </c>
      <c r="W24" s="231">
        <f t="shared" si="14"/>
        <v>-1119.2608333333333</v>
      </c>
      <c r="X24" s="231">
        <f t="shared" si="15"/>
        <v>-34.119166666666665</v>
      </c>
      <c r="Y24" s="27"/>
      <c r="Z24" s="231">
        <f t="shared" si="16"/>
        <v>14966986.48965675</v>
      </c>
      <c r="AA24" s="231">
        <f t="shared" si="17"/>
        <v>396731.60932311788</v>
      </c>
      <c r="AB24" s="801" t="s">
        <v>514</v>
      </c>
      <c r="AC24" s="231">
        <f>AC23+AA24*123/366</f>
        <v>14161050.010240983</v>
      </c>
      <c r="AF24" s="156">
        <f>((((SUM('2024 Capital Budget'!E14:L14)-(1/12*$N$13))*$C$17))*8/12)-AF23-AF22-AF21-AF20-AF19-AF18-AF17</f>
        <v>22263.394718750002</v>
      </c>
      <c r="AG24" s="156">
        <f>SUM('2024 Capital Budget'!$E$15:$L$15)*8/12-AG23-AG22-AG21-AG20-AG19-AG18-AG17</f>
        <v>1634016.7683333331</v>
      </c>
      <c r="AH24" s="156">
        <f>(1/12*$O$13)</f>
        <v>0</v>
      </c>
      <c r="AI24" s="156">
        <f t="shared" si="18"/>
        <v>1656280.163052083</v>
      </c>
      <c r="AK24" s="460"/>
    </row>
    <row r="25" spans="1:37">
      <c r="A25" s="59">
        <f t="shared" si="19"/>
        <v>12</v>
      </c>
      <c r="C25" s="1467">
        <v>4.462E-2</v>
      </c>
      <c r="D25" s="1005">
        <v>5.91E-2</v>
      </c>
      <c r="E25" s="59">
        <v>9</v>
      </c>
      <c r="F25" s="59"/>
      <c r="G25" s="59" t="s">
        <v>88</v>
      </c>
      <c r="H25" s="231">
        <f t="shared" si="0"/>
        <v>4730.9816863749984</v>
      </c>
      <c r="I25" s="231">
        <f t="shared" si="1"/>
        <v>19370.965587999995</v>
      </c>
      <c r="J25" s="231">
        <f t="shared" si="2"/>
        <v>21148.458378250001</v>
      </c>
      <c r="K25" s="27">
        <f t="shared" si="3"/>
        <v>23468.614182966718</v>
      </c>
      <c r="L25" s="27">
        <f t="shared" si="4"/>
        <v>24728.522361849948</v>
      </c>
      <c r="M25" s="27">
        <f t="shared" si="5"/>
        <v>34357.454694291642</v>
      </c>
      <c r="N25" s="27">
        <f t="shared" si="7"/>
        <v>35309.902888775003</v>
      </c>
      <c r="O25" s="27">
        <f t="shared" si="8"/>
        <v>1877117.5190729173</v>
      </c>
      <c r="P25" s="231">
        <f t="shared" si="9"/>
        <v>2040232.4188534257</v>
      </c>
      <c r="Q25" s="794">
        <f>'Cap&amp;OpEx 2024'!K31</f>
        <v>24914.75</v>
      </c>
      <c r="R25" s="794">
        <f>'Depreciation 2024'!N16</f>
        <v>255141.23759549993</v>
      </c>
      <c r="S25" s="231">
        <f t="shared" si="10"/>
        <v>1810005.9312579257</v>
      </c>
      <c r="T25" s="231">
        <f t="shared" si="11"/>
        <v>380101.24556416436</v>
      </c>
      <c r="U25" s="231">
        <f t="shared" si="12"/>
        <v>90736.845647215028</v>
      </c>
      <c r="V25" s="231">
        <f t="shared" si="13"/>
        <v>-19054.737585915154</v>
      </c>
      <c r="W25" s="231">
        <f t="shared" si="14"/>
        <v>-1119.2608333333333</v>
      </c>
      <c r="X25" s="231">
        <f t="shared" si="15"/>
        <v>-34.119166666666665</v>
      </c>
      <c r="Y25" s="27"/>
      <c r="Z25" s="231">
        <f t="shared" si="16"/>
        <v>15417616.463282214</v>
      </c>
      <c r="AA25" s="231">
        <f t="shared" si="17"/>
        <v>450629.97362546436</v>
      </c>
      <c r="AB25" s="801" t="s">
        <v>515</v>
      </c>
      <c r="AC25" s="231">
        <f>AC24+AA25*93/366</f>
        <v>14275554.347801551</v>
      </c>
      <c r="AF25" s="156">
        <f>((((SUM('2024 Capital Budget'!E14:M14)-(1/12*$N$13))*$C$17))*9/12)-AF24-AF23-AF22-AF21-AF20-AF19-AF18-AF17</f>
        <v>25231.847406250003</v>
      </c>
      <c r="AG25" s="156">
        <f>SUM('2024 Capital Budget'!$E$15:$M$15)*9/12-AG24-AG23-AG22-AG21-AG20-AG19-AG18-AG17</f>
        <v>1851885.6716666673</v>
      </c>
      <c r="AH25" s="156">
        <f>(1/12*$O$13)</f>
        <v>0</v>
      </c>
      <c r="AI25" s="156">
        <f t="shared" si="18"/>
        <v>1877117.5190729173</v>
      </c>
      <c r="AK25" s="460"/>
    </row>
    <row r="26" spans="1:37">
      <c r="A26" s="59">
        <f t="shared" si="19"/>
        <v>13</v>
      </c>
      <c r="C26" s="1467">
        <v>4.4609999999999997E-2</v>
      </c>
      <c r="D26" s="1005">
        <v>5.8999999999999997E-2</v>
      </c>
      <c r="E26" s="59">
        <v>10</v>
      </c>
      <c r="F26" s="59"/>
      <c r="G26" s="59" t="s">
        <v>89</v>
      </c>
      <c r="H26" s="231">
        <f t="shared" si="0"/>
        <v>4730.9816863749984</v>
      </c>
      <c r="I26" s="231">
        <f t="shared" si="1"/>
        <v>19370.965587999995</v>
      </c>
      <c r="J26" s="231">
        <f t="shared" si="2"/>
        <v>21148.458378250001</v>
      </c>
      <c r="K26" s="27">
        <f t="shared" si="3"/>
        <v>23468.614182966718</v>
      </c>
      <c r="L26" s="27">
        <f t="shared" si="4"/>
        <v>24728.522361849948</v>
      </c>
      <c r="M26" s="27">
        <f t="shared" si="5"/>
        <v>34357.454694291642</v>
      </c>
      <c r="N26" s="27">
        <f t="shared" si="7"/>
        <v>35309.902888775003</v>
      </c>
      <c r="O26" s="27">
        <f t="shared" si="8"/>
        <v>2097954.8750937511</v>
      </c>
      <c r="P26" s="231">
        <f t="shared" si="9"/>
        <v>2261069.7748742593</v>
      </c>
      <c r="Q26" s="794">
        <f>'Cap&amp;OpEx 2024'!L31</f>
        <v>24914.75</v>
      </c>
      <c r="R26" s="794">
        <f>'Depreciation 2024'!O16</f>
        <v>259953.08539049991</v>
      </c>
      <c r="S26" s="231">
        <f t="shared" si="10"/>
        <v>2026031.4394837595</v>
      </c>
      <c r="T26" s="231">
        <f t="shared" si="11"/>
        <v>425466.60229158949</v>
      </c>
      <c r="U26" s="231">
        <f t="shared" si="12"/>
        <v>101538.12105850673</v>
      </c>
      <c r="V26" s="231">
        <f t="shared" si="13"/>
        <v>-21323.005422286413</v>
      </c>
      <c r="W26" s="231">
        <f t="shared" si="14"/>
        <v>-1119.2608333333333</v>
      </c>
      <c r="X26" s="231">
        <f t="shared" si="15"/>
        <v>-34.119166666666665</v>
      </c>
      <c r="Y26" s="27"/>
      <c r="Z26" s="231">
        <f t="shared" si="16"/>
        <v>15922144.801210023</v>
      </c>
      <c r="AA26" s="231">
        <f t="shared" si="17"/>
        <v>504528.33792780899</v>
      </c>
      <c r="AB26" s="801" t="s">
        <v>516</v>
      </c>
      <c r="AC26" s="231">
        <f>AC25+AA26*62/366</f>
        <v>14361020.896849431</v>
      </c>
      <c r="AF26" s="156">
        <f>((((SUM('2024 Capital Budget'!E14:N14)-(1/12*$N$13))*$C$17))*10/12)-AF25-AF24-AF23-AF22-AF21-AF20-AF19-AF18-AF17</f>
        <v>28200.300093749975</v>
      </c>
      <c r="AG26" s="156">
        <f>SUM('2024 Capital Budget'!$E$15:$N$15)*10/12-AG25-AG24-AG23-AG22-AG21-AG20-AG19-AG18-AG17</f>
        <v>2069754.5750000014</v>
      </c>
      <c r="AH26" s="156">
        <f>(1/12*$O$13)</f>
        <v>0</v>
      </c>
      <c r="AI26" s="156">
        <f t="shared" si="18"/>
        <v>2097954.8750937511</v>
      </c>
      <c r="AK26" s="460"/>
    </row>
    <row r="27" spans="1:37">
      <c r="A27" s="59">
        <f t="shared" si="19"/>
        <v>14</v>
      </c>
      <c r="C27" s="1467">
        <v>4.462E-2</v>
      </c>
      <c r="D27" s="1005">
        <v>5.91E-2</v>
      </c>
      <c r="E27" s="59">
        <v>11</v>
      </c>
      <c r="F27" s="59"/>
      <c r="G27" s="59" t="s">
        <v>90</v>
      </c>
      <c r="H27" s="231">
        <f t="shared" si="0"/>
        <v>4730.9816863749984</v>
      </c>
      <c r="I27" s="231">
        <f t="shared" si="1"/>
        <v>19370.965587999995</v>
      </c>
      <c r="J27" s="231">
        <f t="shared" si="2"/>
        <v>21148.458378250001</v>
      </c>
      <c r="K27" s="27">
        <f t="shared" si="3"/>
        <v>23468.614182966718</v>
      </c>
      <c r="L27" s="27">
        <f t="shared" si="4"/>
        <v>24728.522361849948</v>
      </c>
      <c r="M27" s="27">
        <f t="shared" si="5"/>
        <v>34357.454694291642</v>
      </c>
      <c r="N27" s="27">
        <f t="shared" si="7"/>
        <v>35309.902888775003</v>
      </c>
      <c r="O27" s="27">
        <f t="shared" si="8"/>
        <v>2318792.2311145822</v>
      </c>
      <c r="P27" s="231">
        <f t="shared" si="9"/>
        <v>2481907.1308950903</v>
      </c>
      <c r="Q27" s="794">
        <f>'Cap&amp;OpEx 2024'!M31</f>
        <v>24914.75</v>
      </c>
      <c r="R27" s="794">
        <f>'Depreciation 2024'!P16</f>
        <v>264764.93318549986</v>
      </c>
      <c r="S27" s="231">
        <f t="shared" si="10"/>
        <v>2242056.9477095902</v>
      </c>
      <c r="T27" s="231">
        <f t="shared" si="11"/>
        <v>470831.95901901391</v>
      </c>
      <c r="U27" s="231">
        <f t="shared" si="12"/>
        <v>112339.39646979827</v>
      </c>
      <c r="V27" s="231">
        <f t="shared" si="13"/>
        <v>-23591.273258657635</v>
      </c>
      <c r="W27" s="231">
        <f t="shared" si="14"/>
        <v>-1119.2608333333333</v>
      </c>
      <c r="X27" s="231">
        <f t="shared" si="15"/>
        <v>-34.119166666666665</v>
      </c>
      <c r="Y27" s="27"/>
      <c r="Z27" s="231">
        <f t="shared" si="16"/>
        <v>16480571.503440177</v>
      </c>
      <c r="AA27" s="231">
        <f t="shared" si="17"/>
        <v>558426.70223015361</v>
      </c>
      <c r="AB27" s="801" t="s">
        <v>517</v>
      </c>
      <c r="AC27" s="231">
        <f>AC26+AA27*32/366</f>
        <v>14409845.089394145</v>
      </c>
      <c r="AF27" s="156">
        <f>((((SUM('2024 Capital Budget'!E14:O14)-(1/12*$N$13))*$C$17))*11/12)-AF26-AF25-AF24-AF23-AF22-AF21-AF20-AF19-AF18-AF17</f>
        <v>31168.752781250048</v>
      </c>
      <c r="AG27" s="156">
        <f>SUM('2024 Capital Budget'!$E$15:$O$15)*11/12-AG26-AG25-AG24-AG23-AG22-AG21-AG20-AG19-AG18-AG17</f>
        <v>2287623.4783333321</v>
      </c>
      <c r="AH27" s="156">
        <f>(1/12*$O$13)</f>
        <v>0</v>
      </c>
      <c r="AI27" s="156">
        <f t="shared" si="18"/>
        <v>2318792.2311145822</v>
      </c>
      <c r="AK27" s="460"/>
    </row>
    <row r="28" spans="1:37">
      <c r="A28" s="59">
        <f t="shared" si="19"/>
        <v>15</v>
      </c>
      <c r="C28" s="1467">
        <v>4.4609999999999997E-2</v>
      </c>
      <c r="D28" s="1005">
        <v>5.8999999999999997E-2</v>
      </c>
      <c r="E28" s="59">
        <v>12</v>
      </c>
      <c r="F28" s="59"/>
      <c r="G28" s="59" t="s">
        <v>91</v>
      </c>
      <c r="H28" s="231">
        <f t="shared" si="0"/>
        <v>4730.9816863749984</v>
      </c>
      <c r="I28" s="231">
        <f t="shared" si="1"/>
        <v>19370.965587999995</v>
      </c>
      <c r="J28" s="231">
        <f t="shared" si="2"/>
        <v>21148.458378250001</v>
      </c>
      <c r="K28" s="27">
        <f t="shared" si="3"/>
        <v>23468.614182966718</v>
      </c>
      <c r="L28" s="27">
        <f t="shared" si="4"/>
        <v>24728.522361849948</v>
      </c>
      <c r="M28" s="27">
        <f t="shared" si="5"/>
        <v>34357.454694291642</v>
      </c>
      <c r="N28" s="27">
        <f t="shared" si="7"/>
        <v>35309.902888775003</v>
      </c>
      <c r="O28" s="27">
        <f t="shared" si="8"/>
        <v>2539629.5871354192</v>
      </c>
      <c r="P28" s="231">
        <f t="shared" si="9"/>
        <v>2702744.4869159274</v>
      </c>
      <c r="Q28" s="794">
        <f>'Cap&amp;OpEx 2024'!N31</f>
        <v>24914.75</v>
      </c>
      <c r="R28" s="794">
        <f>'Depreciation 2024'!Q16</f>
        <v>269576.78098049987</v>
      </c>
      <c r="S28" s="231">
        <f t="shared" si="10"/>
        <v>2458082.4559354275</v>
      </c>
      <c r="T28" s="231">
        <f t="shared" si="11"/>
        <v>516197.31574643974</v>
      </c>
      <c r="U28" s="231">
        <f t="shared" si="12"/>
        <v>123140.67188109014</v>
      </c>
      <c r="V28" s="231">
        <f t="shared" si="13"/>
        <v>-25859.541095028926</v>
      </c>
      <c r="W28" s="231">
        <f t="shared" si="14"/>
        <v>-1119.2608333333333</v>
      </c>
      <c r="X28" s="231">
        <f t="shared" si="15"/>
        <v>-34.119166666666665</v>
      </c>
      <c r="Y28" s="27"/>
      <c r="Z28" s="231">
        <f t="shared" si="16"/>
        <v>17092896.569972675</v>
      </c>
      <c r="AA28" s="231">
        <f t="shared" si="17"/>
        <v>612325.06653249823</v>
      </c>
      <c r="AB28" s="801" t="s">
        <v>507</v>
      </c>
      <c r="AC28" s="231">
        <f>AC27+AA28*1/366</f>
        <v>14411518.108701611</v>
      </c>
      <c r="AF28" s="156">
        <f>((((SUM('2024 Capital Budget'!E14:P14)-(1/12*$N$13))*$C$17))*12/12)-AF27-AF26-AF25-AF24-AF23-AF22-AF21-AF20-AF19-AF18-AF17</f>
        <v>34137.205468749911</v>
      </c>
      <c r="AG28" s="156">
        <f>SUM('2024 Capital Budget'!$E$15:$P$15)*12/12-AG27-AG26-AG25-AG24-AG23-AG22-AG21-AG20-AG19-AG18-AG17</f>
        <v>2505492.3816666692</v>
      </c>
      <c r="AH28" s="156">
        <f>(1/12*$O$13)</f>
        <v>0</v>
      </c>
      <c r="AI28" s="156">
        <f t="shared" si="18"/>
        <v>2539629.5871354192</v>
      </c>
      <c r="AK28" s="460"/>
    </row>
    <row r="29" spans="1:37">
      <c r="A29" s="59">
        <f t="shared" si="19"/>
        <v>16</v>
      </c>
      <c r="C29" s="1467">
        <v>4.462E-2</v>
      </c>
      <c r="D29" s="1005">
        <v>5.91E-2</v>
      </c>
      <c r="E29" s="59">
        <v>13</v>
      </c>
      <c r="F29" s="5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62"/>
      <c r="AC29" s="27"/>
    </row>
    <row r="30" spans="1:37">
      <c r="A30" s="59">
        <f t="shared" si="19"/>
        <v>17</v>
      </c>
      <c r="C30" s="1467">
        <v>4.4609999999999997E-2</v>
      </c>
      <c r="D30" s="1005">
        <v>5.8999999999999997E-2</v>
      </c>
      <c r="E30" s="59">
        <v>14</v>
      </c>
      <c r="F30" s="5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K30" s="799"/>
    </row>
    <row r="31" spans="1:37">
      <c r="A31" s="59">
        <f t="shared" si="19"/>
        <v>18</v>
      </c>
      <c r="C31" s="1467">
        <v>4.462E-2</v>
      </c>
      <c r="D31" s="1005">
        <v>5.91E-2</v>
      </c>
      <c r="E31" s="59">
        <v>15</v>
      </c>
      <c r="F31" s="5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37">
      <c r="A32" s="59">
        <f t="shared" si="19"/>
        <v>19</v>
      </c>
      <c r="C32" s="1467">
        <v>4.4609999999999997E-2</v>
      </c>
      <c r="D32" s="1005">
        <v>2.9499999999999998E-2</v>
      </c>
      <c r="E32" s="59">
        <v>16</v>
      </c>
      <c r="F32" s="5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35">
      <c r="A33" s="59">
        <f t="shared" si="19"/>
        <v>20</v>
      </c>
      <c r="C33" s="1467">
        <v>4.462E-2</v>
      </c>
      <c r="D33" s="1005">
        <v>0</v>
      </c>
      <c r="E33" s="59">
        <v>17</v>
      </c>
      <c r="F33" s="5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35">
      <c r="A34" s="59">
        <f t="shared" si="19"/>
        <v>21</v>
      </c>
      <c r="C34" s="1467">
        <v>4.4609999999999997E-2</v>
      </c>
      <c r="D34" s="1005">
        <v>0</v>
      </c>
      <c r="E34" s="59">
        <v>18</v>
      </c>
      <c r="F34" s="5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35">
      <c r="A35" s="59">
        <f t="shared" si="19"/>
        <v>22</v>
      </c>
      <c r="C35" s="1467">
        <v>4.462E-2</v>
      </c>
      <c r="D35" s="1005">
        <v>0</v>
      </c>
      <c r="E35" s="59">
        <v>19</v>
      </c>
      <c r="F35" s="5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35">
      <c r="A36" s="59">
        <f t="shared" si="19"/>
        <v>23</v>
      </c>
      <c r="C36" s="1467">
        <v>4.4609999999999997E-2</v>
      </c>
      <c r="D36" s="1005">
        <v>0</v>
      </c>
      <c r="E36" s="59">
        <v>20</v>
      </c>
      <c r="F36" s="5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35">
      <c r="A37" s="59">
        <f t="shared" si="19"/>
        <v>24</v>
      </c>
      <c r="C37" s="1467">
        <v>2.231E-2</v>
      </c>
      <c r="D37" s="1005">
        <v>0</v>
      </c>
      <c r="E37" s="59">
        <v>21</v>
      </c>
      <c r="F37" s="5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35">
      <c r="A38" s="59">
        <f t="shared" si="19"/>
        <v>25</v>
      </c>
      <c r="H38" s="27">
        <f t="shared" ref="H38:V38" si="21">SUM(H17:H37)</f>
        <v>56771.780236499995</v>
      </c>
      <c r="I38" s="27">
        <f t="shared" si="21"/>
        <v>232451.58705599993</v>
      </c>
      <c r="J38" s="27">
        <f t="shared" si="21"/>
        <v>253781.50053900006</v>
      </c>
      <c r="K38" s="27">
        <f t="shared" si="21"/>
        <v>281623.37019560055</v>
      </c>
      <c r="L38" s="27">
        <f t="shared" si="21"/>
        <v>296742.26834219944</v>
      </c>
      <c r="M38" s="27">
        <f t="shared" si="21"/>
        <v>412289.45633149968</v>
      </c>
      <c r="N38" s="27">
        <f t="shared" si="21"/>
        <v>423718.83466529992</v>
      </c>
      <c r="O38" s="27">
        <f t="shared" si="21"/>
        <v>15900289.548250005</v>
      </c>
      <c r="P38" s="27">
        <f t="shared" si="21"/>
        <v>17857668.345616102</v>
      </c>
      <c r="Q38" s="27">
        <f t="shared" si="21"/>
        <v>298977.02</v>
      </c>
      <c r="R38" s="27">
        <f t="shared" si="21"/>
        <v>2917339.4175929991</v>
      </c>
      <c r="S38" s="27">
        <f t="shared" si="21"/>
        <v>15239305.948023105</v>
      </c>
      <c r="T38" s="27">
        <f t="shared" si="21"/>
        <v>3200254.2490848517</v>
      </c>
      <c r="U38" s="27">
        <f t="shared" si="21"/>
        <v>764803.88641298027</v>
      </c>
      <c r="V38" s="27">
        <f t="shared" si="21"/>
        <v>-160608.81614672582</v>
      </c>
      <c r="W38" s="27">
        <v>-13431.13</v>
      </c>
      <c r="X38" s="27">
        <v>-409.43</v>
      </c>
      <c r="Y38" s="27">
        <f>SUM(Y17:Y37)</f>
        <v>0</v>
      </c>
      <c r="Z38" s="27">
        <f>AVERAGE(Z16:Z28)</f>
        <v>14604710.185051126</v>
      </c>
      <c r="AC38" s="27">
        <f>AC28</f>
        <v>14411518.108701611</v>
      </c>
      <c r="AF38" s="27">
        <f>SUM(AF17:AF28)</f>
        <v>213728.58824999997</v>
      </c>
      <c r="AG38" s="27">
        <f>SUM(AG17:AG28)</f>
        <v>15686560.960000003</v>
      </c>
      <c r="AH38" s="27">
        <f>SUM(AH17:AH28)</f>
        <v>0</v>
      </c>
      <c r="AI38" s="27">
        <f t="shared" ref="AI38" si="22">SUM(AI17:AI28)</f>
        <v>15900289.548250005</v>
      </c>
    </row>
    <row r="39" spans="1:35"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Z39" s="27"/>
    </row>
    <row r="40" spans="1:35">
      <c r="B40" s="60" t="s">
        <v>163</v>
      </c>
      <c r="C40" s="52" t="s">
        <v>1002</v>
      </c>
      <c r="U40" s="27"/>
      <c r="V40" s="27"/>
      <c r="W40" s="27"/>
      <c r="X40" s="27"/>
      <c r="Y40" s="27"/>
    </row>
    <row r="41" spans="1:35">
      <c r="B41" s="60" t="s">
        <v>164</v>
      </c>
      <c r="C41" s="52" t="s">
        <v>1003</v>
      </c>
      <c r="U41" s="54"/>
      <c r="V41" s="54"/>
      <c r="W41" s="54"/>
      <c r="X41" s="54"/>
      <c r="Y41" s="54"/>
    </row>
    <row r="42" spans="1:35">
      <c r="B42" s="60" t="s">
        <v>165</v>
      </c>
      <c r="C42" s="52" t="s">
        <v>1004</v>
      </c>
      <c r="D42" s="245"/>
      <c r="U42" s="48"/>
      <c r="V42" s="48"/>
      <c r="W42" s="48"/>
      <c r="X42" s="48"/>
      <c r="Y42" s="48"/>
    </row>
    <row r="43" spans="1:35">
      <c r="B43" s="60" t="s">
        <v>174</v>
      </c>
      <c r="C43" s="52" t="s">
        <v>1005</v>
      </c>
      <c r="D43" s="245"/>
      <c r="U43" s="48"/>
      <c r="V43" s="48"/>
      <c r="W43" s="48"/>
      <c r="X43" s="48"/>
      <c r="Y43" s="48"/>
    </row>
    <row r="44" spans="1:35">
      <c r="B44" s="60" t="s">
        <v>210</v>
      </c>
      <c r="C44" s="52" t="s">
        <v>1006</v>
      </c>
      <c r="D44" s="245"/>
      <c r="U44" s="48"/>
      <c r="V44" s="48"/>
      <c r="W44" s="48"/>
      <c r="X44" s="48"/>
      <c r="Y44" s="48"/>
    </row>
    <row r="45" spans="1:35">
      <c r="B45" s="60" t="s">
        <v>225</v>
      </c>
      <c r="C45" s="52" t="s">
        <v>1007</v>
      </c>
      <c r="D45" s="245"/>
      <c r="U45" s="48"/>
      <c r="V45" s="48"/>
      <c r="W45" s="48"/>
      <c r="X45" s="48"/>
      <c r="Y45" s="48"/>
    </row>
    <row r="46" spans="1:35">
      <c r="B46" s="60" t="s">
        <v>848</v>
      </c>
      <c r="C46" s="52" t="s">
        <v>1008</v>
      </c>
      <c r="D46" s="245"/>
      <c r="U46" s="48"/>
      <c r="V46" s="48"/>
      <c r="W46" s="48"/>
      <c r="X46" s="48"/>
      <c r="Y46" s="48"/>
    </row>
    <row r="47" spans="1:35">
      <c r="B47" s="60" t="s">
        <v>980</v>
      </c>
      <c r="C47" s="52" t="s">
        <v>1009</v>
      </c>
      <c r="D47" s="245"/>
      <c r="U47" s="48"/>
      <c r="V47" s="48"/>
      <c r="W47" s="48"/>
      <c r="X47" s="48"/>
      <c r="Y47" s="48"/>
    </row>
    <row r="48" spans="1:35">
      <c r="D48" s="245"/>
      <c r="U48" s="48"/>
      <c r="V48" s="48"/>
      <c r="W48" s="48"/>
      <c r="X48" s="48"/>
      <c r="Y48" s="48"/>
    </row>
    <row r="49" spans="1:26" ht="25.5">
      <c r="A49" s="59"/>
      <c r="B49" s="59"/>
      <c r="C49" s="1462"/>
      <c r="D49" s="59" t="s">
        <v>25</v>
      </c>
      <c r="E49" s="1462"/>
      <c r="F49" s="59"/>
      <c r="H49" s="59"/>
      <c r="I49" s="59"/>
      <c r="J49" s="59"/>
      <c r="K49" s="59"/>
      <c r="L49" s="59"/>
      <c r="M49" s="59"/>
      <c r="N49" s="59"/>
      <c r="O49" s="59"/>
      <c r="P49" s="59" t="s">
        <v>3</v>
      </c>
      <c r="Q49" s="59" t="s">
        <v>35</v>
      </c>
      <c r="R49" s="59"/>
      <c r="S49" s="59"/>
      <c r="T49" s="1462" t="s">
        <v>179</v>
      </c>
      <c r="Z49" s="49"/>
    </row>
    <row r="50" spans="1:26">
      <c r="A50" s="59" t="s">
        <v>4</v>
      </c>
      <c r="B50" s="59"/>
      <c r="C50" s="59"/>
      <c r="D50" s="59" t="s">
        <v>26</v>
      </c>
      <c r="F50" s="59"/>
      <c r="H50" s="1574" t="s">
        <v>20</v>
      </c>
      <c r="I50" s="1574"/>
      <c r="J50" s="1574"/>
      <c r="K50" s="1574"/>
      <c r="L50" s="1574"/>
      <c r="M50" s="1574"/>
      <c r="N50" s="1574"/>
      <c r="O50" s="1574"/>
      <c r="P50" s="59" t="s">
        <v>34</v>
      </c>
      <c r="Q50" s="59" t="s">
        <v>36</v>
      </c>
      <c r="R50" s="59" t="s">
        <v>38</v>
      </c>
      <c r="S50" s="59"/>
      <c r="T50" s="59" t="s">
        <v>34</v>
      </c>
      <c r="Z50" s="49"/>
    </row>
    <row r="51" spans="1:26">
      <c r="A51" s="1463" t="s">
        <v>5</v>
      </c>
      <c r="B51" s="1463"/>
      <c r="C51" s="1463"/>
      <c r="D51" s="1463" t="s">
        <v>2</v>
      </c>
      <c r="E51" s="1463" t="s">
        <v>27</v>
      </c>
      <c r="F51" s="1463"/>
      <c r="G51" s="1463" t="s">
        <v>105</v>
      </c>
      <c r="H51" s="1475">
        <v>2017</v>
      </c>
      <c r="I51" s="1476">
        <v>2018</v>
      </c>
      <c r="J51" s="1476">
        <v>2019</v>
      </c>
      <c r="K51" s="1476">
        <v>2020</v>
      </c>
      <c r="L51" s="1476">
        <v>2021</v>
      </c>
      <c r="M51" s="1478" t="s">
        <v>1031</v>
      </c>
      <c r="N51" s="1476">
        <v>2023</v>
      </c>
      <c r="O51" s="1477">
        <v>2024</v>
      </c>
      <c r="P51" s="1463" t="s">
        <v>0</v>
      </c>
      <c r="Q51" s="1463" t="s">
        <v>37</v>
      </c>
      <c r="R51" s="1463" t="s">
        <v>0</v>
      </c>
      <c r="S51" s="1463" t="s">
        <v>39</v>
      </c>
      <c r="T51" s="1131" t="s">
        <v>453</v>
      </c>
      <c r="Z51" s="49"/>
    </row>
    <row r="52" spans="1:26">
      <c r="C52" s="57"/>
      <c r="D52" s="57" t="s">
        <v>69</v>
      </c>
      <c r="E52" s="57"/>
      <c r="F52" s="57"/>
      <c r="G52" s="57"/>
      <c r="H52" s="884" t="s">
        <v>163</v>
      </c>
      <c r="I52" s="884" t="s">
        <v>164</v>
      </c>
      <c r="J52" s="884" t="s">
        <v>165</v>
      </c>
      <c r="K52" s="884" t="s">
        <v>174</v>
      </c>
      <c r="L52" s="884" t="s">
        <v>210</v>
      </c>
      <c r="M52" s="884" t="s">
        <v>225</v>
      </c>
      <c r="N52" s="884" t="s">
        <v>848</v>
      </c>
      <c r="O52" s="884" t="s">
        <v>980</v>
      </c>
      <c r="Z52" s="50"/>
    </row>
    <row r="53" spans="1:26">
      <c r="A53" s="59">
        <v>1</v>
      </c>
      <c r="C53" s="57" t="s">
        <v>68</v>
      </c>
      <c r="D53" s="59"/>
      <c r="E53" s="57"/>
      <c r="F53" s="59"/>
      <c r="H53" s="27">
        <f>H11+H13</f>
        <v>2510914.6499999994</v>
      </c>
      <c r="I53" s="27">
        <f>I11</f>
        <v>4755556.1999999983</v>
      </c>
      <c r="J53" s="27">
        <f t="shared" ref="J53:O53" si="23">J11</f>
        <v>4801920.54</v>
      </c>
      <c r="K53" s="27">
        <f t="shared" si="23"/>
        <v>4929518.1200000104</v>
      </c>
      <c r="L53" s="27">
        <f t="shared" si="23"/>
        <v>4803986.8599999901</v>
      </c>
      <c r="M53" s="27">
        <f t="shared" si="23"/>
        <v>6174770.9499999955</v>
      </c>
      <c r="N53" s="27">
        <f t="shared" si="23"/>
        <v>5869494.8700000001</v>
      </c>
      <c r="O53" s="27">
        <f t="shared" si="23"/>
        <v>5699429.0199999996</v>
      </c>
      <c r="P53" s="62"/>
      <c r="Z53" s="50"/>
    </row>
    <row r="54" spans="1:26">
      <c r="A54" s="59">
        <v>2</v>
      </c>
      <c r="C54" s="57" t="s">
        <v>72</v>
      </c>
      <c r="D54" s="59"/>
      <c r="E54" s="57"/>
      <c r="F54" s="59"/>
      <c r="H54" s="27">
        <f>H12</f>
        <v>2278129.7400000002</v>
      </c>
      <c r="I54" s="27">
        <f>I12</f>
        <v>5069750.870000002</v>
      </c>
      <c r="J54" s="27">
        <f t="shared" ref="J54:O54" si="24">J12</f>
        <v>6475425.9099999992</v>
      </c>
      <c r="K54" s="27">
        <f t="shared" si="24"/>
        <v>4720575.92</v>
      </c>
      <c r="L54" s="27">
        <f t="shared" si="24"/>
        <v>4028678.0700000003</v>
      </c>
      <c r="M54" s="27">
        <f t="shared" si="24"/>
        <v>8518992.4499999993</v>
      </c>
      <c r="N54" s="27">
        <f t="shared" si="24"/>
        <v>14410630.010000002</v>
      </c>
      <c r="O54" s="27">
        <f t="shared" si="24"/>
        <v>15686560.960000001</v>
      </c>
      <c r="Z54" s="50"/>
    </row>
    <row r="55" spans="1:26">
      <c r="A55" s="59">
        <v>3</v>
      </c>
      <c r="C55" s="57" t="s">
        <v>182</v>
      </c>
      <c r="D55" s="59"/>
      <c r="E55" s="57"/>
      <c r="F55" s="59"/>
      <c r="H55" s="1468"/>
      <c r="I55" s="1468"/>
      <c r="J55" s="1468"/>
      <c r="K55" s="1468"/>
      <c r="L55" s="1468"/>
      <c r="M55" s="1468"/>
      <c r="N55" s="1468"/>
      <c r="O55" s="1468"/>
      <c r="Z55" s="50"/>
    </row>
    <row r="56" spans="1:26">
      <c r="A56" s="59"/>
      <c r="C56" s="59"/>
      <c r="F56" s="59"/>
      <c r="Z56" s="50"/>
    </row>
    <row r="57" spans="1:26">
      <c r="A57" s="59"/>
      <c r="C57" s="59" t="s">
        <v>561</v>
      </c>
      <c r="F57" s="59"/>
      <c r="H57" s="1469"/>
      <c r="I57" s="1469"/>
      <c r="J57" s="1469"/>
      <c r="K57" s="1469"/>
      <c r="L57" s="1469"/>
      <c r="M57" s="1469"/>
      <c r="N57" s="1469"/>
      <c r="O57" s="1469"/>
      <c r="P57" s="1469"/>
      <c r="Q57" s="1469"/>
      <c r="R57" s="244"/>
      <c r="Z57" s="50"/>
    </row>
    <row r="58" spans="1:26">
      <c r="A58" s="59"/>
      <c r="C58" s="1465" t="s">
        <v>562</v>
      </c>
      <c r="F58" s="59"/>
      <c r="H58" s="884" t="s">
        <v>163</v>
      </c>
      <c r="I58" s="884" t="s">
        <v>164</v>
      </c>
      <c r="J58" s="884" t="s">
        <v>165</v>
      </c>
      <c r="K58" s="884" t="s">
        <v>174</v>
      </c>
      <c r="L58" s="884" t="s">
        <v>210</v>
      </c>
      <c r="M58" s="884" t="s">
        <v>225</v>
      </c>
      <c r="N58" s="884" t="s">
        <v>848</v>
      </c>
      <c r="O58" s="884" t="s">
        <v>980</v>
      </c>
      <c r="Z58" s="51"/>
    </row>
    <row r="59" spans="1:26">
      <c r="A59" s="59">
        <f>A55+1</f>
        <v>4</v>
      </c>
      <c r="C59" s="1470">
        <v>3.7499999999999999E-2</v>
      </c>
      <c r="D59" s="61">
        <v>0.05</v>
      </c>
      <c r="E59" s="59">
        <v>1</v>
      </c>
      <c r="F59" s="59"/>
      <c r="G59" s="59" t="str">
        <f t="shared" ref="G59:G70" si="25">G17</f>
        <v>Jan</v>
      </c>
      <c r="H59" s="27">
        <f t="shared" ref="H59:H70" si="26">$H$53*$C$66/12</f>
        <v>9461.9633727499986</v>
      </c>
      <c r="I59" s="27">
        <f t="shared" ref="I59:I70" si="27">$I$53*$C$65/12</f>
        <v>19370.965587999995</v>
      </c>
      <c r="J59" s="27">
        <f t="shared" ref="J59:J70" si="28">$J$53*$C$64/12</f>
        <v>21148.458378250001</v>
      </c>
      <c r="K59" s="27">
        <f t="shared" ref="K59:K70" si="29">$K$53*$C$63/12</f>
        <v>23468.614182966718</v>
      </c>
      <c r="L59" s="27">
        <f t="shared" ref="L59:L70" si="30">$L$53*$C$62/12</f>
        <v>24728.522361849948</v>
      </c>
      <c r="M59" s="27">
        <f t="shared" ref="M59:M70" si="31">$M$53*$C$61/12</f>
        <v>34357.454694291642</v>
      </c>
      <c r="N59" s="27">
        <f>$N$53*$C$60/12</f>
        <v>35309.902888775003</v>
      </c>
      <c r="O59" s="27">
        <f t="shared" ref="O59:O70" si="32">O17</f>
        <v>110418.67090625</v>
      </c>
      <c r="P59" s="27">
        <f>SUM(H59:O59)</f>
        <v>278264.55237313331</v>
      </c>
      <c r="Q59" s="231">
        <f t="shared" ref="Q59:R70" si="33">Q17</f>
        <v>24914.77</v>
      </c>
      <c r="R59" s="231">
        <f t="shared" si="33"/>
        <v>216646.45553250005</v>
      </c>
      <c r="S59" s="27">
        <f>P59+Q59-R59</f>
        <v>86532.866840633273</v>
      </c>
      <c r="T59" s="27">
        <f>S59*0.05</f>
        <v>4326.6433420316635</v>
      </c>
      <c r="Z59" s="51"/>
    </row>
    <row r="60" spans="1:26">
      <c r="A60" s="59">
        <f>A59+1</f>
        <v>5</v>
      </c>
      <c r="C60" s="1470">
        <v>7.2190000000000004E-2</v>
      </c>
      <c r="D60" s="61">
        <v>9.5000000000000001E-2</v>
      </c>
      <c r="E60" s="59">
        <v>2</v>
      </c>
      <c r="F60" s="59"/>
      <c r="G60" s="59" t="str">
        <f t="shared" si="25"/>
        <v>Feb</v>
      </c>
      <c r="H60" s="27">
        <f t="shared" si="26"/>
        <v>9461.9633727499986</v>
      </c>
      <c r="I60" s="27">
        <f t="shared" si="27"/>
        <v>19370.965587999995</v>
      </c>
      <c r="J60" s="27">
        <f t="shared" si="28"/>
        <v>21148.458378250001</v>
      </c>
      <c r="K60" s="27">
        <f t="shared" si="29"/>
        <v>23468.614182966718</v>
      </c>
      <c r="L60" s="27">
        <f t="shared" si="30"/>
        <v>24728.522361849948</v>
      </c>
      <c r="M60" s="27">
        <f t="shared" si="31"/>
        <v>34357.454694291642</v>
      </c>
      <c r="N60" s="27">
        <f t="shared" ref="N60:N70" si="34">$N$53*$C$60/12</f>
        <v>35309.902888775003</v>
      </c>
      <c r="O60" s="27">
        <f t="shared" si="32"/>
        <v>331256.02692708338</v>
      </c>
      <c r="P60" s="27">
        <f t="shared" ref="P60:P70" si="35">SUM(H60:O60)</f>
        <v>499101.90839396667</v>
      </c>
      <c r="Q60" s="231">
        <f t="shared" si="33"/>
        <v>24914.75</v>
      </c>
      <c r="R60" s="231">
        <f t="shared" si="33"/>
        <v>221458.30303050004</v>
      </c>
      <c r="S60" s="27">
        <f t="shared" ref="S60:S70" si="36">P60+Q60-R60</f>
        <v>302558.35536346666</v>
      </c>
      <c r="T60" s="27">
        <f t="shared" ref="T60:T70" si="37">S60*0.05</f>
        <v>15127.917768173334</v>
      </c>
      <c r="Z60" s="51"/>
    </row>
    <row r="61" spans="1:26">
      <c r="A61" s="59">
        <f t="shared" ref="A61:A80" si="38">A60+1</f>
        <v>6</v>
      </c>
      <c r="C61" s="1470">
        <v>6.6769999999999996E-2</v>
      </c>
      <c r="D61" s="61">
        <v>8.5500000000000007E-2</v>
      </c>
      <c r="E61" s="59">
        <v>3</v>
      </c>
      <c r="F61" s="59"/>
      <c r="G61" s="59" t="str">
        <f t="shared" si="25"/>
        <v>Mar</v>
      </c>
      <c r="H61" s="27">
        <f t="shared" si="26"/>
        <v>9461.9633727499986</v>
      </c>
      <c r="I61" s="27">
        <f t="shared" si="27"/>
        <v>19370.965587999995</v>
      </c>
      <c r="J61" s="27">
        <f t="shared" si="28"/>
        <v>21148.458378250001</v>
      </c>
      <c r="K61" s="27">
        <f t="shared" si="29"/>
        <v>23468.614182966718</v>
      </c>
      <c r="L61" s="27">
        <f t="shared" si="30"/>
        <v>24728.522361849948</v>
      </c>
      <c r="M61" s="27">
        <f t="shared" si="31"/>
        <v>34357.454694291642</v>
      </c>
      <c r="N61" s="27">
        <f t="shared" si="34"/>
        <v>35309.902888775003</v>
      </c>
      <c r="O61" s="27">
        <f t="shared" si="32"/>
        <v>552093.38294791698</v>
      </c>
      <c r="P61" s="27">
        <f t="shared" si="35"/>
        <v>719939.26441480033</v>
      </c>
      <c r="Q61" s="231">
        <f t="shared" si="33"/>
        <v>24914.75</v>
      </c>
      <c r="R61" s="231">
        <f t="shared" si="33"/>
        <v>226270.15082550002</v>
      </c>
      <c r="S61" s="27">
        <f t="shared" si="36"/>
        <v>518583.86358930031</v>
      </c>
      <c r="T61" s="27">
        <f t="shared" si="37"/>
        <v>25929.193179465015</v>
      </c>
      <c r="Z61" s="51"/>
    </row>
    <row r="62" spans="1:26">
      <c r="A62" s="59">
        <f t="shared" si="38"/>
        <v>7</v>
      </c>
      <c r="C62" s="1470">
        <v>6.1769999999999999E-2</v>
      </c>
      <c r="D62" s="61">
        <v>7.6999999999999999E-2</v>
      </c>
      <c r="E62" s="59">
        <v>4</v>
      </c>
      <c r="F62" s="59"/>
      <c r="G62" s="59" t="str">
        <f t="shared" si="25"/>
        <v>Apr</v>
      </c>
      <c r="H62" s="27">
        <f t="shared" si="26"/>
        <v>9461.9633727499986</v>
      </c>
      <c r="I62" s="27">
        <f t="shared" si="27"/>
        <v>19370.965587999995</v>
      </c>
      <c r="J62" s="27">
        <f t="shared" si="28"/>
        <v>21148.458378250001</v>
      </c>
      <c r="K62" s="27">
        <f t="shared" si="29"/>
        <v>23468.614182966718</v>
      </c>
      <c r="L62" s="27">
        <f t="shared" si="30"/>
        <v>24728.522361849948</v>
      </c>
      <c r="M62" s="27">
        <f t="shared" si="31"/>
        <v>34357.454694291642</v>
      </c>
      <c r="N62" s="27">
        <f t="shared" si="34"/>
        <v>35309.902888775003</v>
      </c>
      <c r="O62" s="27">
        <f t="shared" si="32"/>
        <v>772930.73896874976</v>
      </c>
      <c r="P62" s="27">
        <f t="shared" si="35"/>
        <v>940776.620435633</v>
      </c>
      <c r="Q62" s="231">
        <f t="shared" si="33"/>
        <v>24914.75</v>
      </c>
      <c r="R62" s="231">
        <f t="shared" si="33"/>
        <v>231081.9986205</v>
      </c>
      <c r="S62" s="27">
        <f t="shared" si="36"/>
        <v>734609.37181513302</v>
      </c>
      <c r="T62" s="27">
        <f t="shared" si="37"/>
        <v>36730.468590756653</v>
      </c>
      <c r="Z62" s="51"/>
    </row>
    <row r="63" spans="1:26">
      <c r="A63" s="59">
        <f t="shared" si="38"/>
        <v>8</v>
      </c>
      <c r="C63" s="1470">
        <v>5.713E-2</v>
      </c>
      <c r="D63" s="61">
        <v>6.93E-2</v>
      </c>
      <c r="E63" s="59">
        <v>5</v>
      </c>
      <c r="F63" s="59"/>
      <c r="G63" s="59" t="str">
        <f t="shared" si="25"/>
        <v>May</v>
      </c>
      <c r="H63" s="27">
        <f t="shared" si="26"/>
        <v>9461.9633727499986</v>
      </c>
      <c r="I63" s="27">
        <f t="shared" si="27"/>
        <v>19370.965587999995</v>
      </c>
      <c r="J63" s="27">
        <f t="shared" si="28"/>
        <v>21148.458378250001</v>
      </c>
      <c r="K63" s="27">
        <f t="shared" si="29"/>
        <v>23468.614182966718</v>
      </c>
      <c r="L63" s="27">
        <f t="shared" si="30"/>
        <v>24728.522361849948</v>
      </c>
      <c r="M63" s="27">
        <f t="shared" si="31"/>
        <v>34357.454694291642</v>
      </c>
      <c r="N63" s="27">
        <f t="shared" si="34"/>
        <v>35309.902888775003</v>
      </c>
      <c r="O63" s="27">
        <f t="shared" si="32"/>
        <v>993768.09498958313</v>
      </c>
      <c r="P63" s="27">
        <f t="shared" si="35"/>
        <v>1161613.9764564664</v>
      </c>
      <c r="Q63" s="231">
        <f t="shared" si="33"/>
        <v>24914.75</v>
      </c>
      <c r="R63" s="231">
        <f t="shared" si="33"/>
        <v>235893.84641549998</v>
      </c>
      <c r="S63" s="27">
        <f t="shared" si="36"/>
        <v>950634.88004096644</v>
      </c>
      <c r="T63" s="27">
        <f t="shared" si="37"/>
        <v>47531.744002048326</v>
      </c>
      <c r="Z63" s="51"/>
    </row>
    <row r="64" spans="1:26">
      <c r="A64" s="59">
        <f t="shared" si="38"/>
        <v>9</v>
      </c>
      <c r="C64" s="1470">
        <v>5.2850000000000001E-2</v>
      </c>
      <c r="D64" s="61">
        <v>6.2300000000000001E-2</v>
      </c>
      <c r="E64" s="59">
        <v>6</v>
      </c>
      <c r="F64" s="59"/>
      <c r="G64" s="59" t="str">
        <f t="shared" si="25"/>
        <v>Jun</v>
      </c>
      <c r="H64" s="27">
        <f t="shared" si="26"/>
        <v>9461.9633727499986</v>
      </c>
      <c r="I64" s="27">
        <f t="shared" si="27"/>
        <v>19370.965587999995</v>
      </c>
      <c r="J64" s="27">
        <f t="shared" si="28"/>
        <v>21148.458378250001</v>
      </c>
      <c r="K64" s="27">
        <f t="shared" si="29"/>
        <v>23468.614182966718</v>
      </c>
      <c r="L64" s="27">
        <f t="shared" si="30"/>
        <v>24728.522361849948</v>
      </c>
      <c r="M64" s="27">
        <f t="shared" si="31"/>
        <v>34357.454694291642</v>
      </c>
      <c r="N64" s="27">
        <f t="shared" si="34"/>
        <v>35309.902888775003</v>
      </c>
      <c r="O64" s="27">
        <f t="shared" si="32"/>
        <v>1214605.451010417</v>
      </c>
      <c r="P64" s="27">
        <f t="shared" si="35"/>
        <v>1382451.3324773002</v>
      </c>
      <c r="Q64" s="231">
        <f t="shared" si="33"/>
        <v>24914.75</v>
      </c>
      <c r="R64" s="231">
        <f t="shared" si="33"/>
        <v>240705.69421049996</v>
      </c>
      <c r="S64" s="27">
        <f t="shared" si="36"/>
        <v>1166660.3882668002</v>
      </c>
      <c r="T64" s="27">
        <f t="shared" si="37"/>
        <v>58333.019413340015</v>
      </c>
      <c r="Z64" s="51"/>
    </row>
    <row r="65" spans="1:26">
      <c r="A65" s="59">
        <f t="shared" si="38"/>
        <v>10</v>
      </c>
      <c r="C65" s="1470">
        <v>4.888E-2</v>
      </c>
      <c r="D65" s="61">
        <v>5.8999999999999997E-2</v>
      </c>
      <c r="E65" s="59">
        <v>7</v>
      </c>
      <c r="F65" s="59"/>
      <c r="G65" s="59" t="str">
        <f t="shared" si="25"/>
        <v>Jul</v>
      </c>
      <c r="H65" s="27">
        <f t="shared" si="26"/>
        <v>9461.9633727499986</v>
      </c>
      <c r="I65" s="27">
        <f t="shared" si="27"/>
        <v>19370.965587999995</v>
      </c>
      <c r="J65" s="27">
        <f t="shared" si="28"/>
        <v>21148.458378250001</v>
      </c>
      <c r="K65" s="27">
        <f t="shared" si="29"/>
        <v>23468.614182966718</v>
      </c>
      <c r="L65" s="27">
        <f t="shared" si="30"/>
        <v>24728.522361849948</v>
      </c>
      <c r="M65" s="27">
        <f t="shared" si="31"/>
        <v>34357.454694291642</v>
      </c>
      <c r="N65" s="27">
        <f t="shared" si="34"/>
        <v>35309.902888775003</v>
      </c>
      <c r="O65" s="27">
        <f t="shared" si="32"/>
        <v>1435442.8070312508</v>
      </c>
      <c r="P65" s="27">
        <f t="shared" si="35"/>
        <v>1603288.688498134</v>
      </c>
      <c r="Q65" s="231">
        <f t="shared" si="33"/>
        <v>24914.75</v>
      </c>
      <c r="R65" s="231">
        <f t="shared" si="33"/>
        <v>245517.54200549994</v>
      </c>
      <c r="S65" s="27">
        <f t="shared" si="36"/>
        <v>1382685.896492634</v>
      </c>
      <c r="T65" s="27">
        <f t="shared" si="37"/>
        <v>69134.294824631696</v>
      </c>
      <c r="Z65" s="51"/>
    </row>
    <row r="66" spans="1:26">
      <c r="A66" s="59">
        <f t="shared" si="38"/>
        <v>11</v>
      </c>
      <c r="C66" s="1470">
        <v>4.5220000000000003E-2</v>
      </c>
      <c r="D66" s="61">
        <v>5.8999999999999997E-2</v>
      </c>
      <c r="E66" s="59">
        <v>8</v>
      </c>
      <c r="F66" s="59"/>
      <c r="G66" s="59" t="str">
        <f t="shared" si="25"/>
        <v>Aug</v>
      </c>
      <c r="H66" s="27">
        <f t="shared" si="26"/>
        <v>9461.9633727499986</v>
      </c>
      <c r="I66" s="27">
        <f t="shared" si="27"/>
        <v>19370.965587999995</v>
      </c>
      <c r="J66" s="27">
        <f t="shared" si="28"/>
        <v>21148.458378250001</v>
      </c>
      <c r="K66" s="27">
        <f t="shared" si="29"/>
        <v>23468.614182966718</v>
      </c>
      <c r="L66" s="27">
        <f t="shared" si="30"/>
        <v>24728.522361849948</v>
      </c>
      <c r="M66" s="27">
        <f t="shared" si="31"/>
        <v>34357.454694291642</v>
      </c>
      <c r="N66" s="27">
        <f t="shared" si="34"/>
        <v>35309.902888775003</v>
      </c>
      <c r="O66" s="27">
        <f t="shared" si="32"/>
        <v>1656280.163052083</v>
      </c>
      <c r="P66" s="27">
        <f t="shared" si="35"/>
        <v>1824126.0445189662</v>
      </c>
      <c r="Q66" s="231">
        <f t="shared" si="33"/>
        <v>24914.75</v>
      </c>
      <c r="R66" s="231">
        <f t="shared" si="33"/>
        <v>250329.38980049995</v>
      </c>
      <c r="S66" s="27">
        <f t="shared" si="36"/>
        <v>1598711.4047184663</v>
      </c>
      <c r="T66" s="27">
        <f t="shared" si="37"/>
        <v>79935.570235923326</v>
      </c>
      <c r="Z66" s="51"/>
    </row>
    <row r="67" spans="1:26">
      <c r="A67" s="59">
        <f t="shared" si="38"/>
        <v>12</v>
      </c>
      <c r="C67" s="1470">
        <v>4.462E-2</v>
      </c>
      <c r="D67" s="61">
        <v>5.91E-2</v>
      </c>
      <c r="E67" s="59">
        <v>9</v>
      </c>
      <c r="F67" s="59"/>
      <c r="G67" s="59" t="str">
        <f t="shared" si="25"/>
        <v>Sep</v>
      </c>
      <c r="H67" s="27">
        <f t="shared" si="26"/>
        <v>9461.9633727499986</v>
      </c>
      <c r="I67" s="27">
        <f t="shared" si="27"/>
        <v>19370.965587999995</v>
      </c>
      <c r="J67" s="27">
        <f t="shared" si="28"/>
        <v>21148.458378250001</v>
      </c>
      <c r="K67" s="27">
        <f t="shared" si="29"/>
        <v>23468.614182966718</v>
      </c>
      <c r="L67" s="27">
        <f t="shared" si="30"/>
        <v>24728.522361849948</v>
      </c>
      <c r="M67" s="27">
        <f t="shared" si="31"/>
        <v>34357.454694291642</v>
      </c>
      <c r="N67" s="27">
        <f t="shared" si="34"/>
        <v>35309.902888775003</v>
      </c>
      <c r="O67" s="27">
        <f t="shared" si="32"/>
        <v>1877117.5190729173</v>
      </c>
      <c r="P67" s="27">
        <f t="shared" si="35"/>
        <v>2044963.4005398005</v>
      </c>
      <c r="Q67" s="231">
        <f t="shared" si="33"/>
        <v>24914.75</v>
      </c>
      <c r="R67" s="231">
        <f t="shared" si="33"/>
        <v>255141.23759549993</v>
      </c>
      <c r="S67" s="27">
        <f t="shared" si="36"/>
        <v>1814736.9129443006</v>
      </c>
      <c r="T67" s="27">
        <f t="shared" si="37"/>
        <v>90736.845647215028</v>
      </c>
      <c r="Z67" s="51"/>
    </row>
    <row r="68" spans="1:26">
      <c r="A68" s="59">
        <f t="shared" si="38"/>
        <v>13</v>
      </c>
      <c r="C68" s="1470">
        <v>4.4609999999999997E-2</v>
      </c>
      <c r="D68" s="61">
        <v>5.8999999999999997E-2</v>
      </c>
      <c r="E68" s="59">
        <v>10</v>
      </c>
      <c r="F68" s="59"/>
      <c r="G68" s="59" t="str">
        <f t="shared" si="25"/>
        <v>Oct</v>
      </c>
      <c r="H68" s="27">
        <f t="shared" si="26"/>
        <v>9461.9633727499986</v>
      </c>
      <c r="I68" s="27">
        <f t="shared" si="27"/>
        <v>19370.965587999995</v>
      </c>
      <c r="J68" s="27">
        <f t="shared" si="28"/>
        <v>21148.458378250001</v>
      </c>
      <c r="K68" s="27">
        <f t="shared" si="29"/>
        <v>23468.614182966718</v>
      </c>
      <c r="L68" s="27">
        <f t="shared" si="30"/>
        <v>24728.522361849948</v>
      </c>
      <c r="M68" s="27">
        <f t="shared" si="31"/>
        <v>34357.454694291642</v>
      </c>
      <c r="N68" s="27">
        <f t="shared" si="34"/>
        <v>35309.902888775003</v>
      </c>
      <c r="O68" s="27">
        <f t="shared" si="32"/>
        <v>2097954.8750937511</v>
      </c>
      <c r="P68" s="27">
        <f t="shared" si="35"/>
        <v>2265800.7565606344</v>
      </c>
      <c r="Q68" s="231">
        <f t="shared" si="33"/>
        <v>24914.75</v>
      </c>
      <c r="R68" s="231">
        <f t="shared" si="33"/>
        <v>259953.08539049991</v>
      </c>
      <c r="S68" s="27">
        <f t="shared" si="36"/>
        <v>2030762.4211701346</v>
      </c>
      <c r="T68" s="27">
        <f t="shared" si="37"/>
        <v>101538.12105850673</v>
      </c>
      <c r="Z68" s="51"/>
    </row>
    <row r="69" spans="1:26">
      <c r="A69" s="59">
        <f t="shared" si="38"/>
        <v>14</v>
      </c>
      <c r="C69" s="1470">
        <v>4.462E-2</v>
      </c>
      <c r="D69" s="61">
        <v>5.91E-2</v>
      </c>
      <c r="E69" s="59">
        <v>11</v>
      </c>
      <c r="F69" s="59"/>
      <c r="G69" s="59" t="str">
        <f t="shared" si="25"/>
        <v>Nov</v>
      </c>
      <c r="H69" s="27">
        <f t="shared" si="26"/>
        <v>9461.9633727499986</v>
      </c>
      <c r="I69" s="27">
        <f t="shared" si="27"/>
        <v>19370.965587999995</v>
      </c>
      <c r="J69" s="27">
        <f t="shared" si="28"/>
        <v>21148.458378250001</v>
      </c>
      <c r="K69" s="27">
        <f t="shared" si="29"/>
        <v>23468.614182966718</v>
      </c>
      <c r="L69" s="27">
        <f t="shared" si="30"/>
        <v>24728.522361849948</v>
      </c>
      <c r="M69" s="27">
        <f t="shared" si="31"/>
        <v>34357.454694291642</v>
      </c>
      <c r="N69" s="27">
        <f t="shared" si="34"/>
        <v>35309.902888775003</v>
      </c>
      <c r="O69" s="27">
        <f t="shared" si="32"/>
        <v>2318792.2311145822</v>
      </c>
      <c r="P69" s="27">
        <f t="shared" si="35"/>
        <v>2486638.1125814654</v>
      </c>
      <c r="Q69" s="231">
        <f t="shared" si="33"/>
        <v>24914.75</v>
      </c>
      <c r="R69" s="231">
        <f t="shared" si="33"/>
        <v>264764.93318549986</v>
      </c>
      <c r="S69" s="27">
        <f t="shared" si="36"/>
        <v>2246787.9293959653</v>
      </c>
      <c r="T69" s="27">
        <f t="shared" si="37"/>
        <v>112339.39646979827</v>
      </c>
      <c r="Z69" s="51"/>
    </row>
    <row r="70" spans="1:26">
      <c r="A70" s="59">
        <f t="shared" si="38"/>
        <v>15</v>
      </c>
      <c r="C70" s="1470">
        <v>4.4609999999999997E-2</v>
      </c>
      <c r="D70" s="61">
        <v>5.8999999999999997E-2</v>
      </c>
      <c r="E70" s="59">
        <v>12</v>
      </c>
      <c r="F70" s="59"/>
      <c r="G70" s="59" t="str">
        <f t="shared" si="25"/>
        <v>Dec</v>
      </c>
      <c r="H70" s="27">
        <f t="shared" si="26"/>
        <v>9461.9633727499986</v>
      </c>
      <c r="I70" s="27">
        <f t="shared" si="27"/>
        <v>19370.965587999995</v>
      </c>
      <c r="J70" s="27">
        <f t="shared" si="28"/>
        <v>21148.458378250001</v>
      </c>
      <c r="K70" s="27">
        <f t="shared" si="29"/>
        <v>23468.614182966718</v>
      </c>
      <c r="L70" s="27">
        <f t="shared" si="30"/>
        <v>24728.522361849948</v>
      </c>
      <c r="M70" s="27">
        <f t="shared" si="31"/>
        <v>34357.454694291642</v>
      </c>
      <c r="N70" s="27">
        <f t="shared" si="34"/>
        <v>35309.902888775003</v>
      </c>
      <c r="O70" s="27">
        <f t="shared" si="32"/>
        <v>2539629.5871354192</v>
      </c>
      <c r="P70" s="27">
        <f t="shared" si="35"/>
        <v>2707475.4686023025</v>
      </c>
      <c r="Q70" s="231">
        <f t="shared" si="33"/>
        <v>24914.75</v>
      </c>
      <c r="R70" s="231">
        <f t="shared" si="33"/>
        <v>269576.78098049987</v>
      </c>
      <c r="S70" s="27">
        <f t="shared" si="36"/>
        <v>2462813.4376218026</v>
      </c>
      <c r="T70" s="27">
        <f t="shared" si="37"/>
        <v>123140.67188109014</v>
      </c>
      <c r="Z70" s="51"/>
    </row>
    <row r="71" spans="1:26">
      <c r="A71" s="59">
        <f t="shared" si="38"/>
        <v>16</v>
      </c>
      <c r="C71" s="1470">
        <v>4.462E-2</v>
      </c>
      <c r="D71" s="61">
        <v>5.91E-2</v>
      </c>
      <c r="E71" s="59">
        <v>13</v>
      </c>
      <c r="F71" s="5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51"/>
      <c r="V71" s="51"/>
      <c r="W71" s="51"/>
      <c r="X71" s="51"/>
      <c r="Y71" s="51"/>
      <c r="Z71" s="27"/>
    </row>
    <row r="72" spans="1:26">
      <c r="A72" s="59">
        <f t="shared" si="38"/>
        <v>17</v>
      </c>
      <c r="C72" s="1470">
        <v>4.4609999999999997E-2</v>
      </c>
      <c r="D72" s="61">
        <v>5.8999999999999997E-2</v>
      </c>
      <c r="E72" s="59">
        <v>14</v>
      </c>
      <c r="F72" s="5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51"/>
      <c r="V72" s="51"/>
      <c r="W72" s="51"/>
      <c r="X72" s="51"/>
      <c r="Y72" s="51"/>
      <c r="Z72" s="27"/>
    </row>
    <row r="73" spans="1:26">
      <c r="A73" s="59">
        <f t="shared" si="38"/>
        <v>18</v>
      </c>
      <c r="C73" s="1470">
        <v>4.462E-2</v>
      </c>
      <c r="D73" s="61">
        <v>5.91E-2</v>
      </c>
      <c r="E73" s="59">
        <v>15</v>
      </c>
      <c r="F73" s="5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51"/>
      <c r="V73" s="51"/>
      <c r="W73" s="51"/>
      <c r="X73" s="51"/>
      <c r="Y73" s="51"/>
      <c r="Z73" s="27"/>
    </row>
    <row r="74" spans="1:26">
      <c r="A74" s="59">
        <f t="shared" si="38"/>
        <v>19</v>
      </c>
      <c r="C74" s="1470">
        <v>4.4609999999999997E-2</v>
      </c>
      <c r="D74" s="61">
        <v>2.9499999999999998E-2</v>
      </c>
      <c r="E74" s="59">
        <v>16</v>
      </c>
      <c r="F74" s="5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51"/>
      <c r="V74" s="51"/>
      <c r="W74" s="51"/>
      <c r="X74" s="51"/>
      <c r="Y74" s="51"/>
      <c r="Z74" s="27"/>
    </row>
    <row r="75" spans="1:26">
      <c r="A75" s="59">
        <f t="shared" si="38"/>
        <v>20</v>
      </c>
      <c r="C75" s="1470">
        <v>4.462E-2</v>
      </c>
      <c r="D75" s="61">
        <v>0</v>
      </c>
      <c r="E75" s="59">
        <v>17</v>
      </c>
      <c r="F75" s="5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51"/>
      <c r="V75" s="51"/>
      <c r="W75" s="51"/>
      <c r="X75" s="51"/>
      <c r="Y75" s="51"/>
      <c r="Z75" s="27"/>
    </row>
    <row r="76" spans="1:26">
      <c r="A76" s="59">
        <f t="shared" si="38"/>
        <v>21</v>
      </c>
      <c r="C76" s="1470">
        <v>4.4609999999999997E-2</v>
      </c>
      <c r="D76" s="61">
        <v>0</v>
      </c>
      <c r="E76" s="59">
        <v>18</v>
      </c>
      <c r="F76" s="5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51"/>
      <c r="V76" s="51"/>
      <c r="W76" s="51"/>
      <c r="X76" s="51"/>
      <c r="Y76" s="51"/>
      <c r="Z76" s="27"/>
    </row>
    <row r="77" spans="1:26">
      <c r="A77" s="59">
        <f t="shared" si="38"/>
        <v>22</v>
      </c>
      <c r="C77" s="1470">
        <v>4.462E-2</v>
      </c>
      <c r="D77" s="61">
        <v>0</v>
      </c>
      <c r="E77" s="59">
        <v>19</v>
      </c>
      <c r="F77" s="5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51"/>
      <c r="V77" s="51"/>
      <c r="W77" s="51"/>
      <c r="X77" s="51"/>
      <c r="Y77" s="51"/>
      <c r="Z77" s="27"/>
    </row>
    <row r="78" spans="1:26">
      <c r="A78" s="59">
        <f t="shared" si="38"/>
        <v>23</v>
      </c>
      <c r="C78" s="1470">
        <v>4.4609999999999997E-2</v>
      </c>
      <c r="D78" s="61">
        <v>0</v>
      </c>
      <c r="E78" s="59">
        <v>20</v>
      </c>
      <c r="F78" s="5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51"/>
      <c r="V78" s="51"/>
      <c r="W78" s="51"/>
      <c r="X78" s="51"/>
      <c r="Y78" s="51"/>
      <c r="Z78" s="27"/>
    </row>
    <row r="79" spans="1:26">
      <c r="A79" s="59">
        <f t="shared" si="38"/>
        <v>24</v>
      </c>
      <c r="C79" s="1470">
        <v>2.231E-2</v>
      </c>
      <c r="D79" s="61">
        <v>0</v>
      </c>
      <c r="E79" s="59">
        <v>21</v>
      </c>
      <c r="F79" s="5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51"/>
      <c r="V79" s="51"/>
      <c r="W79" s="51"/>
      <c r="X79" s="51"/>
      <c r="Y79" s="51"/>
      <c r="Z79" s="27"/>
    </row>
    <row r="80" spans="1:26">
      <c r="A80" s="59">
        <f t="shared" si="38"/>
        <v>25</v>
      </c>
      <c r="H80" s="27">
        <f t="shared" ref="H80:O80" si="39">SUM(H59:H79)</f>
        <v>113543.56047300001</v>
      </c>
      <c r="I80" s="27">
        <f t="shared" si="39"/>
        <v>232451.58705599993</v>
      </c>
      <c r="J80" s="27">
        <f t="shared" si="39"/>
        <v>253781.50053900006</v>
      </c>
      <c r="K80" s="27">
        <f t="shared" si="39"/>
        <v>281623.37019560055</v>
      </c>
      <c r="L80" s="27">
        <f t="shared" si="39"/>
        <v>296742.26834219944</v>
      </c>
      <c r="M80" s="27">
        <f t="shared" si="39"/>
        <v>412289.45633149968</v>
      </c>
      <c r="N80" s="27">
        <f t="shared" si="39"/>
        <v>423718.83466529992</v>
      </c>
      <c r="O80" s="27">
        <f t="shared" si="39"/>
        <v>15900289.548250005</v>
      </c>
      <c r="P80" s="27">
        <f>SUM(P59:P79)</f>
        <v>17914440.125852603</v>
      </c>
      <c r="Q80" s="27">
        <f>SUM(Q59:Q79)</f>
        <v>298977.02</v>
      </c>
      <c r="R80" s="27">
        <f>SUM(R59:R79)</f>
        <v>2917339.4175929991</v>
      </c>
      <c r="S80" s="27">
        <f>SUM(S59:S79)</f>
        <v>15296077.728259601</v>
      </c>
      <c r="T80" s="27">
        <f>SUM(T59:T79)</f>
        <v>764803.88641298027</v>
      </c>
      <c r="U80" s="27"/>
      <c r="V80" s="27"/>
      <c r="W80" s="27"/>
      <c r="X80" s="27"/>
      <c r="Y80" s="27"/>
      <c r="Z80" s="27"/>
    </row>
    <row r="81" spans="2:26"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Z81" s="27"/>
    </row>
    <row r="82" spans="2:26">
      <c r="B82" s="60" t="s">
        <v>163</v>
      </c>
      <c r="C82" s="52" t="s">
        <v>988</v>
      </c>
    </row>
    <row r="83" spans="2:26">
      <c r="B83" s="60" t="s">
        <v>164</v>
      </c>
      <c r="C83" s="52" t="s">
        <v>987</v>
      </c>
    </row>
    <row r="84" spans="2:26">
      <c r="B84" s="60" t="s">
        <v>165</v>
      </c>
      <c r="C84" s="52" t="s">
        <v>986</v>
      </c>
      <c r="D84" s="245"/>
    </row>
    <row r="85" spans="2:26">
      <c r="B85" s="60" t="s">
        <v>174</v>
      </c>
      <c r="C85" s="52" t="s">
        <v>985</v>
      </c>
    </row>
    <row r="86" spans="2:26">
      <c r="B86" s="60" t="s">
        <v>210</v>
      </c>
      <c r="C86" s="52" t="s">
        <v>984</v>
      </c>
    </row>
    <row r="87" spans="2:26">
      <c r="B87" s="60" t="s">
        <v>225</v>
      </c>
      <c r="C87" s="52" t="s">
        <v>982</v>
      </c>
    </row>
    <row r="88" spans="2:26">
      <c r="B88" s="60" t="s">
        <v>848</v>
      </c>
      <c r="C88" s="52" t="s">
        <v>983</v>
      </c>
    </row>
    <row r="89" spans="2:26">
      <c r="B89" s="60" t="s">
        <v>980</v>
      </c>
      <c r="C89" s="52" t="s">
        <v>981</v>
      </c>
    </row>
    <row r="92" spans="2:26">
      <c r="B92" s="1471"/>
      <c r="C92" s="52" t="s">
        <v>1050</v>
      </c>
    </row>
  </sheetData>
  <mergeCells count="2">
    <mergeCell ref="H8:O8"/>
    <mergeCell ref="H50:O50"/>
  </mergeCells>
  <dataValidations disablePrompts="1" count="1">
    <dataValidation type="decimal" operator="lessThanOrEqual" allowBlank="1" showInputMessage="1" showErrorMessage="1" errorTitle="Error" error="Value should be negative." sqref="Y16" xr:uid="{83ADB34B-80EB-4AE9-A381-2C59A02DEF07}">
      <formula1>0</formula1>
    </dataValidation>
  </dataValidations>
  <printOptions horizontalCentered="1"/>
  <pageMargins left="0.7" right="0.7" top="0.75" bottom="0.75" header="0.3" footer="0.3"/>
  <pageSetup scale="44" fitToHeight="2" orientation="landscape" blackAndWhite="1" r:id="rId1"/>
  <headerFooter scaleWithDoc="0" alignWithMargins="0">
    <oddFooter>&amp;R&amp;"Times New Roman,Bold"Exhibit 4
Page 5 of 6</oddFooter>
  </headerFooter>
  <rowBreaks count="1" manualBreakCount="1">
    <brk id="48" max="28" man="1"/>
  </rowBreaks>
  <ignoredErrors>
    <ignoredError sqref="P59:P7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460-7849-4520-89EA-4695ABF2A00C}">
  <sheetPr>
    <tabColor rgb="FFD8E4BC"/>
  </sheetPr>
  <dimension ref="A1:S26"/>
  <sheetViews>
    <sheetView showGridLines="0" zoomScaleNormal="100" workbookViewId="0"/>
  </sheetViews>
  <sheetFormatPr defaultColWidth="9.140625" defaultRowHeight="12.75"/>
  <cols>
    <col min="1" max="1" width="12.140625" style="1481" customWidth="1"/>
    <col min="2" max="2" width="21.7109375" style="1481" bestFit="1" customWidth="1"/>
    <col min="3" max="3" width="20" style="1481" bestFit="1" customWidth="1"/>
    <col min="4" max="4" width="48" style="1481" bestFit="1" customWidth="1"/>
    <col min="5" max="16" width="10.85546875" style="1481" bestFit="1" customWidth="1"/>
    <col min="17" max="17" width="11.85546875" style="1481" bestFit="1" customWidth="1"/>
    <col min="18" max="18" width="17.5703125" style="1481" bestFit="1" customWidth="1"/>
    <col min="19" max="19" width="12.85546875" style="1481" bestFit="1" customWidth="1"/>
    <col min="20" max="16384" width="9.140625" style="1481"/>
  </cols>
  <sheetData>
    <row r="1" spans="1:19" ht="17.25" customHeight="1">
      <c r="A1" s="1480" t="s">
        <v>962</v>
      </c>
      <c r="B1" s="52"/>
    </row>
    <row r="2" spans="1:19" s="896" customFormat="1" ht="21" customHeight="1">
      <c r="A2" s="1482" t="s">
        <v>106</v>
      </c>
      <c r="B2" s="1482" t="s">
        <v>583</v>
      </c>
      <c r="C2" s="1482" t="s">
        <v>581</v>
      </c>
      <c r="D2" s="1482" t="s">
        <v>1066</v>
      </c>
      <c r="E2" s="1483" t="s">
        <v>584</v>
      </c>
      <c r="F2" s="1483" t="s">
        <v>585</v>
      </c>
      <c r="G2" s="1483" t="s">
        <v>586</v>
      </c>
      <c r="H2" s="1483" t="s">
        <v>587</v>
      </c>
      <c r="I2" s="1483" t="s">
        <v>588</v>
      </c>
      <c r="J2" s="1483" t="s">
        <v>589</v>
      </c>
      <c r="K2" s="1483" t="s">
        <v>590</v>
      </c>
      <c r="L2" s="1483" t="s">
        <v>591</v>
      </c>
      <c r="M2" s="1483" t="s">
        <v>592</v>
      </c>
      <c r="N2" s="1483" t="s">
        <v>593</v>
      </c>
      <c r="O2" s="1483" t="s">
        <v>594</v>
      </c>
      <c r="P2" s="1483" t="s">
        <v>595</v>
      </c>
      <c r="Q2" s="1484" t="s">
        <v>964</v>
      </c>
    </row>
    <row r="3" spans="1:19" s="896" customFormat="1" ht="19.5" customHeight="1">
      <c r="A3" s="896" t="s">
        <v>743</v>
      </c>
      <c r="B3" s="896" t="s">
        <v>744</v>
      </c>
      <c r="C3" s="896" t="s">
        <v>596</v>
      </c>
      <c r="D3" s="896" t="s">
        <v>1064</v>
      </c>
      <c r="E3" s="1485">
        <v>517536.25</v>
      </c>
      <c r="F3" s="1485">
        <v>517536.16000000003</v>
      </c>
      <c r="G3" s="1485">
        <v>517536.16000000003</v>
      </c>
      <c r="H3" s="1485">
        <v>517536.16000000003</v>
      </c>
      <c r="I3" s="1485">
        <v>517536.16000000003</v>
      </c>
      <c r="J3" s="1485">
        <v>517536.16000000003</v>
      </c>
      <c r="K3" s="1485">
        <v>517536.16000000003</v>
      </c>
      <c r="L3" s="1485">
        <v>517536.16000000003</v>
      </c>
      <c r="M3" s="1485">
        <v>517536.16000000003</v>
      </c>
      <c r="N3" s="1485">
        <v>517536.16000000003</v>
      </c>
      <c r="O3" s="1485">
        <v>517536.16000000003</v>
      </c>
      <c r="P3" s="1485">
        <v>517536.16000000003</v>
      </c>
      <c r="Q3" s="1485">
        <f>SUM(E3:P3)</f>
        <v>6210434.0100000007</v>
      </c>
      <c r="R3" s="1486" t="s">
        <v>926</v>
      </c>
    </row>
    <row r="4" spans="1:19" s="896" customFormat="1" ht="19.5" customHeight="1">
      <c r="A4" s="896" t="s">
        <v>745</v>
      </c>
      <c r="B4" s="896" t="s">
        <v>746</v>
      </c>
      <c r="C4" s="896" t="s">
        <v>596</v>
      </c>
      <c r="D4" s="896" t="s">
        <v>1065</v>
      </c>
      <c r="E4" s="1485">
        <v>464932.88</v>
      </c>
      <c r="F4" s="1485">
        <v>464932.92</v>
      </c>
      <c r="G4" s="1485">
        <v>464932.92</v>
      </c>
      <c r="H4" s="1485">
        <v>464932.92</v>
      </c>
      <c r="I4" s="1485">
        <v>464932.92</v>
      </c>
      <c r="J4" s="1485">
        <v>464932.92</v>
      </c>
      <c r="K4" s="1485">
        <v>464932.92</v>
      </c>
      <c r="L4" s="1485">
        <v>464932.92</v>
      </c>
      <c r="M4" s="1485">
        <v>464932.92</v>
      </c>
      <c r="N4" s="1485">
        <v>464932.92</v>
      </c>
      <c r="O4" s="1485">
        <v>464932.92</v>
      </c>
      <c r="P4" s="1485">
        <v>464932.92</v>
      </c>
      <c r="Q4" s="1485">
        <f t="shared" ref="Q4:Q15" si="0">SUM(E4:P4)</f>
        <v>5579195</v>
      </c>
      <c r="R4" s="1487"/>
    </row>
    <row r="5" spans="1:19" s="896" customFormat="1" ht="19.5" customHeight="1">
      <c r="A5" s="896" t="s">
        <v>749</v>
      </c>
      <c r="B5" s="896" t="s">
        <v>750</v>
      </c>
      <c r="C5" s="896" t="s">
        <v>596</v>
      </c>
      <c r="D5" s="896" t="s">
        <v>1064</v>
      </c>
      <c r="E5" s="1485">
        <v>8106.95</v>
      </c>
      <c r="F5" s="1485">
        <v>8107</v>
      </c>
      <c r="G5" s="1485">
        <v>8107</v>
      </c>
      <c r="H5" s="1485">
        <v>8107</v>
      </c>
      <c r="I5" s="1485">
        <v>8107</v>
      </c>
      <c r="J5" s="1485">
        <v>8107</v>
      </c>
      <c r="K5" s="1485">
        <v>8107</v>
      </c>
      <c r="L5" s="1485">
        <v>8107</v>
      </c>
      <c r="M5" s="1485">
        <v>8107</v>
      </c>
      <c r="N5" s="1485">
        <v>8107</v>
      </c>
      <c r="O5" s="1485">
        <v>8107</v>
      </c>
      <c r="P5" s="1485">
        <v>8107</v>
      </c>
      <c r="Q5" s="1485">
        <f t="shared" si="0"/>
        <v>97283.95</v>
      </c>
      <c r="R5" s="1486" t="s">
        <v>926</v>
      </c>
    </row>
    <row r="6" spans="1:19" s="896" customFormat="1" ht="19.5" customHeight="1">
      <c r="A6" s="896" t="s">
        <v>751</v>
      </c>
      <c r="B6" s="896" t="s">
        <v>752</v>
      </c>
      <c r="C6" s="896" t="s">
        <v>596</v>
      </c>
      <c r="D6" s="896" t="s">
        <v>1065</v>
      </c>
      <c r="E6" s="1485">
        <v>8102.79</v>
      </c>
      <c r="F6" s="1485">
        <v>8102.83</v>
      </c>
      <c r="G6" s="1485">
        <v>8102.83</v>
      </c>
      <c r="H6" s="1485">
        <v>8102.83</v>
      </c>
      <c r="I6" s="1485">
        <v>8102.83</v>
      </c>
      <c r="J6" s="1485">
        <v>8102.83</v>
      </c>
      <c r="K6" s="1485">
        <v>8102.83</v>
      </c>
      <c r="L6" s="1485">
        <v>8102.83</v>
      </c>
      <c r="M6" s="1485">
        <v>8102.83</v>
      </c>
      <c r="N6" s="1485">
        <v>8102.83</v>
      </c>
      <c r="O6" s="1485">
        <v>8102.83</v>
      </c>
      <c r="P6" s="1485">
        <v>8102.83</v>
      </c>
      <c r="Q6" s="1485">
        <f t="shared" si="0"/>
        <v>97233.920000000013</v>
      </c>
      <c r="R6" s="1487"/>
    </row>
    <row r="7" spans="1:19" s="896" customFormat="1" ht="19.5" customHeight="1">
      <c r="A7" s="896" t="s">
        <v>755</v>
      </c>
      <c r="B7" s="896" t="s">
        <v>756</v>
      </c>
      <c r="C7" s="896" t="s">
        <v>596</v>
      </c>
      <c r="D7" s="896" t="s">
        <v>1064</v>
      </c>
      <c r="E7" s="1485">
        <v>7803.05</v>
      </c>
      <c r="F7" s="1485">
        <v>7803.17</v>
      </c>
      <c r="G7" s="1485">
        <v>7803.17</v>
      </c>
      <c r="H7" s="1485">
        <v>7803.17</v>
      </c>
      <c r="I7" s="1485">
        <v>7803.17</v>
      </c>
      <c r="J7" s="1485">
        <v>7803.17</v>
      </c>
      <c r="K7" s="1485">
        <v>7803.17</v>
      </c>
      <c r="L7" s="1485">
        <v>7803.17</v>
      </c>
      <c r="M7" s="1485">
        <v>7803.17</v>
      </c>
      <c r="N7" s="1485">
        <v>7803.17</v>
      </c>
      <c r="O7" s="1485">
        <v>7803.17</v>
      </c>
      <c r="P7" s="1485">
        <v>7803.17</v>
      </c>
      <c r="Q7" s="1485">
        <f t="shared" si="0"/>
        <v>93637.919999999984</v>
      </c>
      <c r="R7" s="1486" t="s">
        <v>926</v>
      </c>
    </row>
    <row r="8" spans="1:19" s="896" customFormat="1" ht="19.5" customHeight="1">
      <c r="A8" s="896" t="s">
        <v>757</v>
      </c>
      <c r="B8" s="896" t="s">
        <v>758</v>
      </c>
      <c r="C8" s="896" t="s">
        <v>596</v>
      </c>
      <c r="D8" s="896" t="s">
        <v>1065</v>
      </c>
      <c r="E8" s="1485">
        <v>1916.6200000000001</v>
      </c>
      <c r="F8" s="1485">
        <v>1916.68</v>
      </c>
      <c r="G8" s="1485">
        <v>1916.68</v>
      </c>
      <c r="H8" s="1485">
        <v>1916.68</v>
      </c>
      <c r="I8" s="1485">
        <v>1916.68</v>
      </c>
      <c r="J8" s="1485">
        <v>1916.68</v>
      </c>
      <c r="K8" s="1485">
        <v>1916.68</v>
      </c>
      <c r="L8" s="1485">
        <v>1916.68</v>
      </c>
      <c r="M8" s="1485">
        <v>1916.68</v>
      </c>
      <c r="N8" s="1485">
        <v>1916.68</v>
      </c>
      <c r="O8" s="1485">
        <v>1916.68</v>
      </c>
      <c r="P8" s="1485">
        <v>1916.68</v>
      </c>
      <c r="Q8" s="1485">
        <f t="shared" si="0"/>
        <v>23000.100000000002</v>
      </c>
      <c r="R8" s="1487"/>
    </row>
    <row r="9" spans="1:19" s="896" customFormat="1" ht="19.5" customHeight="1">
      <c r="A9" s="896" t="s">
        <v>747</v>
      </c>
      <c r="B9" s="896" t="s">
        <v>748</v>
      </c>
      <c r="C9" s="896" t="s">
        <v>608</v>
      </c>
      <c r="D9" s="896" t="s">
        <v>1067</v>
      </c>
      <c r="E9" s="1485">
        <v>751350.35</v>
      </c>
      <c r="F9" s="1485">
        <v>751350.41</v>
      </c>
      <c r="G9" s="1485">
        <v>751350.41</v>
      </c>
      <c r="H9" s="1485">
        <v>751350.41</v>
      </c>
      <c r="I9" s="1485">
        <v>751350.41</v>
      </c>
      <c r="J9" s="1485">
        <v>751350.41</v>
      </c>
      <c r="K9" s="1485">
        <v>751350.41</v>
      </c>
      <c r="L9" s="1485">
        <v>751350.41</v>
      </c>
      <c r="M9" s="1485">
        <v>751350.41</v>
      </c>
      <c r="N9" s="1485">
        <v>751350.41</v>
      </c>
      <c r="O9" s="1485">
        <v>751350.41</v>
      </c>
      <c r="P9" s="1485">
        <v>751350.41</v>
      </c>
      <c r="Q9" s="1485">
        <f t="shared" si="0"/>
        <v>9016204.8600000013</v>
      </c>
      <c r="R9" s="1486" t="s">
        <v>926</v>
      </c>
    </row>
    <row r="10" spans="1:19" s="896" customFormat="1" ht="19.5" customHeight="1">
      <c r="A10" s="896" t="s">
        <v>753</v>
      </c>
      <c r="B10" s="896" t="s">
        <v>754</v>
      </c>
      <c r="C10" s="896" t="s">
        <v>608</v>
      </c>
      <c r="D10" s="896" t="s">
        <v>1067</v>
      </c>
      <c r="E10" s="1485">
        <v>22416.74</v>
      </c>
      <c r="F10" s="1485">
        <v>22416.68</v>
      </c>
      <c r="G10" s="1485">
        <v>22416.68</v>
      </c>
      <c r="H10" s="1485">
        <v>22416.68</v>
      </c>
      <c r="I10" s="1485">
        <v>22416.68</v>
      </c>
      <c r="J10" s="1485">
        <v>22416.68</v>
      </c>
      <c r="K10" s="1485">
        <v>22416.68</v>
      </c>
      <c r="L10" s="1485">
        <v>22416.68</v>
      </c>
      <c r="M10" s="1485">
        <v>22416.68</v>
      </c>
      <c r="N10" s="1485">
        <v>22416.68</v>
      </c>
      <c r="O10" s="1485">
        <v>22416.68</v>
      </c>
      <c r="P10" s="1485">
        <v>22416.68</v>
      </c>
      <c r="Q10" s="1485">
        <f t="shared" si="0"/>
        <v>269000.21999999997</v>
      </c>
      <c r="R10" s="1486" t="s">
        <v>926</v>
      </c>
    </row>
    <row r="11" spans="1:19" ht="26.25" customHeight="1">
      <c r="D11" s="1488" t="s">
        <v>832</v>
      </c>
      <c r="E11" s="1489">
        <f t="shared" ref="E11:P11" si="1">SUM(E3:E10)</f>
        <v>1782165.6300000001</v>
      </c>
      <c r="F11" s="1489">
        <f t="shared" si="1"/>
        <v>1782165.85</v>
      </c>
      <c r="G11" s="1489">
        <f t="shared" si="1"/>
        <v>1782165.85</v>
      </c>
      <c r="H11" s="1489">
        <f t="shared" si="1"/>
        <v>1782165.85</v>
      </c>
      <c r="I11" s="1489">
        <f t="shared" si="1"/>
        <v>1782165.85</v>
      </c>
      <c r="J11" s="1489">
        <f t="shared" si="1"/>
        <v>1782165.85</v>
      </c>
      <c r="K11" s="1489">
        <f t="shared" si="1"/>
        <v>1782165.85</v>
      </c>
      <c r="L11" s="1489">
        <f t="shared" si="1"/>
        <v>1782165.85</v>
      </c>
      <c r="M11" s="1489">
        <f t="shared" si="1"/>
        <v>1782165.85</v>
      </c>
      <c r="N11" s="1489">
        <f t="shared" si="1"/>
        <v>1782165.85</v>
      </c>
      <c r="O11" s="1489">
        <f t="shared" si="1"/>
        <v>1782165.85</v>
      </c>
      <c r="P11" s="1489">
        <f t="shared" si="1"/>
        <v>1782165.85</v>
      </c>
      <c r="Q11" s="1489">
        <f>SUM(E11:P11)</f>
        <v>21385989.98</v>
      </c>
      <c r="R11" s="1490"/>
    </row>
    <row r="12" spans="1:19" ht="21" customHeight="1">
      <c r="D12" s="1491" t="s">
        <v>596</v>
      </c>
      <c r="E12" s="1492">
        <f>SUMIF($C$3:$C$10,$D12,E$3:E$10)</f>
        <v>1008398.54</v>
      </c>
      <c r="F12" s="1492">
        <f t="shared" ref="F12:P12" si="2">SUMIF($C$3:$C$10,$D12,F$3:F$10)</f>
        <v>1008398.7600000001</v>
      </c>
      <c r="G12" s="1492">
        <f t="shared" si="2"/>
        <v>1008398.7600000001</v>
      </c>
      <c r="H12" s="1492">
        <f t="shared" si="2"/>
        <v>1008398.7600000001</v>
      </c>
      <c r="I12" s="1492">
        <f t="shared" si="2"/>
        <v>1008398.7600000001</v>
      </c>
      <c r="J12" s="1492">
        <f t="shared" si="2"/>
        <v>1008398.7600000001</v>
      </c>
      <c r="K12" s="1492">
        <f t="shared" si="2"/>
        <v>1008398.7600000001</v>
      </c>
      <c r="L12" s="1492">
        <f t="shared" si="2"/>
        <v>1008398.7600000001</v>
      </c>
      <c r="M12" s="1492">
        <f t="shared" si="2"/>
        <v>1008398.7600000001</v>
      </c>
      <c r="N12" s="1492">
        <f t="shared" si="2"/>
        <v>1008398.7600000001</v>
      </c>
      <c r="O12" s="1492">
        <f t="shared" si="2"/>
        <v>1008398.7600000001</v>
      </c>
      <c r="P12" s="1492">
        <f t="shared" si="2"/>
        <v>1008398.7600000001</v>
      </c>
      <c r="Q12" s="1492">
        <f t="shared" si="0"/>
        <v>12100784.9</v>
      </c>
      <c r="R12" s="1490"/>
    </row>
    <row r="13" spans="1:19" ht="21" customHeight="1">
      <c r="D13" s="1491" t="s">
        <v>608</v>
      </c>
      <c r="E13" s="1492">
        <f>SUMIF($C$3:$C$10,$D13,E$3:E$10)</f>
        <v>773767.09</v>
      </c>
      <c r="F13" s="1492">
        <f t="shared" ref="F13:P13" si="3">SUMIF($C$3:$C$10,$D13,F$3:F$10)</f>
        <v>773767.09000000008</v>
      </c>
      <c r="G13" s="1492">
        <f t="shared" si="3"/>
        <v>773767.09000000008</v>
      </c>
      <c r="H13" s="1492">
        <f t="shared" si="3"/>
        <v>773767.09000000008</v>
      </c>
      <c r="I13" s="1492">
        <f t="shared" si="3"/>
        <v>773767.09000000008</v>
      </c>
      <c r="J13" s="1492">
        <f t="shared" si="3"/>
        <v>773767.09000000008</v>
      </c>
      <c r="K13" s="1492">
        <f t="shared" si="3"/>
        <v>773767.09000000008</v>
      </c>
      <c r="L13" s="1492">
        <f t="shared" si="3"/>
        <v>773767.09000000008</v>
      </c>
      <c r="M13" s="1492">
        <f t="shared" si="3"/>
        <v>773767.09000000008</v>
      </c>
      <c r="N13" s="1492">
        <f t="shared" si="3"/>
        <v>773767.09000000008</v>
      </c>
      <c r="O13" s="1492">
        <f t="shared" si="3"/>
        <v>773767.09000000008</v>
      </c>
      <c r="P13" s="1492">
        <f t="shared" si="3"/>
        <v>773767.09000000008</v>
      </c>
      <c r="Q13" s="1493">
        <f t="shared" si="0"/>
        <v>9285205.0800000001</v>
      </c>
      <c r="R13" s="1490"/>
    </row>
    <row r="14" spans="1:19" ht="22.5" customHeight="1">
      <c r="D14" s="1494" t="s">
        <v>959</v>
      </c>
      <c r="E14" s="1495">
        <f t="shared" ref="E14:P14" si="4">SUMIF($R$3:$R$10,"",E3:E10)</f>
        <v>474952.29</v>
      </c>
      <c r="F14" s="1495">
        <f t="shared" si="4"/>
        <v>474952.43</v>
      </c>
      <c r="G14" s="1495">
        <f t="shared" si="4"/>
        <v>474952.43</v>
      </c>
      <c r="H14" s="1495">
        <f t="shared" si="4"/>
        <v>474952.43</v>
      </c>
      <c r="I14" s="1495">
        <f t="shared" si="4"/>
        <v>474952.43</v>
      </c>
      <c r="J14" s="1495">
        <f t="shared" si="4"/>
        <v>474952.43</v>
      </c>
      <c r="K14" s="1495">
        <f t="shared" si="4"/>
        <v>474952.43</v>
      </c>
      <c r="L14" s="1495">
        <f t="shared" si="4"/>
        <v>474952.43</v>
      </c>
      <c r="M14" s="1495">
        <f t="shared" si="4"/>
        <v>474952.43</v>
      </c>
      <c r="N14" s="1495">
        <f t="shared" si="4"/>
        <v>474952.43</v>
      </c>
      <c r="O14" s="1495">
        <f t="shared" si="4"/>
        <v>474952.43</v>
      </c>
      <c r="P14" s="1495">
        <f t="shared" si="4"/>
        <v>474952.43</v>
      </c>
      <c r="Q14" s="1495">
        <f t="shared" si="0"/>
        <v>5699429.0199999996</v>
      </c>
      <c r="R14" s="1496"/>
      <c r="S14" s="52"/>
    </row>
    <row r="15" spans="1:19" ht="21" customHeight="1">
      <c r="D15" s="1494" t="s">
        <v>950</v>
      </c>
      <c r="E15" s="1495">
        <f t="shared" ref="E15:P15" si="5">SUMIF($R$3:$R$10,$D$15,E3:E10)</f>
        <v>1307213.3400000001</v>
      </c>
      <c r="F15" s="1495">
        <f t="shared" si="5"/>
        <v>1307213.4200000002</v>
      </c>
      <c r="G15" s="1495">
        <f t="shared" si="5"/>
        <v>1307213.4200000002</v>
      </c>
      <c r="H15" s="1495">
        <f t="shared" si="5"/>
        <v>1307213.4200000002</v>
      </c>
      <c r="I15" s="1495">
        <f t="shared" si="5"/>
        <v>1307213.4200000002</v>
      </c>
      <c r="J15" s="1495">
        <f t="shared" si="5"/>
        <v>1307213.4200000002</v>
      </c>
      <c r="K15" s="1495">
        <f t="shared" si="5"/>
        <v>1307213.4200000002</v>
      </c>
      <c r="L15" s="1495">
        <f t="shared" si="5"/>
        <v>1307213.4200000002</v>
      </c>
      <c r="M15" s="1495">
        <f t="shared" si="5"/>
        <v>1307213.4200000002</v>
      </c>
      <c r="N15" s="1495">
        <f t="shared" si="5"/>
        <v>1307213.4200000002</v>
      </c>
      <c r="O15" s="1495">
        <f t="shared" si="5"/>
        <v>1307213.4200000002</v>
      </c>
      <c r="P15" s="1495">
        <f t="shared" si="5"/>
        <v>1307213.4200000002</v>
      </c>
      <c r="Q15" s="1495">
        <f t="shared" si="0"/>
        <v>15686560.960000001</v>
      </c>
      <c r="R15" s="1486"/>
      <c r="S15" s="52"/>
    </row>
    <row r="16" spans="1:19" ht="21" customHeight="1">
      <c r="D16" s="1494"/>
      <c r="E16" s="1495"/>
      <c r="F16" s="1495"/>
      <c r="G16" s="1495"/>
      <c r="H16" s="1495"/>
      <c r="I16" s="1495"/>
      <c r="J16" s="1495"/>
      <c r="K16" s="1495"/>
      <c r="L16" s="1495"/>
      <c r="M16" s="1495"/>
      <c r="N16" s="1495"/>
      <c r="O16" s="1495"/>
      <c r="P16" s="1495"/>
      <c r="Q16" s="1495"/>
      <c r="R16" s="1486"/>
      <c r="S16" s="52"/>
    </row>
    <row r="17" spans="1:17" ht="17.25" customHeight="1">
      <c r="A17" s="1480" t="s">
        <v>963</v>
      </c>
      <c r="B17" s="52"/>
      <c r="D17" s="1491"/>
      <c r="E17" s="1493"/>
      <c r="F17" s="1493"/>
      <c r="G17" s="1493"/>
      <c r="H17" s="1493"/>
      <c r="I17" s="1493"/>
      <c r="J17" s="1493"/>
      <c r="K17" s="1493"/>
      <c r="L17" s="1493"/>
      <c r="M17" s="1493"/>
      <c r="N17" s="1493"/>
      <c r="O17" s="1493"/>
      <c r="P17" s="1493"/>
      <c r="Q17" s="1493"/>
    </row>
    <row r="18" spans="1:17" s="896" customFormat="1" ht="21" customHeight="1">
      <c r="A18" s="1482" t="s">
        <v>106</v>
      </c>
      <c r="B18" s="1482" t="s">
        <v>583</v>
      </c>
      <c r="C18" s="1482" t="s">
        <v>581</v>
      </c>
      <c r="D18" s="1482" t="s">
        <v>1066</v>
      </c>
      <c r="E18" s="1483" t="s">
        <v>584</v>
      </c>
      <c r="F18" s="1483" t="s">
        <v>585</v>
      </c>
      <c r="G18" s="1483" t="s">
        <v>586</v>
      </c>
      <c r="H18" s="1483" t="s">
        <v>587</v>
      </c>
      <c r="I18" s="1483" t="s">
        <v>588</v>
      </c>
      <c r="J18" s="1483" t="s">
        <v>589</v>
      </c>
      <c r="K18" s="1483" t="s">
        <v>590</v>
      </c>
      <c r="L18" s="1483" t="s">
        <v>591</v>
      </c>
      <c r="M18" s="1483" t="s">
        <v>592</v>
      </c>
      <c r="N18" s="1483" t="s">
        <v>593</v>
      </c>
      <c r="O18" s="1483" t="s">
        <v>594</v>
      </c>
      <c r="P18" s="1483" t="s">
        <v>595</v>
      </c>
      <c r="Q18" s="1484" t="s">
        <v>964</v>
      </c>
    </row>
    <row r="19" spans="1:17" s="896" customFormat="1" ht="25.5" customHeight="1">
      <c r="A19" s="896" t="s">
        <v>747</v>
      </c>
      <c r="B19" s="896" t="s">
        <v>748</v>
      </c>
      <c r="C19" s="896" t="s">
        <v>608</v>
      </c>
      <c r="D19" s="1497" t="s">
        <v>949</v>
      </c>
      <c r="E19" s="1485">
        <v>22947.54</v>
      </c>
      <c r="F19" s="1485">
        <v>22947.5</v>
      </c>
      <c r="G19" s="1485">
        <v>22947.5</v>
      </c>
      <c r="H19" s="1485">
        <v>22947.5</v>
      </c>
      <c r="I19" s="1485">
        <v>22947.5</v>
      </c>
      <c r="J19" s="1485">
        <v>22947.5</v>
      </c>
      <c r="K19" s="1485">
        <v>22947.5</v>
      </c>
      <c r="L19" s="1485">
        <v>22947.5</v>
      </c>
      <c r="M19" s="1485">
        <v>22947.5</v>
      </c>
      <c r="N19" s="1485">
        <v>22947.5</v>
      </c>
      <c r="O19" s="1485">
        <v>22947.5</v>
      </c>
      <c r="P19" s="1485">
        <v>22947.5</v>
      </c>
      <c r="Q19" s="1485">
        <f>SUM(E19:P19)</f>
        <v>275370.04000000004</v>
      </c>
    </row>
    <row r="20" spans="1:17" s="896" customFormat="1" ht="25.5" customHeight="1">
      <c r="A20" s="896" t="s">
        <v>759</v>
      </c>
      <c r="B20" s="896" t="s">
        <v>760</v>
      </c>
      <c r="C20" s="896" t="s">
        <v>608</v>
      </c>
      <c r="D20" s="1497" t="s">
        <v>949</v>
      </c>
      <c r="E20" s="1498">
        <v>1967.23</v>
      </c>
      <c r="F20" s="1498">
        <v>1967.25</v>
      </c>
      <c r="G20" s="1498">
        <v>1967.25</v>
      </c>
      <c r="H20" s="1498">
        <v>1967.25</v>
      </c>
      <c r="I20" s="1498">
        <v>1967.25</v>
      </c>
      <c r="J20" s="1498">
        <v>1967.25</v>
      </c>
      <c r="K20" s="1498">
        <v>1967.25</v>
      </c>
      <c r="L20" s="1498">
        <v>1967.25</v>
      </c>
      <c r="M20" s="1498">
        <v>1967.25</v>
      </c>
      <c r="N20" s="1498">
        <v>1967.25</v>
      </c>
      <c r="O20" s="1498">
        <v>1967.25</v>
      </c>
      <c r="P20" s="1498">
        <v>1967.25</v>
      </c>
      <c r="Q20" s="1485">
        <f>SUM(E20:P20)</f>
        <v>23606.98</v>
      </c>
    </row>
    <row r="21" spans="1:17" ht="26.25" customHeight="1">
      <c r="D21" s="1488" t="s">
        <v>833</v>
      </c>
      <c r="E21" s="1489">
        <f t="shared" ref="E21:P21" si="6">SUM(E19:E20)</f>
        <v>24914.77</v>
      </c>
      <c r="F21" s="1489">
        <f t="shared" si="6"/>
        <v>24914.75</v>
      </c>
      <c r="G21" s="1489">
        <f t="shared" si="6"/>
        <v>24914.75</v>
      </c>
      <c r="H21" s="1489">
        <f t="shared" si="6"/>
        <v>24914.75</v>
      </c>
      <c r="I21" s="1489">
        <f t="shared" si="6"/>
        <v>24914.75</v>
      </c>
      <c r="J21" s="1489">
        <f t="shared" si="6"/>
        <v>24914.75</v>
      </c>
      <c r="K21" s="1489">
        <f t="shared" si="6"/>
        <v>24914.75</v>
      </c>
      <c r="L21" s="1489">
        <f t="shared" si="6"/>
        <v>24914.75</v>
      </c>
      <c r="M21" s="1489">
        <f t="shared" si="6"/>
        <v>24914.75</v>
      </c>
      <c r="N21" s="1489">
        <f t="shared" si="6"/>
        <v>24914.75</v>
      </c>
      <c r="O21" s="1489">
        <f t="shared" si="6"/>
        <v>24914.75</v>
      </c>
      <c r="P21" s="1489">
        <f t="shared" si="6"/>
        <v>24914.75</v>
      </c>
      <c r="Q21" s="1489">
        <f t="shared" ref="Q21:Q25" si="7">SUM(E21:P21)</f>
        <v>298977.02</v>
      </c>
    </row>
    <row r="22" spans="1:17" ht="21" customHeight="1">
      <c r="D22" s="1499" t="s">
        <v>948</v>
      </c>
      <c r="E22" s="1498">
        <f t="shared" ref="E22:P23" si="8">SUMIF($D$19:$D$20,$D22,E$19:E$20)</f>
        <v>0</v>
      </c>
      <c r="F22" s="1498">
        <f t="shared" si="8"/>
        <v>0</v>
      </c>
      <c r="G22" s="1498">
        <f t="shared" si="8"/>
        <v>0</v>
      </c>
      <c r="H22" s="1498">
        <f t="shared" si="8"/>
        <v>0</v>
      </c>
      <c r="I22" s="1498">
        <f t="shared" si="8"/>
        <v>0</v>
      </c>
      <c r="J22" s="1498">
        <f t="shared" si="8"/>
        <v>0</v>
      </c>
      <c r="K22" s="1498">
        <f t="shared" si="8"/>
        <v>0</v>
      </c>
      <c r="L22" s="1498">
        <f t="shared" si="8"/>
        <v>0</v>
      </c>
      <c r="M22" s="1498">
        <f t="shared" si="8"/>
        <v>0</v>
      </c>
      <c r="N22" s="1498">
        <f t="shared" si="8"/>
        <v>0</v>
      </c>
      <c r="O22" s="1498">
        <f t="shared" si="8"/>
        <v>0</v>
      </c>
      <c r="P22" s="1498">
        <f t="shared" si="8"/>
        <v>0</v>
      </c>
      <c r="Q22" s="1498">
        <f t="shared" si="7"/>
        <v>0</v>
      </c>
    </row>
    <row r="23" spans="1:17" ht="21" customHeight="1">
      <c r="D23" s="1499" t="s">
        <v>949</v>
      </c>
      <c r="E23" s="1498">
        <f t="shared" si="8"/>
        <v>24914.77</v>
      </c>
      <c r="F23" s="1498">
        <f t="shared" si="8"/>
        <v>24914.75</v>
      </c>
      <c r="G23" s="1498">
        <f t="shared" si="8"/>
        <v>24914.75</v>
      </c>
      <c r="H23" s="1498">
        <f t="shared" si="8"/>
        <v>24914.75</v>
      </c>
      <c r="I23" s="1498">
        <f t="shared" si="8"/>
        <v>24914.75</v>
      </c>
      <c r="J23" s="1498">
        <f t="shared" si="8"/>
        <v>24914.75</v>
      </c>
      <c r="K23" s="1498">
        <f t="shared" si="8"/>
        <v>24914.75</v>
      </c>
      <c r="L23" s="1498">
        <f t="shared" si="8"/>
        <v>24914.75</v>
      </c>
      <c r="M23" s="1498">
        <f t="shared" si="8"/>
        <v>24914.75</v>
      </c>
      <c r="N23" s="1498">
        <f t="shared" si="8"/>
        <v>24914.75</v>
      </c>
      <c r="O23" s="1498">
        <f t="shared" si="8"/>
        <v>24914.75</v>
      </c>
      <c r="P23" s="1498">
        <f t="shared" si="8"/>
        <v>24914.75</v>
      </c>
      <c r="Q23" s="1485">
        <f t="shared" si="7"/>
        <v>298977.02</v>
      </c>
    </row>
    <row r="24" spans="1:17" ht="18" customHeight="1">
      <c r="D24" s="1500"/>
      <c r="E24" s="1501"/>
      <c r="F24" s="1501"/>
      <c r="G24" s="1501"/>
      <c r="H24" s="1501"/>
      <c r="I24" s="1501"/>
      <c r="J24" s="1501"/>
      <c r="K24" s="1501"/>
      <c r="L24" s="1501"/>
      <c r="M24" s="1501"/>
      <c r="N24" s="1501"/>
      <c r="O24" s="1501"/>
      <c r="P24" s="1501"/>
      <c r="Q24" s="1501"/>
    </row>
    <row r="25" spans="1:17" s="896" customFormat="1" ht="26.25" customHeight="1" thickBot="1">
      <c r="D25" s="1488" t="s">
        <v>842</v>
      </c>
      <c r="E25" s="1502">
        <f t="shared" ref="E25:P25" si="9">E11+E21</f>
        <v>1807080.4000000001</v>
      </c>
      <c r="F25" s="1502">
        <f t="shared" si="9"/>
        <v>1807080.6</v>
      </c>
      <c r="G25" s="1502">
        <f t="shared" si="9"/>
        <v>1807080.6</v>
      </c>
      <c r="H25" s="1502">
        <f t="shared" si="9"/>
        <v>1807080.6</v>
      </c>
      <c r="I25" s="1502">
        <f t="shared" si="9"/>
        <v>1807080.6</v>
      </c>
      <c r="J25" s="1502">
        <f t="shared" si="9"/>
        <v>1807080.6</v>
      </c>
      <c r="K25" s="1502">
        <f t="shared" si="9"/>
        <v>1807080.6</v>
      </c>
      <c r="L25" s="1502">
        <f t="shared" si="9"/>
        <v>1807080.6</v>
      </c>
      <c r="M25" s="1502">
        <f t="shared" si="9"/>
        <v>1807080.6</v>
      </c>
      <c r="N25" s="1502">
        <f t="shared" si="9"/>
        <v>1807080.6</v>
      </c>
      <c r="O25" s="1502">
        <f t="shared" si="9"/>
        <v>1807080.6</v>
      </c>
      <c r="P25" s="1502">
        <f t="shared" si="9"/>
        <v>1807080.6</v>
      </c>
      <c r="Q25" s="1502">
        <f t="shared" si="7"/>
        <v>21684967</v>
      </c>
    </row>
    <row r="26" spans="1:17" ht="13.5" thickTop="1">
      <c r="D26" s="1491"/>
      <c r="E26" s="1493"/>
      <c r="F26" s="1493"/>
      <c r="G26" s="1493"/>
      <c r="H26" s="1493"/>
      <c r="I26" s="1493"/>
      <c r="J26" s="1493"/>
      <c r="K26" s="1493"/>
      <c r="L26" s="1493"/>
      <c r="M26" s="1493"/>
      <c r="N26" s="1493"/>
      <c r="O26" s="1493"/>
      <c r="P26" s="1493"/>
      <c r="Q26" s="1493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9990-CD97-4A25-87B3-061D8214A646}">
  <sheetPr>
    <tabColor rgb="FFD8E4BC"/>
  </sheetPr>
  <dimension ref="A1:R29"/>
  <sheetViews>
    <sheetView showGridLines="0" workbookViewId="0"/>
  </sheetViews>
  <sheetFormatPr defaultColWidth="9.140625" defaultRowHeight="15"/>
  <cols>
    <col min="1" max="1" width="12.5703125" style="904" customWidth="1"/>
    <col min="2" max="2" width="16.42578125" style="904" customWidth="1"/>
    <col min="3" max="3" width="37.140625" style="904" customWidth="1"/>
    <col min="4" max="4" width="21.5703125" style="904" bestFit="1" customWidth="1"/>
    <col min="5" max="5" width="18.5703125" style="904" customWidth="1"/>
    <col min="6" max="18" width="11.7109375" style="904" customWidth="1"/>
    <col min="19" max="16384" width="9.140625" style="904"/>
  </cols>
  <sheetData>
    <row r="1" spans="1:18">
      <c r="A1" s="1503"/>
      <c r="B1" s="1503"/>
      <c r="C1" s="1503"/>
      <c r="D1" s="1503"/>
      <c r="E1" s="1503"/>
    </row>
    <row r="2" spans="1:18" ht="15.75">
      <c r="A2" s="1504" t="s">
        <v>1079</v>
      </c>
      <c r="B2" s="1504"/>
      <c r="C2" s="1503"/>
      <c r="D2" s="1503"/>
      <c r="E2" s="1503"/>
    </row>
    <row r="3" spans="1:18">
      <c r="A3" s="1503"/>
      <c r="B3" s="1503"/>
      <c r="C3" s="1503"/>
      <c r="D3" s="1503"/>
      <c r="E3" s="1503"/>
    </row>
    <row r="4" spans="1:18" ht="21" customHeight="1">
      <c r="A4" s="1505" t="s">
        <v>582</v>
      </c>
      <c r="B4" s="1505" t="s">
        <v>106</v>
      </c>
      <c r="C4" s="1505" t="s">
        <v>583</v>
      </c>
      <c r="D4" s="1505" t="s">
        <v>739</v>
      </c>
      <c r="E4" s="1505" t="s">
        <v>740</v>
      </c>
      <c r="F4" s="1506" t="s">
        <v>584</v>
      </c>
      <c r="G4" s="1506" t="s">
        <v>585</v>
      </c>
      <c r="H4" s="1506" t="s">
        <v>586</v>
      </c>
      <c r="I4" s="1506" t="s">
        <v>587</v>
      </c>
      <c r="J4" s="1506" t="s">
        <v>588</v>
      </c>
      <c r="K4" s="1506" t="s">
        <v>589</v>
      </c>
      <c r="L4" s="1506" t="s">
        <v>590</v>
      </c>
      <c r="M4" s="1506" t="s">
        <v>591</v>
      </c>
      <c r="N4" s="1506" t="s">
        <v>592</v>
      </c>
      <c r="O4" s="1506" t="s">
        <v>593</v>
      </c>
      <c r="P4" s="1506" t="s">
        <v>594</v>
      </c>
      <c r="Q4" s="1506" t="s">
        <v>595</v>
      </c>
      <c r="R4" s="1507" t="s">
        <v>3</v>
      </c>
    </row>
    <row r="5" spans="1:18" s="906" customFormat="1" ht="16.5" customHeight="1">
      <c r="A5" s="1508" t="s">
        <v>405</v>
      </c>
      <c r="B5" s="1508" t="s">
        <v>145</v>
      </c>
      <c r="C5" s="1508" t="s">
        <v>597</v>
      </c>
      <c r="D5" s="1508" t="s">
        <v>596</v>
      </c>
      <c r="E5" s="1508" t="s">
        <v>861</v>
      </c>
      <c r="F5" s="1509"/>
      <c r="G5" s="1509"/>
      <c r="H5" s="1509"/>
      <c r="I5" s="1509"/>
      <c r="J5" s="1509"/>
      <c r="K5" s="1509"/>
      <c r="L5" s="1509"/>
      <c r="M5" s="1509"/>
      <c r="N5" s="1509"/>
      <c r="O5" s="1509"/>
      <c r="P5" s="1509"/>
      <c r="Q5" s="1509"/>
      <c r="R5" s="1510">
        <f t="shared" ref="R5:R7" si="0">SUM(F5:Q5)</f>
        <v>0</v>
      </c>
    </row>
    <row r="6" spans="1:18" s="906" customFormat="1" ht="16.5" customHeight="1">
      <c r="A6" s="1508" t="s">
        <v>405</v>
      </c>
      <c r="B6" s="1508" t="s">
        <v>149</v>
      </c>
      <c r="C6" s="1508" t="s">
        <v>598</v>
      </c>
      <c r="D6" s="1508" t="s">
        <v>596</v>
      </c>
      <c r="E6" s="1508" t="s">
        <v>861</v>
      </c>
      <c r="F6" s="1509"/>
      <c r="G6" s="1509"/>
      <c r="H6" s="1509"/>
      <c r="I6" s="1509"/>
      <c r="J6" s="1509"/>
      <c r="K6" s="1509"/>
      <c r="L6" s="1509"/>
      <c r="M6" s="1509"/>
      <c r="N6" s="1509"/>
      <c r="O6" s="1509"/>
      <c r="P6" s="1509"/>
      <c r="Q6" s="1509"/>
      <c r="R6" s="1510">
        <f t="shared" si="0"/>
        <v>0</v>
      </c>
    </row>
    <row r="7" spans="1:18" s="906" customFormat="1" ht="16.5" customHeight="1">
      <c r="A7" s="1508" t="s">
        <v>405</v>
      </c>
      <c r="B7" s="1508" t="s">
        <v>152</v>
      </c>
      <c r="C7" s="1508" t="s">
        <v>940</v>
      </c>
      <c r="D7" s="1508" t="s">
        <v>596</v>
      </c>
      <c r="E7" s="1508" t="s">
        <v>861</v>
      </c>
      <c r="F7" s="1509"/>
      <c r="G7" s="1509"/>
      <c r="H7" s="1509"/>
      <c r="I7" s="1509"/>
      <c r="J7" s="1509"/>
      <c r="K7" s="1509"/>
      <c r="L7" s="1509"/>
      <c r="M7" s="1509"/>
      <c r="N7" s="1509"/>
      <c r="O7" s="1509"/>
      <c r="P7" s="1509"/>
      <c r="Q7" s="1509"/>
      <c r="R7" s="1510">
        <f t="shared" si="0"/>
        <v>0</v>
      </c>
    </row>
    <row r="8" spans="1:18" s="906" customFormat="1" ht="16.5" customHeight="1">
      <c r="A8" s="1508" t="s">
        <v>405</v>
      </c>
      <c r="B8" s="1508" t="s">
        <v>154</v>
      </c>
      <c r="C8" s="1508" t="s">
        <v>599</v>
      </c>
      <c r="D8" s="1508" t="s">
        <v>596</v>
      </c>
      <c r="E8" s="1508" t="s">
        <v>861</v>
      </c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510">
        <f>SUM(F8:Q8)</f>
        <v>0</v>
      </c>
    </row>
    <row r="9" spans="1:18" s="906" customFormat="1" ht="16.5" customHeight="1">
      <c r="A9" s="1508" t="s">
        <v>405</v>
      </c>
      <c r="B9" s="1508" t="s">
        <v>448</v>
      </c>
      <c r="C9" s="1508" t="s">
        <v>600</v>
      </c>
      <c r="D9" s="1508" t="s">
        <v>596</v>
      </c>
      <c r="E9" s="1508" t="s">
        <v>861</v>
      </c>
      <c r="F9" s="1509"/>
      <c r="G9" s="1509"/>
      <c r="H9" s="1509"/>
      <c r="I9" s="1509"/>
      <c r="J9" s="1509"/>
      <c r="K9" s="1509"/>
      <c r="L9" s="1509"/>
      <c r="M9" s="1509"/>
      <c r="N9" s="1509"/>
      <c r="O9" s="1509"/>
      <c r="P9" s="1509"/>
      <c r="Q9" s="1509"/>
      <c r="R9" s="1510">
        <f t="shared" ref="R9:R10" si="1">SUM(F9:Q9)</f>
        <v>0</v>
      </c>
    </row>
    <row r="10" spans="1:18" s="906" customFormat="1" ht="16.5" customHeight="1">
      <c r="A10" s="1508" t="s">
        <v>405</v>
      </c>
      <c r="B10" s="1508" t="s">
        <v>450</v>
      </c>
      <c r="C10" s="1508" t="s">
        <v>601</v>
      </c>
      <c r="D10" s="1508" t="s">
        <v>596</v>
      </c>
      <c r="E10" s="1508" t="s">
        <v>861</v>
      </c>
      <c r="F10" s="1509"/>
      <c r="G10" s="1509"/>
      <c r="H10" s="1509"/>
      <c r="I10" s="1509"/>
      <c r="J10" s="1509"/>
      <c r="K10" s="1509"/>
      <c r="L10" s="1509"/>
      <c r="M10" s="1509"/>
      <c r="N10" s="1509"/>
      <c r="O10" s="1509"/>
      <c r="P10" s="1509"/>
      <c r="Q10" s="1509"/>
      <c r="R10" s="1510">
        <f t="shared" si="1"/>
        <v>0</v>
      </c>
    </row>
    <row r="11" spans="1:18" s="906" customFormat="1" ht="16.5" customHeight="1">
      <c r="A11" s="1508" t="s">
        <v>405</v>
      </c>
      <c r="B11" s="1508" t="s">
        <v>838</v>
      </c>
      <c r="C11" s="1508" t="s">
        <v>941</v>
      </c>
      <c r="D11" s="1508" t="s">
        <v>596</v>
      </c>
      <c r="E11" s="1508" t="s">
        <v>861</v>
      </c>
      <c r="F11" s="1511"/>
      <c r="G11" s="1511"/>
      <c r="H11" s="1511"/>
      <c r="I11" s="1511"/>
      <c r="J11" s="1511"/>
      <c r="K11" s="1511"/>
      <c r="L11" s="1511"/>
      <c r="M11" s="1511"/>
      <c r="N11" s="1511"/>
      <c r="O11" s="1511"/>
      <c r="P11" s="1511"/>
      <c r="Q11" s="1511"/>
      <c r="R11" s="1512">
        <f>SUM(F11:Q11)</f>
        <v>0</v>
      </c>
    </row>
    <row r="12" spans="1:18" s="906" customFormat="1" ht="16.5" customHeight="1">
      <c r="A12" s="1513"/>
      <c r="B12" s="1513"/>
      <c r="C12" s="1513"/>
      <c r="D12" s="1513"/>
      <c r="E12" s="1514" t="s">
        <v>843</v>
      </c>
      <c r="F12" s="1515">
        <f t="shared" ref="F12:R12" si="2">SUM(F5:F11)</f>
        <v>0</v>
      </c>
      <c r="G12" s="1515">
        <f t="shared" si="2"/>
        <v>0</v>
      </c>
      <c r="H12" s="1515">
        <f t="shared" si="2"/>
        <v>0</v>
      </c>
      <c r="I12" s="1515">
        <f t="shared" si="2"/>
        <v>0</v>
      </c>
      <c r="J12" s="1515">
        <f t="shared" si="2"/>
        <v>0</v>
      </c>
      <c r="K12" s="1515">
        <f t="shared" si="2"/>
        <v>0</v>
      </c>
      <c r="L12" s="1515">
        <f t="shared" si="2"/>
        <v>0</v>
      </c>
      <c r="M12" s="1515">
        <f t="shared" si="2"/>
        <v>0</v>
      </c>
      <c r="N12" s="1515">
        <f t="shared" si="2"/>
        <v>0</v>
      </c>
      <c r="O12" s="1515">
        <f t="shared" si="2"/>
        <v>0</v>
      </c>
      <c r="P12" s="1515">
        <f t="shared" si="2"/>
        <v>0</v>
      </c>
      <c r="Q12" s="1515">
        <f t="shared" si="2"/>
        <v>0</v>
      </c>
      <c r="R12" s="1515">
        <f t="shared" si="2"/>
        <v>0</v>
      </c>
    </row>
    <row r="13" spans="1:18" s="906" customFormat="1" ht="16.5" customHeight="1">
      <c r="A13" s="1516"/>
      <c r="B13" s="1516"/>
      <c r="C13" s="1516"/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</row>
    <row r="14" spans="1:18" s="906" customFormat="1" ht="16.5" customHeight="1">
      <c r="A14" s="1516"/>
      <c r="B14" s="1516"/>
      <c r="C14" s="1516"/>
      <c r="D14" s="1516"/>
      <c r="F14" s="1506" t="s">
        <v>584</v>
      </c>
      <c r="G14" s="1506" t="s">
        <v>585</v>
      </c>
      <c r="H14" s="1506" t="s">
        <v>586</v>
      </c>
      <c r="I14" s="1506" t="s">
        <v>587</v>
      </c>
      <c r="J14" s="1506" t="s">
        <v>588</v>
      </c>
      <c r="K14" s="1506" t="s">
        <v>589</v>
      </c>
      <c r="L14" s="1506" t="s">
        <v>590</v>
      </c>
      <c r="M14" s="1506" t="s">
        <v>591</v>
      </c>
      <c r="N14" s="1506" t="s">
        <v>592</v>
      </c>
      <c r="O14" s="1506" t="s">
        <v>593</v>
      </c>
      <c r="P14" s="1506" t="s">
        <v>594</v>
      </c>
      <c r="Q14" s="1506" t="s">
        <v>595</v>
      </c>
      <c r="R14" s="1507" t="s">
        <v>3</v>
      </c>
    </row>
    <row r="15" spans="1:18" s="906" customFormat="1" ht="16.5" customHeight="1">
      <c r="A15" s="1516"/>
      <c r="B15" s="1516"/>
      <c r="C15" s="1516"/>
      <c r="D15" s="1516"/>
      <c r="E15" s="1517" t="s">
        <v>175</v>
      </c>
      <c r="F15" s="1518"/>
      <c r="G15" s="1518"/>
      <c r="H15" s="1518"/>
      <c r="I15" s="1518"/>
      <c r="J15" s="1518"/>
      <c r="K15" s="1518"/>
      <c r="L15" s="1518"/>
      <c r="M15" s="1518"/>
      <c r="N15" s="1518"/>
      <c r="O15" s="1518"/>
      <c r="P15" s="1518"/>
      <c r="Q15" s="1518"/>
      <c r="R15" s="1519">
        <f>SUM(F15:Q15)</f>
        <v>0</v>
      </c>
    </row>
    <row r="16" spans="1:18" s="906" customFormat="1" ht="16.5" customHeight="1">
      <c r="E16" s="1520"/>
      <c r="F16" s="1193"/>
      <c r="G16" s="1193"/>
      <c r="H16" s="1193"/>
      <c r="I16" s="1193"/>
      <c r="J16" s="1193"/>
      <c r="K16" s="1193"/>
      <c r="L16" s="1193"/>
      <c r="M16" s="1193"/>
      <c r="N16" s="1193"/>
      <c r="O16" s="1193"/>
      <c r="P16" s="1193"/>
      <c r="Q16" s="1193"/>
      <c r="R16" s="1193"/>
    </row>
    <row r="18" spans="1:18" ht="18.75">
      <c r="A18" s="1504" t="s">
        <v>1080</v>
      </c>
      <c r="B18" s="1504"/>
      <c r="C18" s="1503"/>
      <c r="D18" s="1503"/>
      <c r="E18" s="1503"/>
    </row>
    <row r="19" spans="1:18">
      <c r="A19" s="1503"/>
      <c r="B19" s="1503"/>
      <c r="C19" s="1503"/>
      <c r="D19" s="1503"/>
      <c r="E19" s="1503"/>
    </row>
    <row r="20" spans="1:18" ht="21" customHeight="1">
      <c r="A20" s="1505" t="s">
        <v>582</v>
      </c>
      <c r="B20" s="1505" t="s">
        <v>106</v>
      </c>
      <c r="C20" s="1505" t="s">
        <v>583</v>
      </c>
      <c r="D20" s="1505" t="s">
        <v>739</v>
      </c>
      <c r="E20" s="1505" t="s">
        <v>740</v>
      </c>
      <c r="F20" s="1506" t="s">
        <v>584</v>
      </c>
      <c r="G20" s="1506" t="s">
        <v>585</v>
      </c>
      <c r="H20" s="1506" t="s">
        <v>586</v>
      </c>
      <c r="I20" s="1506" t="s">
        <v>587</v>
      </c>
      <c r="J20" s="1506" t="s">
        <v>588</v>
      </c>
      <c r="K20" s="1506" t="s">
        <v>589</v>
      </c>
      <c r="L20" s="1506" t="s">
        <v>590</v>
      </c>
      <c r="M20" s="1506" t="s">
        <v>591</v>
      </c>
      <c r="N20" s="1506" t="s">
        <v>592</v>
      </c>
      <c r="O20" s="1506" t="s">
        <v>593</v>
      </c>
      <c r="P20" s="1506" t="s">
        <v>594</v>
      </c>
      <c r="Q20" s="1506" t="s">
        <v>595</v>
      </c>
      <c r="R20" s="1507" t="s">
        <v>3</v>
      </c>
    </row>
    <row r="21" spans="1:18" s="906" customFormat="1" ht="16.5" customHeight="1">
      <c r="A21" s="1508" t="s">
        <v>405</v>
      </c>
      <c r="B21" s="1508" t="s">
        <v>145</v>
      </c>
      <c r="C21" s="1508" t="s">
        <v>597</v>
      </c>
      <c r="D21" s="1508" t="s">
        <v>596</v>
      </c>
      <c r="E21" s="1508" t="s">
        <v>861</v>
      </c>
      <c r="F21" s="1510">
        <v>3000</v>
      </c>
      <c r="G21" s="1510">
        <v>3000</v>
      </c>
      <c r="H21" s="1510">
        <v>3000</v>
      </c>
      <c r="I21" s="1510">
        <v>3000</v>
      </c>
      <c r="J21" s="1510">
        <v>3000</v>
      </c>
      <c r="K21" s="1510">
        <v>3000</v>
      </c>
      <c r="L21" s="1510">
        <v>3000</v>
      </c>
      <c r="M21" s="1510">
        <v>3000</v>
      </c>
      <c r="N21" s="1510">
        <v>3000</v>
      </c>
      <c r="O21" s="1510">
        <v>3000</v>
      </c>
      <c r="P21" s="1510">
        <v>3000</v>
      </c>
      <c r="Q21" s="1510">
        <v>3000</v>
      </c>
      <c r="R21" s="1510">
        <f>SUM(F21:Q21)</f>
        <v>36000</v>
      </c>
    </row>
    <row r="22" spans="1:18" s="906" customFormat="1" ht="16.5" customHeight="1">
      <c r="A22" s="1508" t="s">
        <v>405</v>
      </c>
      <c r="B22" s="1508" t="s">
        <v>149</v>
      </c>
      <c r="C22" s="1508" t="s">
        <v>598</v>
      </c>
      <c r="D22" s="1508" t="s">
        <v>596</v>
      </c>
      <c r="E22" s="1508" t="s">
        <v>861</v>
      </c>
      <c r="F22" s="1510">
        <v>37865.32</v>
      </c>
      <c r="G22" s="1510">
        <v>35880.639999999999</v>
      </c>
      <c r="H22" s="1510">
        <v>37576.17</v>
      </c>
      <c r="I22" s="1510">
        <v>37241.01</v>
      </c>
      <c r="J22" s="1510">
        <v>38125.94</v>
      </c>
      <c r="K22" s="1510">
        <v>32562.87</v>
      </c>
      <c r="L22" s="1510">
        <v>36712.18</v>
      </c>
      <c r="M22" s="1510">
        <v>38484.03</v>
      </c>
      <c r="N22" s="1510">
        <v>34869.020000000004</v>
      </c>
      <c r="O22" s="1510">
        <v>38521.450000000004</v>
      </c>
      <c r="P22" s="1510">
        <v>32110</v>
      </c>
      <c r="Q22" s="1510">
        <v>29615.47</v>
      </c>
      <c r="R22" s="1510">
        <f t="shared" ref="R22:R25" si="3">SUM(F22:Q22)</f>
        <v>429564.1</v>
      </c>
    </row>
    <row r="23" spans="1:18" s="906" customFormat="1" ht="16.5" customHeight="1">
      <c r="A23" s="1508" t="s">
        <v>405</v>
      </c>
      <c r="B23" s="1508" t="s">
        <v>154</v>
      </c>
      <c r="C23" s="1508" t="s">
        <v>599</v>
      </c>
      <c r="D23" s="1508" t="s">
        <v>596</v>
      </c>
      <c r="E23" s="1508" t="s">
        <v>861</v>
      </c>
      <c r="F23" s="1510">
        <v>30759.97</v>
      </c>
      <c r="G23" s="1510">
        <v>29411.83</v>
      </c>
      <c r="H23" s="1510">
        <v>31283.360000000001</v>
      </c>
      <c r="I23" s="1510">
        <v>30705.59</v>
      </c>
      <c r="J23" s="1510">
        <v>30923.13</v>
      </c>
      <c r="K23" s="1510">
        <v>27743.41</v>
      </c>
      <c r="L23" s="1510">
        <v>30355.040000000001</v>
      </c>
      <c r="M23" s="1510">
        <v>31849.14</v>
      </c>
      <c r="N23" s="1510">
        <v>29356.11</v>
      </c>
      <c r="O23" s="1510">
        <v>31499.27</v>
      </c>
      <c r="P23" s="1510">
        <v>27251.68</v>
      </c>
      <c r="Q23" s="1510">
        <v>25665.65</v>
      </c>
      <c r="R23" s="1510">
        <f t="shared" si="3"/>
        <v>356804.18000000005</v>
      </c>
    </row>
    <row r="24" spans="1:18" s="906" customFormat="1" ht="16.5" customHeight="1">
      <c r="A24" s="1508" t="s">
        <v>405</v>
      </c>
      <c r="B24" s="1508" t="s">
        <v>448</v>
      </c>
      <c r="C24" s="1508" t="s">
        <v>600</v>
      </c>
      <c r="D24" s="1508" t="s">
        <v>596</v>
      </c>
      <c r="E24" s="1508" t="s">
        <v>861</v>
      </c>
      <c r="F24" s="1510">
        <v>1500</v>
      </c>
      <c r="G24" s="1510">
        <v>2500</v>
      </c>
      <c r="H24" s="1510">
        <v>2000</v>
      </c>
      <c r="I24" s="1510">
        <v>1500</v>
      </c>
      <c r="J24" s="1510">
        <v>1500</v>
      </c>
      <c r="K24" s="1510">
        <v>2000</v>
      </c>
      <c r="L24" s="1510">
        <v>2000</v>
      </c>
      <c r="M24" s="1510">
        <v>1500</v>
      </c>
      <c r="N24" s="1510">
        <v>2385</v>
      </c>
      <c r="O24" s="1510">
        <v>1500</v>
      </c>
      <c r="P24" s="1510">
        <v>1500</v>
      </c>
      <c r="Q24" s="1510">
        <v>2000</v>
      </c>
      <c r="R24" s="1510">
        <f t="shared" si="3"/>
        <v>21885</v>
      </c>
    </row>
    <row r="25" spans="1:18" s="906" customFormat="1" ht="16.5" customHeight="1">
      <c r="A25" s="1508" t="s">
        <v>405</v>
      </c>
      <c r="B25" s="1508" t="s">
        <v>450</v>
      </c>
      <c r="C25" s="1508" t="s">
        <v>601</v>
      </c>
      <c r="D25" s="1508" t="s">
        <v>596</v>
      </c>
      <c r="E25" s="1508" t="s">
        <v>861</v>
      </c>
      <c r="F25" s="1512">
        <v>0</v>
      </c>
      <c r="G25" s="1512">
        <v>0</v>
      </c>
      <c r="H25" s="1512">
        <v>250</v>
      </c>
      <c r="I25" s="1512">
        <v>0</v>
      </c>
      <c r="J25" s="1512">
        <v>0</v>
      </c>
      <c r="K25" s="1512">
        <v>250</v>
      </c>
      <c r="L25" s="1512">
        <v>0</v>
      </c>
      <c r="M25" s="1512">
        <v>0</v>
      </c>
      <c r="N25" s="1512">
        <v>250</v>
      </c>
      <c r="O25" s="1512">
        <v>0</v>
      </c>
      <c r="P25" s="1512">
        <v>0</v>
      </c>
      <c r="Q25" s="1512">
        <v>250</v>
      </c>
      <c r="R25" s="1512">
        <f t="shared" si="3"/>
        <v>1000</v>
      </c>
    </row>
    <row r="26" spans="1:18" s="906" customFormat="1" ht="21" customHeight="1">
      <c r="A26" s="1513"/>
      <c r="B26" s="1513"/>
      <c r="C26" s="1513"/>
      <c r="D26" s="1513"/>
      <c r="E26" s="1521" t="s">
        <v>843</v>
      </c>
      <c r="F26" s="1522">
        <f>SUM(F21:F25)</f>
        <v>73125.290000000008</v>
      </c>
      <c r="G26" s="1522">
        <f t="shared" ref="G26:Q26" si="4">SUM(G21:G25)</f>
        <v>70792.47</v>
      </c>
      <c r="H26" s="1522">
        <f t="shared" si="4"/>
        <v>74109.53</v>
      </c>
      <c r="I26" s="1522">
        <f t="shared" si="4"/>
        <v>72446.600000000006</v>
      </c>
      <c r="J26" s="1522">
        <f t="shared" si="4"/>
        <v>73549.070000000007</v>
      </c>
      <c r="K26" s="1522">
        <f t="shared" si="4"/>
        <v>65556.28</v>
      </c>
      <c r="L26" s="1522">
        <f t="shared" si="4"/>
        <v>72067.22</v>
      </c>
      <c r="M26" s="1522">
        <f t="shared" si="4"/>
        <v>74833.17</v>
      </c>
      <c r="N26" s="1522">
        <f t="shared" si="4"/>
        <v>69860.13</v>
      </c>
      <c r="O26" s="1522">
        <f t="shared" si="4"/>
        <v>74520.72</v>
      </c>
      <c r="P26" s="1522">
        <f t="shared" si="4"/>
        <v>63861.68</v>
      </c>
      <c r="Q26" s="1522">
        <f t="shared" si="4"/>
        <v>60531.12</v>
      </c>
      <c r="R26" s="1523">
        <f>SUM(R21:R25)</f>
        <v>845253.28</v>
      </c>
    </row>
    <row r="27" spans="1:18" s="906" customFormat="1" ht="16.5" customHeight="1">
      <c r="A27" s="1516"/>
      <c r="B27" s="1516"/>
      <c r="C27" s="1516"/>
      <c r="D27" s="1516"/>
      <c r="E27" s="1516"/>
      <c r="F27" s="1516"/>
      <c r="G27" s="1516"/>
      <c r="H27" s="1516"/>
      <c r="I27" s="1516"/>
      <c r="J27" s="1516"/>
      <c r="K27" s="1516"/>
      <c r="L27" s="1516"/>
      <c r="M27" s="1516"/>
      <c r="N27" s="1516"/>
      <c r="O27" s="1516"/>
      <c r="P27" s="1516"/>
      <c r="Q27" s="1516"/>
      <c r="R27" s="1516"/>
    </row>
    <row r="28" spans="1:18" s="906" customFormat="1" ht="16.5" customHeight="1">
      <c r="A28" s="1516"/>
      <c r="B28" s="1516"/>
      <c r="C28" s="1516"/>
      <c r="D28" s="1516"/>
      <c r="F28" s="1506" t="s">
        <v>584</v>
      </c>
      <c r="G28" s="1506" t="s">
        <v>585</v>
      </c>
      <c r="H28" s="1506" t="s">
        <v>586</v>
      </c>
      <c r="I28" s="1506" t="s">
        <v>587</v>
      </c>
      <c r="J28" s="1506" t="s">
        <v>588</v>
      </c>
      <c r="K28" s="1506" t="s">
        <v>589</v>
      </c>
      <c r="L28" s="1506" t="s">
        <v>590</v>
      </c>
      <c r="M28" s="1506" t="s">
        <v>591</v>
      </c>
      <c r="N28" s="1506" t="s">
        <v>592</v>
      </c>
      <c r="O28" s="1506" t="s">
        <v>593</v>
      </c>
      <c r="P28" s="1506" t="s">
        <v>594</v>
      </c>
      <c r="Q28" s="1506" t="s">
        <v>595</v>
      </c>
      <c r="R28" s="1507" t="s">
        <v>3</v>
      </c>
    </row>
    <row r="29" spans="1:18" s="906" customFormat="1" ht="21" customHeight="1">
      <c r="A29" s="1516"/>
      <c r="B29" s="1516"/>
      <c r="C29" s="1516"/>
      <c r="D29" s="1516"/>
      <c r="E29" s="1524" t="s">
        <v>175</v>
      </c>
      <c r="F29" s="1525">
        <v>85080.43</v>
      </c>
      <c r="G29" s="1525">
        <v>85080.43</v>
      </c>
      <c r="H29" s="1525">
        <v>85080.43</v>
      </c>
      <c r="I29" s="1525">
        <v>85080.43</v>
      </c>
      <c r="J29" s="1525">
        <v>85080.43</v>
      </c>
      <c r="K29" s="1525">
        <v>85080.43</v>
      </c>
      <c r="L29" s="1525">
        <v>85080.43</v>
      </c>
      <c r="M29" s="1525">
        <v>85080.43</v>
      </c>
      <c r="N29" s="1525">
        <v>85080.43</v>
      </c>
      <c r="O29" s="1525">
        <v>85080.43</v>
      </c>
      <c r="P29" s="1525">
        <v>85080.43</v>
      </c>
      <c r="Q29" s="1525">
        <v>85080.43</v>
      </c>
      <c r="R29" s="1526">
        <f>SUM(F29:Q29)</f>
        <v>1020965.1599999997</v>
      </c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D3FDA-47B6-45A4-9600-B2D201A1B97E}">
  <sheetPr>
    <tabColor rgb="FFD8E4BC"/>
  </sheetPr>
  <dimension ref="B1:Q34"/>
  <sheetViews>
    <sheetView showGridLines="0" zoomScaleNormal="100" workbookViewId="0"/>
  </sheetViews>
  <sheetFormatPr defaultColWidth="9.140625" defaultRowHeight="15.75"/>
  <cols>
    <col min="1" max="1" width="5.7109375" style="1362" customWidth="1"/>
    <col min="2" max="2" width="28.85546875" style="1362" customWidth="1"/>
    <col min="3" max="15" width="12.85546875" style="1362" customWidth="1"/>
    <col min="16" max="16384" width="9.140625" style="1362"/>
  </cols>
  <sheetData>
    <row r="1" spans="2:15">
      <c r="B1" s="1527" t="s">
        <v>1049</v>
      </c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</row>
    <row r="2" spans="2:15"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</row>
    <row r="3" spans="2:15" ht="21" customHeight="1">
      <c r="B3" s="1528" t="s">
        <v>640</v>
      </c>
      <c r="C3" s="1529">
        <v>45292</v>
      </c>
      <c r="D3" s="1529">
        <v>45323</v>
      </c>
      <c r="E3" s="1529">
        <v>45352</v>
      </c>
      <c r="F3" s="1529">
        <v>45383</v>
      </c>
      <c r="G3" s="1529">
        <v>45413</v>
      </c>
      <c r="H3" s="1529">
        <v>45444</v>
      </c>
      <c r="I3" s="1529">
        <v>45474</v>
      </c>
      <c r="J3" s="1529">
        <v>45505</v>
      </c>
      <c r="K3" s="1529">
        <v>45536</v>
      </c>
      <c r="L3" s="1529">
        <v>45566</v>
      </c>
      <c r="M3" s="1529">
        <v>45597</v>
      </c>
      <c r="N3" s="1529">
        <v>45627</v>
      </c>
      <c r="O3" s="1530" t="s">
        <v>3</v>
      </c>
    </row>
    <row r="4" spans="2:15" ht="21" customHeight="1">
      <c r="B4" s="1086" t="s">
        <v>1081</v>
      </c>
      <c r="C4" s="1531">
        <v>0</v>
      </c>
      <c r="D4" s="1531">
        <v>0</v>
      </c>
      <c r="E4" s="1531">
        <v>0</v>
      </c>
      <c r="F4" s="1531">
        <v>0</v>
      </c>
      <c r="G4" s="1531">
        <v>0</v>
      </c>
      <c r="H4" s="1531">
        <v>0</v>
      </c>
      <c r="I4" s="1531">
        <v>0</v>
      </c>
      <c r="J4" s="1531">
        <v>0</v>
      </c>
      <c r="K4" s="1531">
        <v>0</v>
      </c>
      <c r="L4" s="1531">
        <v>0</v>
      </c>
      <c r="M4" s="1531">
        <v>0</v>
      </c>
      <c r="N4" s="1531">
        <v>0</v>
      </c>
      <c r="O4" s="1531">
        <f>SUM(C4:N4)</f>
        <v>0</v>
      </c>
    </row>
    <row r="5" spans="2:15" ht="21" customHeight="1">
      <c r="B5" s="1086" t="s">
        <v>608</v>
      </c>
      <c r="C5" s="1531">
        <v>0</v>
      </c>
      <c r="D5" s="1531">
        <v>0</v>
      </c>
      <c r="E5" s="1531">
        <v>0</v>
      </c>
      <c r="F5" s="1531">
        <v>0</v>
      </c>
      <c r="G5" s="1531">
        <v>0</v>
      </c>
      <c r="H5" s="1531">
        <v>0</v>
      </c>
      <c r="I5" s="1531">
        <v>0</v>
      </c>
      <c r="J5" s="1531">
        <v>0</v>
      </c>
      <c r="K5" s="1531">
        <v>0</v>
      </c>
      <c r="L5" s="1531">
        <v>0</v>
      </c>
      <c r="M5" s="1531">
        <v>0</v>
      </c>
      <c r="N5" s="1531">
        <v>0</v>
      </c>
      <c r="O5" s="1531">
        <f>SUM(C5:N5)</f>
        <v>0</v>
      </c>
    </row>
    <row r="6" spans="2:15" ht="21" customHeight="1">
      <c r="B6" s="1086" t="s">
        <v>806</v>
      </c>
      <c r="C6" s="1531">
        <v>0</v>
      </c>
      <c r="D6" s="1531">
        <v>0</v>
      </c>
      <c r="E6" s="1531">
        <v>0</v>
      </c>
      <c r="F6" s="1531">
        <v>0</v>
      </c>
      <c r="G6" s="1531">
        <v>0</v>
      </c>
      <c r="H6" s="1531">
        <v>0</v>
      </c>
      <c r="I6" s="1531">
        <v>0</v>
      </c>
      <c r="J6" s="1531">
        <v>0</v>
      </c>
      <c r="K6" s="1531">
        <v>0</v>
      </c>
      <c r="L6" s="1531">
        <v>0</v>
      </c>
      <c r="M6" s="1531">
        <v>0</v>
      </c>
      <c r="N6" s="1531">
        <v>0</v>
      </c>
      <c r="O6" s="1531">
        <f>SUM(C6:N6)</f>
        <v>0</v>
      </c>
    </row>
    <row r="7" spans="2:15" ht="21" customHeight="1">
      <c r="B7" s="1086" t="s">
        <v>596</v>
      </c>
      <c r="C7" s="1532">
        <v>0</v>
      </c>
      <c r="D7" s="1532">
        <v>0</v>
      </c>
      <c r="E7" s="1532">
        <v>0</v>
      </c>
      <c r="F7" s="1532">
        <v>0</v>
      </c>
      <c r="G7" s="1532">
        <v>0</v>
      </c>
      <c r="H7" s="1532">
        <v>0</v>
      </c>
      <c r="I7" s="1532">
        <v>0</v>
      </c>
      <c r="J7" s="1532">
        <v>0</v>
      </c>
      <c r="K7" s="1532">
        <v>0</v>
      </c>
      <c r="L7" s="1532">
        <v>0</v>
      </c>
      <c r="M7" s="1532">
        <v>0</v>
      </c>
      <c r="N7" s="1532">
        <v>0</v>
      </c>
      <c r="O7" s="1532">
        <f>SUM(C7:N7)</f>
        <v>0</v>
      </c>
    </row>
    <row r="8" spans="2:15" ht="21" customHeight="1">
      <c r="B8" s="1533" t="s">
        <v>3</v>
      </c>
      <c r="C8" s="1534">
        <f t="shared" ref="C8:O8" si="0">SUM(C4:C7)</f>
        <v>0</v>
      </c>
      <c r="D8" s="1534">
        <f t="shared" si="0"/>
        <v>0</v>
      </c>
      <c r="E8" s="1534">
        <f t="shared" si="0"/>
        <v>0</v>
      </c>
      <c r="F8" s="1534">
        <f t="shared" si="0"/>
        <v>0</v>
      </c>
      <c r="G8" s="1534">
        <f t="shared" si="0"/>
        <v>0</v>
      </c>
      <c r="H8" s="1534">
        <f t="shared" si="0"/>
        <v>0</v>
      </c>
      <c r="I8" s="1534">
        <f t="shared" si="0"/>
        <v>0</v>
      </c>
      <c r="J8" s="1534">
        <f t="shared" si="0"/>
        <v>0</v>
      </c>
      <c r="K8" s="1534">
        <f t="shared" si="0"/>
        <v>0</v>
      </c>
      <c r="L8" s="1534">
        <f t="shared" si="0"/>
        <v>0</v>
      </c>
      <c r="M8" s="1534">
        <f t="shared" si="0"/>
        <v>0</v>
      </c>
      <c r="N8" s="1534">
        <f t="shared" si="0"/>
        <v>0</v>
      </c>
      <c r="O8" s="1534">
        <f t="shared" si="0"/>
        <v>0</v>
      </c>
    </row>
    <row r="9" spans="2:15" ht="21" customHeight="1">
      <c r="B9" s="1086"/>
      <c r="C9" s="1439"/>
      <c r="D9" s="1439"/>
      <c r="E9" s="1439"/>
      <c r="F9" s="1439"/>
      <c r="G9" s="1439"/>
      <c r="H9" s="1439"/>
      <c r="I9" s="1439"/>
      <c r="J9" s="1439"/>
      <c r="K9" s="1439"/>
      <c r="L9" s="1439"/>
      <c r="M9" s="1439"/>
      <c r="N9" s="1439"/>
      <c r="O9" s="1439"/>
    </row>
    <row r="10" spans="2:15" ht="21" customHeight="1">
      <c r="B10" s="1086"/>
      <c r="C10" s="845"/>
      <c r="D10" s="845"/>
      <c r="E10" s="845"/>
      <c r="F10" s="845"/>
      <c r="G10" s="845"/>
      <c r="H10" s="845"/>
      <c r="I10" s="845"/>
      <c r="J10" s="845"/>
      <c r="K10" s="845"/>
      <c r="L10" s="845"/>
      <c r="M10" s="845"/>
      <c r="N10" s="845"/>
      <c r="O10" s="845"/>
    </row>
    <row r="11" spans="2:15" ht="21" customHeight="1">
      <c r="B11" s="1528" t="s">
        <v>641</v>
      </c>
      <c r="C11" s="1529">
        <f>C3</f>
        <v>45292</v>
      </c>
      <c r="D11" s="1529">
        <f t="shared" ref="D11:N11" si="1">D3</f>
        <v>45323</v>
      </c>
      <c r="E11" s="1529">
        <f t="shared" si="1"/>
        <v>45352</v>
      </c>
      <c r="F11" s="1529">
        <f t="shared" si="1"/>
        <v>45383</v>
      </c>
      <c r="G11" s="1529">
        <f t="shared" si="1"/>
        <v>45413</v>
      </c>
      <c r="H11" s="1529">
        <f t="shared" si="1"/>
        <v>45444</v>
      </c>
      <c r="I11" s="1529">
        <f t="shared" si="1"/>
        <v>45474</v>
      </c>
      <c r="J11" s="1529">
        <f t="shared" si="1"/>
        <v>45505</v>
      </c>
      <c r="K11" s="1529">
        <f t="shared" si="1"/>
        <v>45536</v>
      </c>
      <c r="L11" s="1529">
        <f t="shared" si="1"/>
        <v>45566</v>
      </c>
      <c r="M11" s="1529">
        <f t="shared" si="1"/>
        <v>45597</v>
      </c>
      <c r="N11" s="1529">
        <f t="shared" si="1"/>
        <v>45627</v>
      </c>
      <c r="O11" s="1530" t="s">
        <v>3</v>
      </c>
    </row>
    <row r="12" spans="2:15" ht="21" customHeight="1">
      <c r="B12" s="1086" t="str">
        <f>B4</f>
        <v>Mains</v>
      </c>
      <c r="C12" s="1531">
        <v>0</v>
      </c>
      <c r="D12" s="1531">
        <v>0</v>
      </c>
      <c r="E12" s="1531">
        <v>0</v>
      </c>
      <c r="F12" s="1531">
        <v>0</v>
      </c>
      <c r="G12" s="1531">
        <v>0</v>
      </c>
      <c r="H12" s="1531">
        <v>0</v>
      </c>
      <c r="I12" s="1531">
        <v>0</v>
      </c>
      <c r="J12" s="1531">
        <v>0</v>
      </c>
      <c r="K12" s="1531">
        <v>0</v>
      </c>
      <c r="L12" s="1531">
        <v>0</v>
      </c>
      <c r="M12" s="1531">
        <v>0</v>
      </c>
      <c r="N12" s="1531">
        <v>0</v>
      </c>
      <c r="O12" s="1531">
        <f>SUM(C12:N12)</f>
        <v>0</v>
      </c>
    </row>
    <row r="13" spans="2:15" ht="21" customHeight="1">
      <c r="B13" s="1086" t="str">
        <f t="shared" ref="B13:B15" si="2">B5</f>
        <v>Leak Mitigation</v>
      </c>
      <c r="C13" s="1531">
        <v>0</v>
      </c>
      <c r="D13" s="1531">
        <v>0</v>
      </c>
      <c r="E13" s="1531">
        <v>0</v>
      </c>
      <c r="F13" s="1531">
        <v>0</v>
      </c>
      <c r="G13" s="1531">
        <v>0</v>
      </c>
      <c r="H13" s="1531">
        <v>0</v>
      </c>
      <c r="I13" s="1531">
        <v>0</v>
      </c>
      <c r="J13" s="1531">
        <v>0</v>
      </c>
      <c r="K13" s="1531">
        <v>0</v>
      </c>
      <c r="L13" s="1531">
        <v>0</v>
      </c>
      <c r="M13" s="1531">
        <v>0</v>
      </c>
      <c r="N13" s="1531">
        <v>0</v>
      </c>
      <c r="O13" s="1531">
        <f>SUM(C13:N13)</f>
        <v>0</v>
      </c>
    </row>
    <row r="14" spans="2:15" ht="21" customHeight="1">
      <c r="B14" s="1086" t="str">
        <f t="shared" si="2"/>
        <v>Risers</v>
      </c>
      <c r="C14" s="1531">
        <v>0</v>
      </c>
      <c r="D14" s="1531">
        <v>0</v>
      </c>
      <c r="E14" s="1531">
        <v>0</v>
      </c>
      <c r="F14" s="1531">
        <v>0</v>
      </c>
      <c r="G14" s="1531">
        <v>0</v>
      </c>
      <c r="H14" s="1531">
        <v>0</v>
      </c>
      <c r="I14" s="1531">
        <v>0</v>
      </c>
      <c r="J14" s="1531">
        <v>0</v>
      </c>
      <c r="K14" s="1531">
        <v>0</v>
      </c>
      <c r="L14" s="1531">
        <v>0</v>
      </c>
      <c r="M14" s="1531">
        <v>0</v>
      </c>
      <c r="N14" s="1531">
        <v>0</v>
      </c>
      <c r="O14" s="1531">
        <f>SUM(C14:N14)</f>
        <v>0</v>
      </c>
    </row>
    <row r="15" spans="2:15" ht="21" customHeight="1">
      <c r="B15" s="1086" t="str">
        <f t="shared" si="2"/>
        <v>Customer Service Lines</v>
      </c>
      <c r="C15" s="1532">
        <v>0</v>
      </c>
      <c r="D15" s="1532">
        <v>0</v>
      </c>
      <c r="E15" s="1532">
        <v>0</v>
      </c>
      <c r="F15" s="1532">
        <v>0</v>
      </c>
      <c r="G15" s="1532">
        <v>0</v>
      </c>
      <c r="H15" s="1532">
        <v>0</v>
      </c>
      <c r="I15" s="1532">
        <v>0</v>
      </c>
      <c r="J15" s="1532">
        <v>0</v>
      </c>
      <c r="K15" s="1532">
        <v>0</v>
      </c>
      <c r="L15" s="1532">
        <v>0</v>
      </c>
      <c r="M15" s="1532">
        <v>0</v>
      </c>
      <c r="N15" s="1532">
        <v>0</v>
      </c>
      <c r="O15" s="1532">
        <f>SUM(C15:N15)</f>
        <v>0</v>
      </c>
    </row>
    <row r="16" spans="2:15" ht="21" customHeight="1">
      <c r="B16" s="845" t="s">
        <v>3</v>
      </c>
      <c r="C16" s="1534">
        <f t="shared" ref="C16:O16" si="3">SUM(C12:C15)</f>
        <v>0</v>
      </c>
      <c r="D16" s="1534">
        <f t="shared" si="3"/>
        <v>0</v>
      </c>
      <c r="E16" s="1534">
        <f t="shared" si="3"/>
        <v>0</v>
      </c>
      <c r="F16" s="1534">
        <f t="shared" si="3"/>
        <v>0</v>
      </c>
      <c r="G16" s="1534">
        <f t="shared" si="3"/>
        <v>0</v>
      </c>
      <c r="H16" s="1534">
        <f t="shared" si="3"/>
        <v>0</v>
      </c>
      <c r="I16" s="1534">
        <f t="shared" si="3"/>
        <v>0</v>
      </c>
      <c r="J16" s="1534">
        <f t="shared" si="3"/>
        <v>0</v>
      </c>
      <c r="K16" s="1534">
        <f t="shared" si="3"/>
        <v>0</v>
      </c>
      <c r="L16" s="1534">
        <f t="shared" si="3"/>
        <v>0</v>
      </c>
      <c r="M16" s="1534">
        <f t="shared" si="3"/>
        <v>0</v>
      </c>
      <c r="N16" s="1534">
        <f t="shared" si="3"/>
        <v>0</v>
      </c>
      <c r="O16" s="1534">
        <f t="shared" si="3"/>
        <v>0</v>
      </c>
    </row>
    <row r="19" spans="2:17">
      <c r="B19" s="1535"/>
      <c r="D19" s="1536"/>
      <c r="E19" s="1537"/>
      <c r="F19" s="1538"/>
      <c r="G19" s="495"/>
      <c r="H19" s="495"/>
      <c r="I19" s="4"/>
      <c r="J19" s="4"/>
      <c r="N19" s="4"/>
      <c r="O19" s="4"/>
      <c r="P19" s="4"/>
      <c r="Q19" s="4"/>
    </row>
    <row r="20" spans="2:17">
      <c r="B20" s="1535"/>
      <c r="D20" s="1536"/>
      <c r="E20" s="1537"/>
      <c r="F20" s="1538"/>
      <c r="G20" s="495"/>
      <c r="H20" s="495"/>
      <c r="I20" s="4"/>
      <c r="J20" s="4"/>
      <c r="M20" s="4"/>
      <c r="N20" s="4"/>
      <c r="O20" s="4"/>
      <c r="P20" s="4"/>
      <c r="Q20" s="4"/>
    </row>
    <row r="21" spans="2:17">
      <c r="B21" s="1535"/>
      <c r="D21" s="1536"/>
      <c r="E21" s="1537"/>
      <c r="F21" s="1538"/>
      <c r="G21" s="495"/>
      <c r="H21" s="495"/>
      <c r="I21" s="4"/>
      <c r="J21" s="4"/>
      <c r="M21" s="4"/>
      <c r="N21" s="4"/>
      <c r="O21" s="4"/>
      <c r="P21" s="4"/>
      <c r="Q21" s="4"/>
    </row>
    <row r="22" spans="2:17">
      <c r="B22" s="1535"/>
      <c r="D22" s="1536"/>
      <c r="E22" s="1537"/>
      <c r="F22" s="1538"/>
      <c r="G22" s="495"/>
      <c r="H22" s="495"/>
      <c r="I22" s="4"/>
      <c r="J22" s="4"/>
      <c r="M22" s="4"/>
      <c r="N22" s="4"/>
      <c r="O22" s="4"/>
      <c r="P22" s="4"/>
      <c r="Q22" s="4"/>
    </row>
    <row r="23" spans="2:17">
      <c r="B23" s="1535"/>
      <c r="D23" s="1536"/>
      <c r="E23" s="1537"/>
      <c r="F23" s="1538"/>
      <c r="G23" s="495"/>
      <c r="H23" s="495"/>
      <c r="I23" s="4"/>
      <c r="M23" s="4"/>
      <c r="N23" s="4"/>
      <c r="O23" s="4"/>
      <c r="P23" s="4"/>
      <c r="Q23" s="4"/>
    </row>
    <row r="24" spans="2:17">
      <c r="B24" s="1535"/>
      <c r="D24" s="1536"/>
      <c r="E24" s="1539"/>
      <c r="F24" s="1538"/>
      <c r="G24" s="495"/>
      <c r="H24" s="495"/>
      <c r="I24" s="4"/>
      <c r="J24" s="4"/>
      <c r="M24" s="4"/>
      <c r="N24" s="4"/>
      <c r="O24" s="4"/>
      <c r="P24" s="4"/>
      <c r="Q24" s="4"/>
    </row>
    <row r="25" spans="2:17">
      <c r="B25" s="1535"/>
      <c r="D25" s="1536"/>
      <c r="E25" s="1539"/>
      <c r="F25" s="1538"/>
      <c r="G25" s="495"/>
      <c r="H25" s="495"/>
      <c r="I25" s="4"/>
      <c r="J25" s="4"/>
      <c r="M25" s="4"/>
      <c r="N25" s="4"/>
      <c r="O25" s="4"/>
      <c r="P25" s="4"/>
      <c r="Q25" s="4"/>
    </row>
    <row r="26" spans="2:17">
      <c r="B26" s="1535"/>
      <c r="D26" s="1536"/>
      <c r="E26" s="1539"/>
      <c r="F26" s="1538"/>
      <c r="G26" s="495"/>
      <c r="H26" s="495"/>
      <c r="I26" s="4"/>
      <c r="J26" s="4"/>
      <c r="M26" s="4"/>
      <c r="N26" s="4"/>
      <c r="O26" s="4"/>
      <c r="P26" s="4"/>
      <c r="Q26" s="4"/>
    </row>
    <row r="27" spans="2:17">
      <c r="B27" s="1535"/>
      <c r="D27" s="1536"/>
      <c r="E27" s="1539"/>
      <c r="F27" s="1540"/>
      <c r="G27" s="1414"/>
      <c r="H27" s="1414"/>
      <c r="I27" s="4"/>
      <c r="J27" s="4"/>
      <c r="M27" s="4"/>
      <c r="N27" s="4"/>
      <c r="O27" s="4"/>
      <c r="P27" s="4"/>
      <c r="Q27" s="4"/>
    </row>
    <row r="28" spans="2:17">
      <c r="B28" s="1535"/>
      <c r="D28" s="1536"/>
      <c r="E28" s="1539"/>
      <c r="F28" s="1540"/>
      <c r="G28" s="1414"/>
      <c r="H28" s="1414"/>
      <c r="I28" s="4"/>
      <c r="J28" s="4"/>
      <c r="M28" s="4"/>
      <c r="N28" s="4"/>
      <c r="O28" s="4"/>
      <c r="P28" s="4"/>
      <c r="Q28" s="4"/>
    </row>
    <row r="29" spans="2:17">
      <c r="B29" s="1535"/>
      <c r="D29" s="1536"/>
      <c r="E29" s="1539"/>
      <c r="F29" s="1540"/>
      <c r="G29" s="1414"/>
      <c r="H29" s="1414"/>
      <c r="I29" s="4"/>
      <c r="J29" s="4"/>
      <c r="M29" s="4"/>
      <c r="N29" s="4"/>
      <c r="O29" s="4"/>
      <c r="P29" s="4"/>
      <c r="Q29" s="4"/>
    </row>
    <row r="30" spans="2:17" ht="18">
      <c r="B30" s="1535"/>
      <c r="D30" s="1536"/>
      <c r="E30" s="1539"/>
      <c r="F30" s="1541"/>
      <c r="G30" s="1542"/>
      <c r="H30" s="1542"/>
      <c r="I30" s="1543"/>
      <c r="J30" s="398"/>
      <c r="M30" s="4"/>
      <c r="N30" s="4"/>
      <c r="O30" s="4"/>
      <c r="P30" s="4"/>
      <c r="Q30" s="4"/>
    </row>
    <row r="31" spans="2:17">
      <c r="C31" s="1544"/>
      <c r="D31" s="4"/>
      <c r="E31" s="1545"/>
      <c r="F31" s="1546"/>
      <c r="G31" s="1546"/>
      <c r="H31" s="1546"/>
      <c r="I31" s="1547"/>
      <c r="J31" s="1548"/>
      <c r="M31" s="4"/>
      <c r="N31" s="4"/>
      <c r="O31" s="4"/>
      <c r="P31" s="4"/>
      <c r="Q31" s="4"/>
    </row>
    <row r="32" spans="2:17">
      <c r="B32" s="1544"/>
      <c r="C32" s="4"/>
      <c r="D32" s="1545"/>
      <c r="E32" s="1214"/>
      <c r="F32" s="1549"/>
      <c r="G32" s="1550"/>
      <c r="H32" s="1550"/>
      <c r="I32" s="4"/>
      <c r="J32" s="4"/>
      <c r="M32" s="4"/>
      <c r="N32" s="4"/>
      <c r="O32" s="4"/>
      <c r="P32" s="4"/>
      <c r="Q32" s="4"/>
    </row>
    <row r="33" spans="2:10">
      <c r="B33" s="1544"/>
      <c r="C33" s="4"/>
      <c r="D33" s="1545"/>
      <c r="E33" s="1214"/>
      <c r="F33" s="1549"/>
      <c r="G33" s="1550"/>
      <c r="H33" s="1550"/>
      <c r="I33" s="4"/>
      <c r="J33" s="4"/>
    </row>
    <row r="34" spans="2:10">
      <c r="B34" s="1544"/>
      <c r="C34" s="4"/>
      <c r="D34" s="1545"/>
      <c r="E34" s="1214"/>
      <c r="F34" s="1549"/>
      <c r="G34" s="1550"/>
      <c r="H34" s="1550"/>
      <c r="I34" s="4"/>
      <c r="J34" s="4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35"/>
  <sheetViews>
    <sheetView tabSelected="1" view="pageBreakPreview" zoomScaleNormal="100" zoomScaleSheetLayoutView="100" workbookViewId="0"/>
  </sheetViews>
  <sheetFormatPr defaultRowHeight="15.75"/>
  <cols>
    <col min="1" max="1" width="9.140625" style="253"/>
    <col min="2" max="2" width="2.42578125" style="253" customWidth="1"/>
    <col min="3" max="3" width="12" style="253" customWidth="1"/>
    <col min="4" max="8" width="12.140625" style="253" customWidth="1"/>
    <col min="9" max="9" width="12" style="253" customWidth="1"/>
    <col min="10" max="10" width="2.140625" style="253" customWidth="1"/>
    <col min="11" max="257" width="9.140625" style="253"/>
    <col min="258" max="258" width="2.42578125" style="253" customWidth="1"/>
    <col min="259" max="265" width="12.140625" style="253" customWidth="1"/>
    <col min="266" max="266" width="2.140625" style="253" customWidth="1"/>
    <col min="267" max="513" width="9.140625" style="253"/>
    <col min="514" max="514" width="2.42578125" style="253" customWidth="1"/>
    <col min="515" max="521" width="12.140625" style="253" customWidth="1"/>
    <col min="522" max="522" width="2.140625" style="253" customWidth="1"/>
    <col min="523" max="769" width="9.140625" style="253"/>
    <col min="770" max="770" width="2.42578125" style="253" customWidth="1"/>
    <col min="771" max="777" width="12.140625" style="253" customWidth="1"/>
    <col min="778" max="778" width="2.140625" style="253" customWidth="1"/>
    <col min="779" max="1025" width="9.140625" style="253"/>
    <col min="1026" max="1026" width="2.42578125" style="253" customWidth="1"/>
    <col min="1027" max="1033" width="12.140625" style="253" customWidth="1"/>
    <col min="1034" max="1034" width="2.140625" style="253" customWidth="1"/>
    <col min="1035" max="1281" width="9.140625" style="253"/>
    <col min="1282" max="1282" width="2.42578125" style="253" customWidth="1"/>
    <col min="1283" max="1289" width="12.140625" style="253" customWidth="1"/>
    <col min="1290" max="1290" width="2.140625" style="253" customWidth="1"/>
    <col min="1291" max="1537" width="9.140625" style="253"/>
    <col min="1538" max="1538" width="2.42578125" style="253" customWidth="1"/>
    <col min="1539" max="1545" width="12.140625" style="253" customWidth="1"/>
    <col min="1546" max="1546" width="2.140625" style="253" customWidth="1"/>
    <col min="1547" max="1793" width="9.140625" style="253"/>
    <col min="1794" max="1794" width="2.42578125" style="253" customWidth="1"/>
    <col min="1795" max="1801" width="12.140625" style="253" customWidth="1"/>
    <col min="1802" max="1802" width="2.140625" style="253" customWidth="1"/>
    <col min="1803" max="2049" width="9.140625" style="253"/>
    <col min="2050" max="2050" width="2.42578125" style="253" customWidth="1"/>
    <col min="2051" max="2057" width="12.140625" style="253" customWidth="1"/>
    <col min="2058" max="2058" width="2.140625" style="253" customWidth="1"/>
    <col min="2059" max="2305" width="9.140625" style="253"/>
    <col min="2306" max="2306" width="2.42578125" style="253" customWidth="1"/>
    <col min="2307" max="2313" width="12.140625" style="253" customWidth="1"/>
    <col min="2314" max="2314" width="2.140625" style="253" customWidth="1"/>
    <col min="2315" max="2561" width="9.140625" style="253"/>
    <col min="2562" max="2562" width="2.42578125" style="253" customWidth="1"/>
    <col min="2563" max="2569" width="12.140625" style="253" customWidth="1"/>
    <col min="2570" max="2570" width="2.140625" style="253" customWidth="1"/>
    <col min="2571" max="2817" width="9.140625" style="253"/>
    <col min="2818" max="2818" width="2.42578125" style="253" customWidth="1"/>
    <col min="2819" max="2825" width="12.140625" style="253" customWidth="1"/>
    <col min="2826" max="2826" width="2.140625" style="253" customWidth="1"/>
    <col min="2827" max="3073" width="9.140625" style="253"/>
    <col min="3074" max="3074" width="2.42578125" style="253" customWidth="1"/>
    <col min="3075" max="3081" width="12.140625" style="253" customWidth="1"/>
    <col min="3082" max="3082" width="2.140625" style="253" customWidth="1"/>
    <col min="3083" max="3329" width="9.140625" style="253"/>
    <col min="3330" max="3330" width="2.42578125" style="253" customWidth="1"/>
    <col min="3331" max="3337" width="12.140625" style="253" customWidth="1"/>
    <col min="3338" max="3338" width="2.140625" style="253" customWidth="1"/>
    <col min="3339" max="3585" width="9.140625" style="253"/>
    <col min="3586" max="3586" width="2.42578125" style="253" customWidth="1"/>
    <col min="3587" max="3593" width="12.140625" style="253" customWidth="1"/>
    <col min="3594" max="3594" width="2.140625" style="253" customWidth="1"/>
    <col min="3595" max="3841" width="9.140625" style="253"/>
    <col min="3842" max="3842" width="2.42578125" style="253" customWidth="1"/>
    <col min="3843" max="3849" width="12.140625" style="253" customWidth="1"/>
    <col min="3850" max="3850" width="2.140625" style="253" customWidth="1"/>
    <col min="3851" max="4097" width="9.140625" style="253"/>
    <col min="4098" max="4098" width="2.42578125" style="253" customWidth="1"/>
    <col min="4099" max="4105" width="12.140625" style="253" customWidth="1"/>
    <col min="4106" max="4106" width="2.140625" style="253" customWidth="1"/>
    <col min="4107" max="4353" width="9.140625" style="253"/>
    <col min="4354" max="4354" width="2.42578125" style="253" customWidth="1"/>
    <col min="4355" max="4361" width="12.140625" style="253" customWidth="1"/>
    <col min="4362" max="4362" width="2.140625" style="253" customWidth="1"/>
    <col min="4363" max="4609" width="9.140625" style="253"/>
    <col min="4610" max="4610" width="2.42578125" style="253" customWidth="1"/>
    <col min="4611" max="4617" width="12.140625" style="253" customWidth="1"/>
    <col min="4618" max="4618" width="2.140625" style="253" customWidth="1"/>
    <col min="4619" max="4865" width="9.140625" style="253"/>
    <col min="4866" max="4866" width="2.42578125" style="253" customWidth="1"/>
    <col min="4867" max="4873" width="12.140625" style="253" customWidth="1"/>
    <col min="4874" max="4874" width="2.140625" style="253" customWidth="1"/>
    <col min="4875" max="5121" width="9.140625" style="253"/>
    <col min="5122" max="5122" width="2.42578125" style="253" customWidth="1"/>
    <col min="5123" max="5129" width="12.140625" style="253" customWidth="1"/>
    <col min="5130" max="5130" width="2.140625" style="253" customWidth="1"/>
    <col min="5131" max="5377" width="9.140625" style="253"/>
    <col min="5378" max="5378" width="2.42578125" style="253" customWidth="1"/>
    <col min="5379" max="5385" width="12.140625" style="253" customWidth="1"/>
    <col min="5386" max="5386" width="2.140625" style="253" customWidth="1"/>
    <col min="5387" max="5633" width="9.140625" style="253"/>
    <col min="5634" max="5634" width="2.42578125" style="253" customWidth="1"/>
    <col min="5635" max="5641" width="12.140625" style="253" customWidth="1"/>
    <col min="5642" max="5642" width="2.140625" style="253" customWidth="1"/>
    <col min="5643" max="5889" width="9.140625" style="253"/>
    <col min="5890" max="5890" width="2.42578125" style="253" customWidth="1"/>
    <col min="5891" max="5897" width="12.140625" style="253" customWidth="1"/>
    <col min="5898" max="5898" width="2.140625" style="253" customWidth="1"/>
    <col min="5899" max="6145" width="9.140625" style="253"/>
    <col min="6146" max="6146" width="2.42578125" style="253" customWidth="1"/>
    <col min="6147" max="6153" width="12.140625" style="253" customWidth="1"/>
    <col min="6154" max="6154" width="2.140625" style="253" customWidth="1"/>
    <col min="6155" max="6401" width="9.140625" style="253"/>
    <col min="6402" max="6402" width="2.42578125" style="253" customWidth="1"/>
    <col min="6403" max="6409" width="12.140625" style="253" customWidth="1"/>
    <col min="6410" max="6410" width="2.140625" style="253" customWidth="1"/>
    <col min="6411" max="6657" width="9.140625" style="253"/>
    <col min="6658" max="6658" width="2.42578125" style="253" customWidth="1"/>
    <col min="6659" max="6665" width="12.140625" style="253" customWidth="1"/>
    <col min="6666" max="6666" width="2.140625" style="253" customWidth="1"/>
    <col min="6667" max="6913" width="9.140625" style="253"/>
    <col min="6914" max="6914" width="2.42578125" style="253" customWidth="1"/>
    <col min="6915" max="6921" width="12.140625" style="253" customWidth="1"/>
    <col min="6922" max="6922" width="2.140625" style="253" customWidth="1"/>
    <col min="6923" max="7169" width="9.140625" style="253"/>
    <col min="7170" max="7170" width="2.42578125" style="253" customWidth="1"/>
    <col min="7171" max="7177" width="12.140625" style="253" customWidth="1"/>
    <col min="7178" max="7178" width="2.140625" style="253" customWidth="1"/>
    <col min="7179" max="7425" width="9.140625" style="253"/>
    <col min="7426" max="7426" width="2.42578125" style="253" customWidth="1"/>
    <col min="7427" max="7433" width="12.140625" style="253" customWidth="1"/>
    <col min="7434" max="7434" width="2.140625" style="253" customWidth="1"/>
    <col min="7435" max="7681" width="9.140625" style="253"/>
    <col min="7682" max="7682" width="2.42578125" style="253" customWidth="1"/>
    <col min="7683" max="7689" width="12.140625" style="253" customWidth="1"/>
    <col min="7690" max="7690" width="2.140625" style="253" customWidth="1"/>
    <col min="7691" max="7937" width="9.140625" style="253"/>
    <col min="7938" max="7938" width="2.42578125" style="253" customWidth="1"/>
    <col min="7939" max="7945" width="12.140625" style="253" customWidth="1"/>
    <col min="7946" max="7946" width="2.140625" style="253" customWidth="1"/>
    <col min="7947" max="8193" width="9.140625" style="253"/>
    <col min="8194" max="8194" width="2.42578125" style="253" customWidth="1"/>
    <col min="8195" max="8201" width="12.140625" style="253" customWidth="1"/>
    <col min="8202" max="8202" width="2.140625" style="253" customWidth="1"/>
    <col min="8203" max="8449" width="9.140625" style="253"/>
    <col min="8450" max="8450" width="2.42578125" style="253" customWidth="1"/>
    <col min="8451" max="8457" width="12.140625" style="253" customWidth="1"/>
    <col min="8458" max="8458" width="2.140625" style="253" customWidth="1"/>
    <col min="8459" max="8705" width="9.140625" style="253"/>
    <col min="8706" max="8706" width="2.42578125" style="253" customWidth="1"/>
    <col min="8707" max="8713" width="12.140625" style="253" customWidth="1"/>
    <col min="8714" max="8714" width="2.140625" style="253" customWidth="1"/>
    <col min="8715" max="8961" width="9.140625" style="253"/>
    <col min="8962" max="8962" width="2.42578125" style="253" customWidth="1"/>
    <col min="8963" max="8969" width="12.140625" style="253" customWidth="1"/>
    <col min="8970" max="8970" width="2.140625" style="253" customWidth="1"/>
    <col min="8971" max="9217" width="9.140625" style="253"/>
    <col min="9218" max="9218" width="2.42578125" style="253" customWidth="1"/>
    <col min="9219" max="9225" width="12.140625" style="253" customWidth="1"/>
    <col min="9226" max="9226" width="2.140625" style="253" customWidth="1"/>
    <col min="9227" max="9473" width="9.140625" style="253"/>
    <col min="9474" max="9474" width="2.42578125" style="253" customWidth="1"/>
    <col min="9475" max="9481" width="12.140625" style="253" customWidth="1"/>
    <col min="9482" max="9482" width="2.140625" style="253" customWidth="1"/>
    <col min="9483" max="9729" width="9.140625" style="253"/>
    <col min="9730" max="9730" width="2.42578125" style="253" customWidth="1"/>
    <col min="9731" max="9737" width="12.140625" style="253" customWidth="1"/>
    <col min="9738" max="9738" width="2.140625" style="253" customWidth="1"/>
    <col min="9739" max="9985" width="9.140625" style="253"/>
    <col min="9986" max="9986" width="2.42578125" style="253" customWidth="1"/>
    <col min="9987" max="9993" width="12.140625" style="253" customWidth="1"/>
    <col min="9994" max="9994" width="2.140625" style="253" customWidth="1"/>
    <col min="9995" max="10241" width="9.140625" style="253"/>
    <col min="10242" max="10242" width="2.42578125" style="253" customWidth="1"/>
    <col min="10243" max="10249" width="12.140625" style="253" customWidth="1"/>
    <col min="10250" max="10250" width="2.140625" style="253" customWidth="1"/>
    <col min="10251" max="10497" width="9.140625" style="253"/>
    <col min="10498" max="10498" width="2.42578125" style="253" customWidth="1"/>
    <col min="10499" max="10505" width="12.140625" style="253" customWidth="1"/>
    <col min="10506" max="10506" width="2.140625" style="253" customWidth="1"/>
    <col min="10507" max="10753" width="9.140625" style="253"/>
    <col min="10754" max="10754" width="2.42578125" style="253" customWidth="1"/>
    <col min="10755" max="10761" width="12.140625" style="253" customWidth="1"/>
    <col min="10762" max="10762" width="2.140625" style="253" customWidth="1"/>
    <col min="10763" max="11009" width="9.140625" style="253"/>
    <col min="11010" max="11010" width="2.42578125" style="253" customWidth="1"/>
    <col min="11011" max="11017" width="12.140625" style="253" customWidth="1"/>
    <col min="11018" max="11018" width="2.140625" style="253" customWidth="1"/>
    <col min="11019" max="11265" width="9.140625" style="253"/>
    <col min="11266" max="11266" width="2.42578125" style="253" customWidth="1"/>
    <col min="11267" max="11273" width="12.140625" style="253" customWidth="1"/>
    <col min="11274" max="11274" width="2.140625" style="253" customWidth="1"/>
    <col min="11275" max="11521" width="9.140625" style="253"/>
    <col min="11522" max="11522" width="2.42578125" style="253" customWidth="1"/>
    <col min="11523" max="11529" width="12.140625" style="253" customWidth="1"/>
    <col min="11530" max="11530" width="2.140625" style="253" customWidth="1"/>
    <col min="11531" max="11777" width="9.140625" style="253"/>
    <col min="11778" max="11778" width="2.42578125" style="253" customWidth="1"/>
    <col min="11779" max="11785" width="12.140625" style="253" customWidth="1"/>
    <col min="11786" max="11786" width="2.140625" style="253" customWidth="1"/>
    <col min="11787" max="12033" width="9.140625" style="253"/>
    <col min="12034" max="12034" width="2.42578125" style="253" customWidth="1"/>
    <col min="12035" max="12041" width="12.140625" style="253" customWidth="1"/>
    <col min="12042" max="12042" width="2.140625" style="253" customWidth="1"/>
    <col min="12043" max="12289" width="9.140625" style="253"/>
    <col min="12290" max="12290" width="2.42578125" style="253" customWidth="1"/>
    <col min="12291" max="12297" width="12.140625" style="253" customWidth="1"/>
    <col min="12298" max="12298" width="2.140625" style="253" customWidth="1"/>
    <col min="12299" max="12545" width="9.140625" style="253"/>
    <col min="12546" max="12546" width="2.42578125" style="253" customWidth="1"/>
    <col min="12547" max="12553" width="12.140625" style="253" customWidth="1"/>
    <col min="12554" max="12554" width="2.140625" style="253" customWidth="1"/>
    <col min="12555" max="12801" width="9.140625" style="253"/>
    <col min="12802" max="12802" width="2.42578125" style="253" customWidth="1"/>
    <col min="12803" max="12809" width="12.140625" style="253" customWidth="1"/>
    <col min="12810" max="12810" width="2.140625" style="253" customWidth="1"/>
    <col min="12811" max="13057" width="9.140625" style="253"/>
    <col min="13058" max="13058" width="2.42578125" style="253" customWidth="1"/>
    <col min="13059" max="13065" width="12.140625" style="253" customWidth="1"/>
    <col min="13066" max="13066" width="2.140625" style="253" customWidth="1"/>
    <col min="13067" max="13313" width="9.140625" style="253"/>
    <col min="13314" max="13314" width="2.42578125" style="253" customWidth="1"/>
    <col min="13315" max="13321" width="12.140625" style="253" customWidth="1"/>
    <col min="13322" max="13322" width="2.140625" style="253" customWidth="1"/>
    <col min="13323" max="13569" width="9.140625" style="253"/>
    <col min="13570" max="13570" width="2.42578125" style="253" customWidth="1"/>
    <col min="13571" max="13577" width="12.140625" style="253" customWidth="1"/>
    <col min="13578" max="13578" width="2.140625" style="253" customWidth="1"/>
    <col min="13579" max="13825" width="9.140625" style="253"/>
    <col min="13826" max="13826" width="2.42578125" style="253" customWidth="1"/>
    <col min="13827" max="13833" width="12.140625" style="253" customWidth="1"/>
    <col min="13834" max="13834" width="2.140625" style="253" customWidth="1"/>
    <col min="13835" max="14081" width="9.140625" style="253"/>
    <col min="14082" max="14082" width="2.42578125" style="253" customWidth="1"/>
    <col min="14083" max="14089" width="12.140625" style="253" customWidth="1"/>
    <col min="14090" max="14090" width="2.140625" style="253" customWidth="1"/>
    <col min="14091" max="14337" width="9.140625" style="253"/>
    <col min="14338" max="14338" width="2.42578125" style="253" customWidth="1"/>
    <col min="14339" max="14345" width="12.140625" style="253" customWidth="1"/>
    <col min="14346" max="14346" width="2.140625" style="253" customWidth="1"/>
    <col min="14347" max="14593" width="9.140625" style="253"/>
    <col min="14594" max="14594" width="2.42578125" style="253" customWidth="1"/>
    <col min="14595" max="14601" width="12.140625" style="253" customWidth="1"/>
    <col min="14602" max="14602" width="2.140625" style="253" customWidth="1"/>
    <col min="14603" max="14849" width="9.140625" style="253"/>
    <col min="14850" max="14850" width="2.42578125" style="253" customWidth="1"/>
    <col min="14851" max="14857" width="12.140625" style="253" customWidth="1"/>
    <col min="14858" max="14858" width="2.140625" style="253" customWidth="1"/>
    <col min="14859" max="15105" width="9.140625" style="253"/>
    <col min="15106" max="15106" width="2.42578125" style="253" customWidth="1"/>
    <col min="15107" max="15113" width="12.140625" style="253" customWidth="1"/>
    <col min="15114" max="15114" width="2.140625" style="253" customWidth="1"/>
    <col min="15115" max="15361" width="9.140625" style="253"/>
    <col min="15362" max="15362" width="2.42578125" style="253" customWidth="1"/>
    <col min="15363" max="15369" width="12.140625" style="253" customWidth="1"/>
    <col min="15370" max="15370" width="2.140625" style="253" customWidth="1"/>
    <col min="15371" max="15617" width="9.140625" style="253"/>
    <col min="15618" max="15618" width="2.42578125" style="253" customWidth="1"/>
    <col min="15619" max="15625" width="12.140625" style="253" customWidth="1"/>
    <col min="15626" max="15626" width="2.140625" style="253" customWidth="1"/>
    <col min="15627" max="15873" width="9.140625" style="253"/>
    <col min="15874" max="15874" width="2.42578125" style="253" customWidth="1"/>
    <col min="15875" max="15881" width="12.140625" style="253" customWidth="1"/>
    <col min="15882" max="15882" width="2.140625" style="253" customWidth="1"/>
    <col min="15883" max="16129" width="9.140625" style="253"/>
    <col min="16130" max="16130" width="2.42578125" style="253" customWidth="1"/>
    <col min="16131" max="16137" width="12.140625" style="253" customWidth="1"/>
    <col min="16138" max="16138" width="2.140625" style="253" customWidth="1"/>
    <col min="16139" max="16384" width="9.140625" style="253"/>
  </cols>
  <sheetData>
    <row r="1" spans="2:9" ht="18.75">
      <c r="B1" s="1203"/>
      <c r="C1" s="1203"/>
      <c r="D1" s="1203"/>
      <c r="E1" s="1203"/>
      <c r="F1" s="1203"/>
      <c r="G1" s="1203"/>
      <c r="H1" s="1203"/>
      <c r="I1" s="1203"/>
    </row>
    <row r="2" spans="2:9" ht="20.25" customHeight="1">
      <c r="B2" s="1203"/>
      <c r="C2" s="1203"/>
      <c r="D2" s="1203"/>
      <c r="E2" s="1203"/>
      <c r="F2" s="1203"/>
      <c r="G2" s="1203"/>
      <c r="H2" s="1203"/>
      <c r="I2" s="1203"/>
    </row>
    <row r="3" spans="2:9" ht="20.25" customHeight="1"/>
    <row r="4" spans="2:9" ht="20.25" customHeight="1"/>
    <row r="5" spans="2:9" ht="20.25" customHeight="1"/>
    <row r="6" spans="2:9" ht="20.25" customHeight="1"/>
    <row r="7" spans="2:9" ht="20.25" customHeight="1"/>
    <row r="8" spans="2:9" ht="20.25" customHeight="1">
      <c r="D8" s="1552" t="s">
        <v>669</v>
      </c>
      <c r="E8" s="1552"/>
      <c r="F8" s="1552"/>
      <c r="G8" s="1552"/>
      <c r="H8" s="1552"/>
      <c r="I8" s="1202"/>
    </row>
    <row r="9" spans="2:9" ht="20.25" customHeight="1">
      <c r="D9" s="1552" t="s">
        <v>961</v>
      </c>
      <c r="E9" s="1552"/>
      <c r="F9" s="1552"/>
      <c r="G9" s="1552"/>
      <c r="H9" s="1552"/>
      <c r="I9" s="1202"/>
    </row>
    <row r="10" spans="2:9" ht="20.25" customHeight="1">
      <c r="I10" s="1202"/>
    </row>
    <row r="11" spans="2:9" ht="20.25" customHeight="1"/>
    <row r="12" spans="2:9" ht="20.25" customHeight="1">
      <c r="D12" s="1552" t="s">
        <v>1071</v>
      </c>
      <c r="E12" s="1552"/>
      <c r="F12" s="1552"/>
      <c r="G12" s="1552"/>
      <c r="H12" s="1552"/>
    </row>
    <row r="13" spans="2:9" ht="20.25" customHeight="1">
      <c r="D13" s="1551"/>
      <c r="E13" s="1551"/>
      <c r="F13" s="1551"/>
      <c r="G13" s="1551"/>
      <c r="H13" s="1551"/>
    </row>
    <row r="14" spans="2:9" ht="20.25" customHeight="1"/>
    <row r="15" spans="2:9" ht="20.25" customHeight="1">
      <c r="D15" s="1552" t="s">
        <v>422</v>
      </c>
      <c r="E15" s="1552"/>
      <c r="F15" s="1552"/>
      <c r="G15" s="1552"/>
      <c r="H15" s="1552"/>
      <c r="I15" s="1202"/>
    </row>
    <row r="16" spans="2:9" ht="20.25" customHeight="1">
      <c r="D16" s="1552" t="s">
        <v>423</v>
      </c>
      <c r="E16" s="1552"/>
      <c r="F16" s="1552"/>
      <c r="G16" s="1552"/>
      <c r="H16" s="1552"/>
    </row>
    <row r="17" spans="2:9" ht="20.25" customHeight="1">
      <c r="I17" s="1202"/>
    </row>
    <row r="18" spans="2:9" ht="20.25" customHeight="1"/>
    <row r="19" spans="2:9" ht="20.25" customHeight="1"/>
    <row r="20" spans="2:9" ht="20.25" customHeight="1"/>
    <row r="21" spans="2:9" ht="20.25" customHeight="1">
      <c r="D21" s="1551"/>
      <c r="E21" s="1551"/>
      <c r="F21" s="1551"/>
      <c r="G21" s="1551"/>
      <c r="H21" s="1551"/>
    </row>
    <row r="22" spans="2:9" ht="20.25" customHeight="1">
      <c r="D22" s="1551"/>
      <c r="E22" s="1551"/>
      <c r="F22" s="1551"/>
      <c r="G22" s="1551"/>
      <c r="H22" s="1551"/>
    </row>
    <row r="23" spans="2:9" ht="20.25" customHeight="1"/>
    <row r="24" spans="2:9" ht="20.25" customHeight="1"/>
    <row r="25" spans="2:9" ht="20.25" customHeight="1"/>
    <row r="26" spans="2:9" ht="20.25" customHeight="1"/>
    <row r="27" spans="2:9" ht="20.25" customHeight="1"/>
    <row r="28" spans="2:9" ht="20.25" customHeight="1"/>
    <row r="29" spans="2:9" ht="20.25" customHeight="1"/>
    <row r="31" spans="2:9" ht="18.75">
      <c r="B31" s="1203"/>
      <c r="C31" s="1203"/>
      <c r="D31" s="1203"/>
      <c r="E31" s="1203"/>
      <c r="F31" s="1203"/>
      <c r="G31" s="1203"/>
      <c r="H31" s="1203"/>
      <c r="I31" s="1203"/>
    </row>
    <row r="32" spans="2:9" ht="18.75">
      <c r="B32" s="1203"/>
      <c r="C32" s="1203"/>
      <c r="D32" s="1203"/>
      <c r="E32" s="1203"/>
      <c r="F32" s="1203"/>
      <c r="G32" s="1203"/>
      <c r="H32" s="1203"/>
      <c r="I32" s="1203"/>
    </row>
    <row r="33" spans="2:9" ht="18.75">
      <c r="B33" s="1203"/>
      <c r="C33" s="1203"/>
      <c r="D33" s="1203"/>
      <c r="E33" s="1203"/>
      <c r="F33" s="1203"/>
      <c r="G33" s="1203"/>
      <c r="H33" s="1203"/>
      <c r="I33" s="1203"/>
    </row>
    <row r="34" spans="2:9" ht="18.75">
      <c r="B34" s="1203"/>
      <c r="C34" s="1203"/>
      <c r="D34" s="1203"/>
      <c r="E34" s="1203"/>
      <c r="F34" s="1203"/>
      <c r="G34" s="1203"/>
      <c r="H34" s="1203"/>
      <c r="I34" s="1203"/>
    </row>
    <row r="35" spans="2:9" ht="18.75">
      <c r="B35" s="1203"/>
      <c r="C35" s="1203"/>
      <c r="D35" s="1203"/>
      <c r="E35" s="1203"/>
      <c r="F35" s="1203"/>
      <c r="G35" s="1203"/>
      <c r="H35" s="1203"/>
      <c r="I35" s="1203"/>
    </row>
  </sheetData>
  <mergeCells count="8">
    <mergeCell ref="D22:H22"/>
    <mergeCell ref="D13:H13"/>
    <mergeCell ref="D21:H21"/>
    <mergeCell ref="D8:H8"/>
    <mergeCell ref="D9:H9"/>
    <mergeCell ref="D12:H12"/>
    <mergeCell ref="D15:H15"/>
    <mergeCell ref="D16:H16"/>
  </mergeCells>
  <printOptions horizontalCentered="1"/>
  <pageMargins left="0.5" right="0.5" top="0.75" bottom="0.75" header="0.3" footer="0.3"/>
  <pageSetup orientation="portrait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10095-F9D6-4CF2-9145-8D62B4756629}">
  <sheetPr>
    <tabColor rgb="FFD8E4BC"/>
    <pageSetUpPr fitToPage="1"/>
  </sheetPr>
  <dimension ref="A1:Q75"/>
  <sheetViews>
    <sheetView showGridLines="0" zoomScale="90" zoomScaleNormal="90" workbookViewId="0">
      <selection sqref="A1:H1"/>
    </sheetView>
  </sheetViews>
  <sheetFormatPr defaultColWidth="9.140625" defaultRowHeight="15.75"/>
  <cols>
    <col min="1" max="1" width="20.42578125" style="601" bestFit="1" customWidth="1"/>
    <col min="2" max="2" width="21.140625" style="601" customWidth="1"/>
    <col min="3" max="3" width="16.85546875" style="601" customWidth="1"/>
    <col min="4" max="4" width="16.85546875" style="497" customWidth="1"/>
    <col min="5" max="14" width="16.85546875" style="601" customWidth="1"/>
    <col min="15" max="15" width="21.28515625" style="601" customWidth="1"/>
    <col min="16" max="16" width="14.7109375" style="601" bestFit="1" customWidth="1"/>
    <col min="17" max="17" width="12.7109375" style="601" bestFit="1" customWidth="1"/>
    <col min="18" max="16384" width="9.140625" style="601"/>
  </cols>
  <sheetData>
    <row r="1" spans="1:14">
      <c r="A1" s="1575" t="s">
        <v>669</v>
      </c>
      <c r="B1" s="1575"/>
      <c r="C1" s="1575"/>
      <c r="D1" s="1575"/>
      <c r="E1" s="1575"/>
      <c r="F1" s="1575"/>
      <c r="G1" s="1575"/>
      <c r="H1" s="1575"/>
    </row>
    <row r="2" spans="1:14">
      <c r="A2" s="1575" t="s">
        <v>670</v>
      </c>
      <c r="B2" s="1575"/>
      <c r="C2" s="1575"/>
      <c r="D2" s="1575"/>
      <c r="E2" s="1575"/>
      <c r="F2" s="1575"/>
      <c r="G2" s="1575"/>
      <c r="H2" s="1575"/>
    </row>
    <row r="3" spans="1:14">
      <c r="A3" s="1575" t="s">
        <v>671</v>
      </c>
      <c r="B3" s="1575"/>
      <c r="C3" s="1575"/>
      <c r="D3" s="1575"/>
      <c r="E3" s="1575"/>
      <c r="F3" s="1575"/>
      <c r="G3" s="1575"/>
      <c r="H3" s="1575"/>
    </row>
    <row r="4" spans="1:14">
      <c r="A4" s="1576" t="s">
        <v>951</v>
      </c>
      <c r="B4" s="1575"/>
      <c r="C4" s="1575"/>
      <c r="D4" s="1575"/>
      <c r="E4" s="1575"/>
      <c r="F4" s="1575"/>
      <c r="G4" s="1575"/>
      <c r="H4" s="1575"/>
    </row>
    <row r="5" spans="1:14">
      <c r="A5" s="1015"/>
      <c r="B5" s="1015"/>
      <c r="C5" s="1015"/>
      <c r="D5" s="1016"/>
      <c r="E5" s="1015"/>
      <c r="F5" s="1015"/>
      <c r="G5" s="1015"/>
      <c r="H5" s="1015"/>
    </row>
    <row r="6" spans="1:14">
      <c r="A6" s="603"/>
      <c r="B6" s="1026" t="s">
        <v>672</v>
      </c>
      <c r="C6" s="1183"/>
      <c r="D6" s="1184"/>
      <c r="E6" s="1183"/>
      <c r="F6" s="1015"/>
      <c r="G6" s="1015"/>
      <c r="H6" s="1183"/>
    </row>
    <row r="7" spans="1:14">
      <c r="A7" s="603"/>
      <c r="B7" s="1026" t="s">
        <v>674</v>
      </c>
      <c r="C7" s="1015" t="s">
        <v>1</v>
      </c>
      <c r="D7" s="1015" t="s">
        <v>676</v>
      </c>
      <c r="E7" s="1183"/>
      <c r="H7" s="1183"/>
    </row>
    <row r="8" spans="1:14">
      <c r="A8" s="1017" t="s">
        <v>106</v>
      </c>
      <c r="B8" s="1027" t="s">
        <v>678</v>
      </c>
      <c r="C8" s="1017" t="s">
        <v>7</v>
      </c>
      <c r="D8" s="1017" t="s">
        <v>680</v>
      </c>
      <c r="E8" s="1183"/>
      <c r="H8" s="1183"/>
      <c r="J8" s="1018"/>
      <c r="K8" s="1018"/>
      <c r="L8" s="1018"/>
    </row>
    <row r="9" spans="1:14">
      <c r="A9" s="1011" t="s">
        <v>745</v>
      </c>
      <c r="B9" s="1020">
        <v>11299441.75</v>
      </c>
      <c r="C9" s="603">
        <v>238020</v>
      </c>
      <c r="D9" s="1023">
        <v>3.2399999999999998E-2</v>
      </c>
      <c r="H9" s="497"/>
      <c r="J9" s="1019"/>
      <c r="K9" s="1019"/>
      <c r="L9" s="1019"/>
    </row>
    <row r="10" spans="1:14">
      <c r="A10" s="1011" t="s">
        <v>751</v>
      </c>
      <c r="B10" s="1020">
        <v>154640.71000000002</v>
      </c>
      <c r="C10" s="603">
        <v>238020</v>
      </c>
      <c r="D10" s="1023">
        <v>3.2399999999999998E-2</v>
      </c>
      <c r="H10" s="497"/>
      <c r="J10" s="1018"/>
      <c r="K10" s="1018"/>
      <c r="L10" s="1018"/>
    </row>
    <row r="11" spans="1:14">
      <c r="A11" s="1011" t="s">
        <v>757</v>
      </c>
      <c r="B11" s="1020">
        <v>221213.01000000004</v>
      </c>
      <c r="C11" s="603">
        <v>238020</v>
      </c>
      <c r="D11" s="1023">
        <v>3.2399999999999998E-2</v>
      </c>
      <c r="H11" s="497"/>
      <c r="J11" s="1019"/>
      <c r="K11" s="1019"/>
      <c r="L11" s="1019"/>
    </row>
    <row r="12" spans="1:14">
      <c r="A12" s="1011" t="s">
        <v>743</v>
      </c>
      <c r="B12" s="1020">
        <v>9147409.3600000013</v>
      </c>
      <c r="C12" s="603">
        <v>238020</v>
      </c>
      <c r="D12" s="1023">
        <v>3.2399999999999998E-2</v>
      </c>
      <c r="H12" s="497"/>
    </row>
    <row r="13" spans="1:14">
      <c r="A13" s="1011" t="s">
        <v>749</v>
      </c>
      <c r="B13" s="1020">
        <v>108947.52000000002</v>
      </c>
      <c r="C13" s="603">
        <v>238020</v>
      </c>
      <c r="D13" s="1023">
        <v>3.2399999999999998E-2</v>
      </c>
      <c r="H13" s="497"/>
    </row>
    <row r="14" spans="1:14">
      <c r="A14" s="1011" t="s">
        <v>755</v>
      </c>
      <c r="B14" s="1020">
        <v>87045.390000000014</v>
      </c>
      <c r="C14" s="603">
        <v>238020</v>
      </c>
      <c r="D14" s="1023">
        <v>3.2399999999999998E-2</v>
      </c>
      <c r="H14" s="497"/>
    </row>
    <row r="15" spans="1:14">
      <c r="A15" s="1011" t="s">
        <v>747</v>
      </c>
      <c r="B15" s="1036">
        <v>13218077.359999999</v>
      </c>
      <c r="C15" s="603">
        <v>238020</v>
      </c>
      <c r="D15" s="1023">
        <v>3.2399999999999998E-2</v>
      </c>
      <c r="H15" s="497"/>
      <c r="I15" s="497"/>
      <c r="N15" s="1009"/>
    </row>
    <row r="16" spans="1:14">
      <c r="A16" s="1011" t="s">
        <v>753</v>
      </c>
      <c r="B16" s="1020">
        <v>94673.79</v>
      </c>
      <c r="C16" s="603">
        <v>238020</v>
      </c>
      <c r="D16" s="1023">
        <v>3.2399999999999998E-2</v>
      </c>
      <c r="H16" s="497"/>
    </row>
    <row r="17" spans="1:11">
      <c r="A17" s="1011" t="s">
        <v>759</v>
      </c>
      <c r="B17" s="1020">
        <v>12562.44</v>
      </c>
      <c r="C17" s="603">
        <v>238020</v>
      </c>
      <c r="D17" s="1023">
        <v>3.2399999999999998E-2</v>
      </c>
      <c r="H17" s="497"/>
    </row>
    <row r="18" spans="1:11">
      <c r="A18" s="1011" t="s">
        <v>111</v>
      </c>
      <c r="B18" s="1020">
        <v>10462950.710000001</v>
      </c>
      <c r="C18" s="603">
        <v>238020</v>
      </c>
      <c r="D18" s="1023">
        <v>3.2399999999999998E-2</v>
      </c>
      <c r="H18" s="497"/>
    </row>
    <row r="19" spans="1:11">
      <c r="A19" s="1011" t="s">
        <v>113</v>
      </c>
      <c r="B19" s="1020">
        <v>246894.49000000002</v>
      </c>
      <c r="C19" s="603">
        <v>238020</v>
      </c>
      <c r="D19" s="1023">
        <v>3.2399999999999998E-2</v>
      </c>
      <c r="H19" s="497"/>
    </row>
    <row r="20" spans="1:11">
      <c r="A20" s="1011" t="s">
        <v>115</v>
      </c>
      <c r="B20" s="1020">
        <v>668071.1</v>
      </c>
      <c r="C20" s="603">
        <v>238020</v>
      </c>
      <c r="D20" s="1023">
        <v>3.2399999999999998E-2</v>
      </c>
      <c r="H20" s="497"/>
    </row>
    <row r="21" spans="1:11">
      <c r="A21" s="1011" t="s">
        <v>117</v>
      </c>
      <c r="B21" s="1020">
        <v>21624804.670000002</v>
      </c>
      <c r="C21" s="603">
        <v>238020</v>
      </c>
      <c r="D21" s="1023">
        <v>3.2399999999999998E-2</v>
      </c>
      <c r="H21" s="497"/>
    </row>
    <row r="22" spans="1:11">
      <c r="A22" s="1011" t="s">
        <v>119</v>
      </c>
      <c r="B22" s="1020">
        <v>278798.72000000003</v>
      </c>
      <c r="C22" s="603">
        <v>238020</v>
      </c>
      <c r="D22" s="1023">
        <v>3.2399999999999998E-2</v>
      </c>
      <c r="H22" s="497"/>
    </row>
    <row r="23" spans="1:11">
      <c r="A23" s="1011" t="s">
        <v>288</v>
      </c>
      <c r="B23" s="1020">
        <v>267263.32999999996</v>
      </c>
      <c r="C23" s="603">
        <v>238020</v>
      </c>
      <c r="D23" s="1023">
        <v>3.2399999999999998E-2</v>
      </c>
      <c r="H23" s="497"/>
    </row>
    <row r="24" spans="1:11">
      <c r="A24" s="1011" t="s">
        <v>127</v>
      </c>
      <c r="B24" s="1020">
        <v>11359291.290000005</v>
      </c>
      <c r="C24" s="603">
        <v>238020</v>
      </c>
      <c r="D24" s="1023">
        <v>3.2399999999999998E-2</v>
      </c>
      <c r="H24" s="497"/>
    </row>
    <row r="25" spans="1:11">
      <c r="A25" s="1011" t="s">
        <v>129</v>
      </c>
      <c r="B25" s="1021">
        <v>96259.520000000004</v>
      </c>
      <c r="C25" s="1024">
        <v>238020</v>
      </c>
      <c r="D25" s="1025">
        <v>3.2399999999999998E-2</v>
      </c>
      <c r="E25" s="726"/>
      <c r="H25" s="505"/>
      <c r="K25" s="606"/>
    </row>
    <row r="26" spans="1:11">
      <c r="A26" s="1177" t="s">
        <v>1022</v>
      </c>
      <c r="B26" s="1178">
        <f>SUM(B9:B25)</f>
        <v>79348345.160000011</v>
      </c>
      <c r="C26" s="1179"/>
      <c r="D26" s="550"/>
      <c r="E26" s="1181"/>
      <c r="F26" s="1022"/>
      <c r="G26" s="1022"/>
      <c r="H26" s="1179"/>
      <c r="I26" s="606"/>
      <c r="J26" s="606"/>
    </row>
    <row r="27" spans="1:11" ht="11.25" customHeight="1">
      <c r="B27" s="1022"/>
      <c r="C27" s="726"/>
      <c r="D27" s="505"/>
      <c r="E27" s="726"/>
      <c r="H27" s="1180"/>
    </row>
    <row r="28" spans="1:11" ht="16.5" thickBot="1">
      <c r="A28" s="1177" t="s">
        <v>1023</v>
      </c>
      <c r="B28" s="610">
        <v>78716804.829999998</v>
      </c>
      <c r="C28" s="1185" t="s">
        <v>1024</v>
      </c>
      <c r="D28" s="1180"/>
      <c r="E28" s="1182"/>
      <c r="F28" s="606"/>
      <c r="G28" s="606"/>
      <c r="H28" s="1182"/>
    </row>
    <row r="29" spans="1:11" ht="6.75" customHeight="1" thickTop="1">
      <c r="B29" s="497"/>
      <c r="E29" s="606"/>
    </row>
    <row r="30" spans="1:11" ht="6.75" customHeight="1">
      <c r="A30" s="611"/>
      <c r="B30" s="504"/>
      <c r="C30" s="504"/>
      <c r="D30" s="505"/>
      <c r="E30" s="504"/>
      <c r="F30" s="505"/>
      <c r="G30" s="505"/>
      <c r="H30" s="504"/>
    </row>
    <row r="31" spans="1:11" ht="6.75" customHeight="1">
      <c r="B31" s="497"/>
      <c r="C31" s="497"/>
      <c r="E31" s="497"/>
      <c r="F31" s="497"/>
      <c r="G31" s="497"/>
      <c r="H31" s="497"/>
    </row>
    <row r="32" spans="1:11" ht="6.75" customHeight="1">
      <c r="A32" s="729"/>
      <c r="B32" s="612"/>
      <c r="C32" s="612"/>
      <c r="D32" s="612"/>
      <c r="E32" s="612"/>
      <c r="F32" s="497"/>
      <c r="G32" s="497"/>
      <c r="H32" s="497"/>
    </row>
    <row r="33" spans="1:17" ht="6.75" customHeight="1"/>
    <row r="34" spans="1:17">
      <c r="A34" s="1028" t="s">
        <v>993</v>
      </c>
      <c r="B34" s="1028"/>
      <c r="C34" s="1028"/>
      <c r="D34" s="1029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</row>
    <row r="35" spans="1:17" s="1031" customFormat="1" ht="20.25" customHeight="1">
      <c r="A35" s="1030" t="s">
        <v>106</v>
      </c>
      <c r="B35" s="1032" t="s">
        <v>952</v>
      </c>
      <c r="C35" s="1033">
        <v>44927</v>
      </c>
      <c r="D35" s="1033">
        <v>44958</v>
      </c>
      <c r="E35" s="1033">
        <v>44986</v>
      </c>
      <c r="F35" s="1033">
        <v>45017</v>
      </c>
      <c r="G35" s="1033">
        <v>45047</v>
      </c>
      <c r="H35" s="1033">
        <v>45078</v>
      </c>
      <c r="I35" s="1033">
        <v>45108</v>
      </c>
      <c r="J35" s="1033">
        <v>45139</v>
      </c>
      <c r="K35" s="1033">
        <v>45170</v>
      </c>
      <c r="L35" s="1033">
        <v>45200</v>
      </c>
      <c r="M35" s="1033">
        <v>45231</v>
      </c>
      <c r="N35" s="1033">
        <v>45261</v>
      </c>
      <c r="O35" s="1033" t="s">
        <v>953</v>
      </c>
    </row>
    <row r="36" spans="1:17">
      <c r="A36" s="1012" t="s">
        <v>745</v>
      </c>
      <c r="B36" s="1034">
        <v>5536977.629999999</v>
      </c>
      <c r="C36" s="730">
        <v>455695.29</v>
      </c>
      <c r="D36" s="730">
        <v>455988.96</v>
      </c>
      <c r="E36" s="730">
        <v>459525.92</v>
      </c>
      <c r="F36" s="730">
        <v>361306.62</v>
      </c>
      <c r="G36" s="730">
        <v>483166.88</v>
      </c>
      <c r="H36" s="730">
        <v>579266.16</v>
      </c>
      <c r="I36" s="730">
        <v>368271.68</v>
      </c>
      <c r="J36" s="730">
        <v>425681.5</v>
      </c>
      <c r="K36" s="730">
        <v>427027.09</v>
      </c>
      <c r="L36" s="730">
        <v>612928.18000000005</v>
      </c>
      <c r="M36" s="730">
        <v>560701.67000000004</v>
      </c>
      <c r="N36" s="730">
        <v>572904.17000000004</v>
      </c>
      <c r="O36" s="1034">
        <f>B36+SUM(C36:N36)</f>
        <v>11299441.75</v>
      </c>
      <c r="P36" s="1022"/>
    </row>
    <row r="37" spans="1:17">
      <c r="A37" s="1012" t="s">
        <v>751</v>
      </c>
      <c r="B37" s="1034">
        <v>63736.040000000008</v>
      </c>
      <c r="C37" s="730">
        <v>3271.99</v>
      </c>
      <c r="D37" s="730">
        <v>9139</v>
      </c>
      <c r="E37" s="730">
        <v>7626.35</v>
      </c>
      <c r="F37" s="730">
        <v>10336.59</v>
      </c>
      <c r="G37" s="730">
        <v>12070.22</v>
      </c>
      <c r="H37" s="730">
        <v>4226.42</v>
      </c>
      <c r="I37" s="730">
        <v>11076.03</v>
      </c>
      <c r="J37" s="730">
        <v>2512.79</v>
      </c>
      <c r="K37" s="730">
        <v>1043.24</v>
      </c>
      <c r="L37" s="730">
        <v>13849.36</v>
      </c>
      <c r="M37" s="730">
        <v>12009.01</v>
      </c>
      <c r="N37" s="730">
        <v>3743.67</v>
      </c>
      <c r="O37" s="1034">
        <f t="shared" ref="O37:O52" si="0">B37+SUM(C37:N37)</f>
        <v>154640.71</v>
      </c>
      <c r="P37" s="1022"/>
    </row>
    <row r="38" spans="1:17">
      <c r="A38" s="1012" t="s">
        <v>757</v>
      </c>
      <c r="B38" s="1034">
        <v>205086.93</v>
      </c>
      <c r="C38" s="730">
        <v>1015.57</v>
      </c>
      <c r="D38" s="730">
        <v>0</v>
      </c>
      <c r="E38" s="730"/>
      <c r="F38" s="730">
        <v>13946.04</v>
      </c>
      <c r="G38" s="730">
        <v>-6096.06</v>
      </c>
      <c r="H38" s="730">
        <v>692.33</v>
      </c>
      <c r="I38" s="730">
        <v>82.44</v>
      </c>
      <c r="J38" s="730">
        <v>1593.36</v>
      </c>
      <c r="K38" s="730"/>
      <c r="L38" s="730"/>
      <c r="M38" s="730">
        <v>2483.19</v>
      </c>
      <c r="N38" s="730">
        <v>2409.21</v>
      </c>
      <c r="O38" s="1034">
        <f t="shared" si="0"/>
        <v>221213.01</v>
      </c>
      <c r="P38" s="1022"/>
    </row>
    <row r="39" spans="1:17">
      <c r="A39" s="1012" t="s">
        <v>743</v>
      </c>
      <c r="B39" s="1034">
        <v>3144358.63</v>
      </c>
      <c r="C39" s="730">
        <v>245848.39</v>
      </c>
      <c r="D39" s="730">
        <v>407020.08</v>
      </c>
      <c r="E39" s="730">
        <v>355738.41</v>
      </c>
      <c r="F39" s="730">
        <v>499872.06</v>
      </c>
      <c r="G39" s="730">
        <v>609573.5</v>
      </c>
      <c r="H39" s="730">
        <v>764687.67</v>
      </c>
      <c r="I39" s="730">
        <v>540950.6</v>
      </c>
      <c r="J39" s="730">
        <v>586742.25</v>
      </c>
      <c r="K39" s="730">
        <v>478732.71</v>
      </c>
      <c r="L39" s="730">
        <v>559629.69999999995</v>
      </c>
      <c r="M39" s="730">
        <v>576754.29</v>
      </c>
      <c r="N39" s="730">
        <v>377501.07</v>
      </c>
      <c r="O39" s="1034">
        <f t="shared" si="0"/>
        <v>9147409.3599999994</v>
      </c>
      <c r="P39" s="1022"/>
    </row>
    <row r="40" spans="1:17">
      <c r="A40" s="1012" t="s">
        <v>749</v>
      </c>
      <c r="B40" s="1034">
        <v>56135.770000000004</v>
      </c>
      <c r="C40" s="730">
        <v>9375.2999999999993</v>
      </c>
      <c r="D40" s="730">
        <v>8287.44</v>
      </c>
      <c r="E40" s="730">
        <v>1781.61</v>
      </c>
      <c r="F40" s="730">
        <v>1310.67</v>
      </c>
      <c r="G40" s="730">
        <v>3035.87</v>
      </c>
      <c r="H40" s="730">
        <v>8161.86</v>
      </c>
      <c r="I40" s="730">
        <v>4164.1499999999996</v>
      </c>
      <c r="J40" s="730">
        <v>2868.58</v>
      </c>
      <c r="K40" s="730">
        <v>964.57</v>
      </c>
      <c r="L40" s="730">
        <v>10058.66</v>
      </c>
      <c r="M40" s="730">
        <v>2803.04</v>
      </c>
      <c r="N40" s="730"/>
      <c r="O40" s="1034">
        <f t="shared" si="0"/>
        <v>108947.51999999999</v>
      </c>
      <c r="P40" s="1022"/>
    </row>
    <row r="41" spans="1:17">
      <c r="A41" s="1012" t="s">
        <v>755</v>
      </c>
      <c r="B41" s="1034">
        <v>43138.49</v>
      </c>
      <c r="C41" s="730">
        <v>0</v>
      </c>
      <c r="D41" s="730">
        <v>2054.46</v>
      </c>
      <c r="E41" s="730"/>
      <c r="F41" s="730"/>
      <c r="G41" s="730"/>
      <c r="H41" s="730">
        <v>23983.05</v>
      </c>
      <c r="I41" s="730">
        <v>892</v>
      </c>
      <c r="J41" s="730"/>
      <c r="K41" s="730">
        <v>11279.34</v>
      </c>
      <c r="L41" s="730">
        <v>4764</v>
      </c>
      <c r="M41" s="730">
        <v>906.25</v>
      </c>
      <c r="N41" s="730">
        <v>27.8</v>
      </c>
      <c r="O41" s="1034">
        <f t="shared" si="0"/>
        <v>87045.39</v>
      </c>
      <c r="P41" s="1022"/>
    </row>
    <row r="42" spans="1:17">
      <c r="A42" s="1012" t="s">
        <v>747</v>
      </c>
      <c r="B42" s="1034">
        <v>4977458.7</v>
      </c>
      <c r="C42" s="730">
        <v>689906.78</v>
      </c>
      <c r="D42" s="730">
        <v>617461.56999999995</v>
      </c>
      <c r="E42" s="730">
        <v>663082.44999999995</v>
      </c>
      <c r="F42" s="730">
        <v>710786.89</v>
      </c>
      <c r="G42" s="730">
        <v>643388.6</v>
      </c>
      <c r="H42" s="730">
        <v>692173.79</v>
      </c>
      <c r="I42" s="730">
        <v>671647.68</v>
      </c>
      <c r="J42" s="730">
        <v>726971.25</v>
      </c>
      <c r="K42" s="730">
        <v>679835.04</v>
      </c>
      <c r="L42" s="730">
        <v>581798.56999999995</v>
      </c>
      <c r="M42" s="730">
        <v>972476.97000000009</v>
      </c>
      <c r="N42" s="730">
        <v>591089.06999999995</v>
      </c>
      <c r="O42" s="1034">
        <f t="shared" si="0"/>
        <v>13218077.359999999</v>
      </c>
      <c r="P42" s="1022"/>
      <c r="Q42" s="1009"/>
    </row>
    <row r="43" spans="1:17">
      <c r="A43" s="1012" t="s">
        <v>753</v>
      </c>
      <c r="B43" s="1034">
        <v>39220.800000000003</v>
      </c>
      <c r="C43" s="730">
        <v>0</v>
      </c>
      <c r="D43" s="730">
        <v>4982.46</v>
      </c>
      <c r="E43" s="730">
        <v>1154.04</v>
      </c>
      <c r="F43" s="730">
        <v>1554.97</v>
      </c>
      <c r="G43" s="730">
        <v>4250.1899999999996</v>
      </c>
      <c r="H43" s="730">
        <v>6103.2</v>
      </c>
      <c r="I43" s="730">
        <v>3538.73</v>
      </c>
      <c r="J43" s="730">
        <v>5553.94</v>
      </c>
      <c r="K43" s="730">
        <v>4464.1400000000003</v>
      </c>
      <c r="L43" s="730">
        <v>13250.78</v>
      </c>
      <c r="M43" s="730">
        <v>7521.25</v>
      </c>
      <c r="N43" s="730">
        <v>3079.29</v>
      </c>
      <c r="O43" s="1034">
        <f t="shared" si="0"/>
        <v>94673.790000000008</v>
      </c>
      <c r="P43" s="1022"/>
    </row>
    <row r="44" spans="1:17">
      <c r="A44" s="1012" t="s">
        <v>759</v>
      </c>
      <c r="B44" s="1034">
        <v>0</v>
      </c>
      <c r="C44" s="730">
        <v>0</v>
      </c>
      <c r="D44" s="730">
        <v>0</v>
      </c>
      <c r="E44" s="730"/>
      <c r="F44" s="730"/>
      <c r="G44" s="730"/>
      <c r="H44" s="730"/>
      <c r="I44" s="730"/>
      <c r="J44" s="730"/>
      <c r="K44" s="730"/>
      <c r="L44" s="730"/>
      <c r="M44" s="730">
        <v>12562.44</v>
      </c>
      <c r="N44" s="730"/>
      <c r="O44" s="1034">
        <f t="shared" si="0"/>
        <v>12562.44</v>
      </c>
      <c r="P44" s="1022"/>
    </row>
    <row r="45" spans="1:17">
      <c r="A45" s="1013" t="s">
        <v>111</v>
      </c>
      <c r="B45" s="1034">
        <v>10462950.709999999</v>
      </c>
      <c r="C45" s="730">
        <v>0</v>
      </c>
      <c r="D45" s="730">
        <v>0</v>
      </c>
      <c r="E45" s="730"/>
      <c r="F45" s="730"/>
      <c r="G45" s="730"/>
      <c r="H45" s="730"/>
      <c r="I45" s="730"/>
      <c r="J45" s="730"/>
      <c r="K45" s="730"/>
      <c r="L45" s="730"/>
      <c r="M45" s="730"/>
      <c r="N45" s="730"/>
      <c r="O45" s="1034">
        <f t="shared" si="0"/>
        <v>10462950.709999999</v>
      </c>
      <c r="P45" s="1022"/>
    </row>
    <row r="46" spans="1:17">
      <c r="A46" s="1013" t="s">
        <v>113</v>
      </c>
      <c r="B46" s="1034">
        <v>246894.48999999993</v>
      </c>
      <c r="C46" s="730">
        <v>0</v>
      </c>
      <c r="D46" s="730">
        <v>0</v>
      </c>
      <c r="E46" s="730"/>
      <c r="F46" s="730"/>
      <c r="G46" s="730"/>
      <c r="H46" s="730"/>
      <c r="I46" s="730"/>
      <c r="J46" s="730"/>
      <c r="K46" s="730"/>
      <c r="L46" s="730"/>
      <c r="M46" s="730"/>
      <c r="N46" s="730"/>
      <c r="O46" s="1034">
        <f t="shared" si="0"/>
        <v>246894.48999999993</v>
      </c>
      <c r="P46" s="1022"/>
    </row>
    <row r="47" spans="1:17">
      <c r="A47" s="1013" t="s">
        <v>115</v>
      </c>
      <c r="B47" s="1034">
        <v>668071.09999999963</v>
      </c>
      <c r="C47" s="730">
        <v>0</v>
      </c>
      <c r="D47" s="730">
        <v>0</v>
      </c>
      <c r="E47" s="730"/>
      <c r="F47" s="730"/>
      <c r="G47" s="730"/>
      <c r="H47" s="730"/>
      <c r="I47" s="730"/>
      <c r="J47" s="730"/>
      <c r="K47" s="730"/>
      <c r="L47" s="730"/>
      <c r="M47" s="730"/>
      <c r="N47" s="730"/>
      <c r="O47" s="1034">
        <f t="shared" si="0"/>
        <v>668071.09999999963</v>
      </c>
      <c r="P47" s="1022"/>
    </row>
    <row r="48" spans="1:17">
      <c r="A48" s="1013" t="s">
        <v>117</v>
      </c>
      <c r="B48" s="1034">
        <v>21624804.670000002</v>
      </c>
      <c r="C48" s="730">
        <v>0</v>
      </c>
      <c r="D48" s="730">
        <v>0</v>
      </c>
      <c r="E48" s="730"/>
      <c r="F48" s="730"/>
      <c r="G48" s="730"/>
      <c r="H48" s="730"/>
      <c r="I48" s="730"/>
      <c r="J48" s="730"/>
      <c r="K48" s="730"/>
      <c r="L48" s="730"/>
      <c r="M48" s="730"/>
      <c r="N48" s="730"/>
      <c r="O48" s="1034">
        <f t="shared" si="0"/>
        <v>21624804.670000002</v>
      </c>
      <c r="P48" s="1022"/>
    </row>
    <row r="49" spans="1:16">
      <c r="A49" s="1013" t="s">
        <v>119</v>
      </c>
      <c r="B49" s="1034">
        <v>278798.72000000003</v>
      </c>
      <c r="C49" s="730">
        <v>0</v>
      </c>
      <c r="D49" s="730">
        <v>0</v>
      </c>
      <c r="E49" s="730"/>
      <c r="F49" s="730"/>
      <c r="G49" s="730"/>
      <c r="H49" s="730"/>
      <c r="I49" s="730"/>
      <c r="J49" s="730"/>
      <c r="K49" s="730"/>
      <c r="L49" s="730"/>
      <c r="M49" s="730"/>
      <c r="N49" s="730"/>
      <c r="O49" s="1034">
        <f t="shared" si="0"/>
        <v>278798.72000000003</v>
      </c>
      <c r="P49" s="1022"/>
    </row>
    <row r="50" spans="1:16">
      <c r="A50" s="1013" t="s">
        <v>288</v>
      </c>
      <c r="B50" s="1034">
        <v>267263.32999999996</v>
      </c>
      <c r="C50" s="730">
        <v>0</v>
      </c>
      <c r="D50" s="730">
        <v>0</v>
      </c>
      <c r="E50" s="730"/>
      <c r="F50" s="730"/>
      <c r="G50" s="730"/>
      <c r="H50" s="730"/>
      <c r="I50" s="730"/>
      <c r="J50" s="730"/>
      <c r="K50" s="730"/>
      <c r="L50" s="730"/>
      <c r="M50" s="730"/>
      <c r="N50" s="730"/>
      <c r="O50" s="1034">
        <f t="shared" si="0"/>
        <v>267263.32999999996</v>
      </c>
      <c r="P50" s="1022"/>
    </row>
    <row r="51" spans="1:16">
      <c r="A51" s="1013" t="s">
        <v>127</v>
      </c>
      <c r="B51" s="1034">
        <v>11357064.750000006</v>
      </c>
      <c r="C51" s="730">
        <v>414.08</v>
      </c>
      <c r="D51" s="730">
        <v>0</v>
      </c>
      <c r="E51" s="730">
        <v>256.11</v>
      </c>
      <c r="F51" s="730">
        <v>1806.2</v>
      </c>
      <c r="G51" s="730">
        <v>-89.76</v>
      </c>
      <c r="H51" s="730">
        <v>-23.97</v>
      </c>
      <c r="I51" s="730"/>
      <c r="J51" s="730"/>
      <c r="K51" s="730"/>
      <c r="L51" s="730">
        <v>-1.43</v>
      </c>
      <c r="M51" s="730">
        <v>-134.69</v>
      </c>
      <c r="N51" s="730"/>
      <c r="O51" s="1034">
        <f t="shared" si="0"/>
        <v>11359291.290000005</v>
      </c>
      <c r="P51" s="1022"/>
    </row>
    <row r="52" spans="1:16">
      <c r="A52" s="1013" t="s">
        <v>129</v>
      </c>
      <c r="B52" s="1034">
        <v>96259.520000000004</v>
      </c>
      <c r="C52" s="730">
        <v>0</v>
      </c>
      <c r="D52" s="730">
        <v>0</v>
      </c>
      <c r="E52" s="730"/>
      <c r="F52" s="730"/>
      <c r="G52" s="730"/>
      <c r="H52" s="730"/>
      <c r="I52" s="730"/>
      <c r="J52" s="730"/>
      <c r="K52" s="730"/>
      <c r="L52" s="730"/>
      <c r="M52" s="730"/>
      <c r="N52" s="730"/>
      <c r="O52" s="1034">
        <f t="shared" si="0"/>
        <v>96259.520000000004</v>
      </c>
      <c r="P52" s="1022"/>
    </row>
    <row r="53" spans="1:16">
      <c r="A53" s="359"/>
      <c r="B53" s="1035">
        <f>SUM(B36:B52)</f>
        <v>59068220.280000001</v>
      </c>
      <c r="C53" s="731">
        <f>SUM(C36:C52)</f>
        <v>1405527.4000000001</v>
      </c>
      <c r="D53" s="731">
        <f>SUM(D36:D52)</f>
        <v>1504933.9699999997</v>
      </c>
      <c r="E53" s="731">
        <f>SUM(E36:E52)</f>
        <v>1489164.89</v>
      </c>
      <c r="F53" s="731">
        <f t="shared" ref="F53:O53" si="1">SUM(F36:F52)</f>
        <v>1600920.04</v>
      </c>
      <c r="G53" s="731">
        <f t="shared" si="1"/>
        <v>1749299.4400000002</v>
      </c>
      <c r="H53" s="731">
        <f t="shared" si="1"/>
        <v>2079270.5100000002</v>
      </c>
      <c r="I53" s="731">
        <f t="shared" si="1"/>
        <v>1600623.31</v>
      </c>
      <c r="J53" s="731">
        <f t="shared" si="1"/>
        <v>1751923.67</v>
      </c>
      <c r="K53" s="731">
        <f t="shared" si="1"/>
        <v>1603346.13</v>
      </c>
      <c r="L53" s="731">
        <f t="shared" si="1"/>
        <v>1796277.8199999998</v>
      </c>
      <c r="M53" s="731">
        <f t="shared" si="1"/>
        <v>2148083.4200000004</v>
      </c>
      <c r="N53" s="731">
        <f t="shared" si="1"/>
        <v>1550754.2800000003</v>
      </c>
      <c r="O53" s="1035">
        <f t="shared" si="1"/>
        <v>79348345.159999996</v>
      </c>
    </row>
    <row r="54" spans="1:16">
      <c r="C54" s="732">
        <f>B53+C53</f>
        <v>60473747.68</v>
      </c>
      <c r="D54" s="485">
        <f>C54+D53</f>
        <v>61978681.649999999</v>
      </c>
      <c r="E54" s="485">
        <f t="shared" ref="E54:N54" si="2">D54+E53</f>
        <v>63467846.539999999</v>
      </c>
      <c r="F54" s="485">
        <f t="shared" si="2"/>
        <v>65068766.579999998</v>
      </c>
      <c r="G54" s="485">
        <f t="shared" si="2"/>
        <v>66818066.019999996</v>
      </c>
      <c r="H54" s="485">
        <f t="shared" si="2"/>
        <v>68897336.530000001</v>
      </c>
      <c r="I54" s="485">
        <f t="shared" si="2"/>
        <v>70497959.840000004</v>
      </c>
      <c r="J54" s="485">
        <f t="shared" si="2"/>
        <v>72249883.510000005</v>
      </c>
      <c r="K54" s="485">
        <f t="shared" si="2"/>
        <v>73853229.640000001</v>
      </c>
      <c r="L54" s="485">
        <f t="shared" si="2"/>
        <v>75649507.459999993</v>
      </c>
      <c r="M54" s="485">
        <f t="shared" si="2"/>
        <v>77797590.879999995</v>
      </c>
      <c r="N54" s="485">
        <f t="shared" si="2"/>
        <v>79348345.159999996</v>
      </c>
      <c r="O54" s="732">
        <f>N54-O53</f>
        <v>0</v>
      </c>
    </row>
    <row r="55" spans="1:16">
      <c r="C55" s="732">
        <f>C54-'202301 Bk Depr'!R18</f>
        <v>0</v>
      </c>
      <c r="D55" s="485">
        <f>D54-'202302 Bk Depr'!R18</f>
        <v>0</v>
      </c>
      <c r="E55" s="485">
        <f>E54-'202303 Bk Depr'!R18</f>
        <v>0</v>
      </c>
      <c r="F55" s="485">
        <f>F54-'202304 Bk Depr'!R18</f>
        <v>0</v>
      </c>
      <c r="G55" s="485">
        <f>G54-'202305 Bk Depr'!R18</f>
        <v>0</v>
      </c>
      <c r="H55" s="485">
        <f>H54-'202306 Bk Depr'!R18</f>
        <v>0</v>
      </c>
      <c r="I55" s="485">
        <f>I54-'202307 Bk Depr'!R18</f>
        <v>0</v>
      </c>
      <c r="J55" s="485">
        <f>J54-'202308 Bk Depr'!R18</f>
        <v>0</v>
      </c>
      <c r="K55" s="485">
        <f>K54-'202309 Bk Depr'!R18</f>
        <v>0</v>
      </c>
      <c r="L55" s="485">
        <f>L54-'202310 Bk Depr'!R18</f>
        <v>0</v>
      </c>
      <c r="M55" s="485">
        <f>M54-'202311 Bk Depr'!R18</f>
        <v>0</v>
      </c>
      <c r="N55" s="485">
        <f>N54-'202312 Bk Depr'!R18</f>
        <v>0</v>
      </c>
      <c r="O55" s="1186" t="s">
        <v>540</v>
      </c>
    </row>
    <row r="57" spans="1:16">
      <c r="A57" s="1028" t="s">
        <v>37</v>
      </c>
      <c r="B57" s="1028"/>
      <c r="C57" s="1028"/>
      <c r="D57" s="1029"/>
      <c r="E57" s="1028"/>
      <c r="F57" s="1028"/>
      <c r="G57" s="1028"/>
      <c r="H57" s="1028"/>
      <c r="I57" s="1028"/>
      <c r="J57" s="1028"/>
      <c r="K57" s="1028"/>
      <c r="L57" s="1028"/>
      <c r="M57" s="1028"/>
      <c r="N57" s="1028"/>
      <c r="O57" s="1028"/>
    </row>
    <row r="58" spans="1:16">
      <c r="A58" s="1030" t="s">
        <v>106</v>
      </c>
      <c r="B58" s="1032" t="s">
        <v>952</v>
      </c>
      <c r="C58" s="1033">
        <v>44927</v>
      </c>
      <c r="D58" s="1033">
        <v>44958</v>
      </c>
      <c r="E58" s="1033">
        <v>44986</v>
      </c>
      <c r="F58" s="1033">
        <v>45017</v>
      </c>
      <c r="G58" s="1033">
        <v>45047</v>
      </c>
      <c r="H58" s="1033">
        <v>45078</v>
      </c>
      <c r="I58" s="1033">
        <v>45108</v>
      </c>
      <c r="J58" s="1033">
        <v>45139</v>
      </c>
      <c r="K58" s="1033">
        <v>45170</v>
      </c>
      <c r="L58" s="1033">
        <v>45200</v>
      </c>
      <c r="M58" s="1033">
        <v>45231</v>
      </c>
      <c r="N58" s="1033">
        <v>45261</v>
      </c>
      <c r="O58" s="1033" t="s">
        <v>953</v>
      </c>
    </row>
    <row r="59" spans="1:16">
      <c r="A59" s="1012" t="s">
        <v>113</v>
      </c>
      <c r="B59" s="1034">
        <v>2508.7799999999997</v>
      </c>
      <c r="C59" s="730"/>
      <c r="D59" s="730"/>
      <c r="E59" s="730"/>
      <c r="F59" s="730"/>
      <c r="G59" s="730"/>
      <c r="H59" s="730"/>
      <c r="I59" s="730"/>
      <c r="J59" s="730"/>
      <c r="K59" s="730"/>
      <c r="L59" s="730"/>
      <c r="M59" s="730"/>
      <c r="N59" s="730"/>
      <c r="O59" s="1034">
        <f>SUM(B59:N59)</f>
        <v>2508.7799999999997</v>
      </c>
    </row>
    <row r="60" spans="1:16">
      <c r="A60" s="1012" t="s">
        <v>115</v>
      </c>
      <c r="B60" s="1034">
        <v>2263.0500000000002</v>
      </c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  <c r="O60" s="1034">
        <f t="shared" ref="O60:O72" si="3">SUM(B60:N60)</f>
        <v>2263.0500000000002</v>
      </c>
    </row>
    <row r="61" spans="1:16">
      <c r="A61" s="1012" t="s">
        <v>119</v>
      </c>
      <c r="B61" s="1034">
        <v>1630.37</v>
      </c>
      <c r="C61" s="730"/>
      <c r="D61" s="730"/>
      <c r="E61" s="730"/>
      <c r="F61" s="730"/>
      <c r="G61" s="730"/>
      <c r="H61" s="730"/>
      <c r="I61" s="730"/>
      <c r="J61" s="730"/>
      <c r="K61" s="730"/>
      <c r="L61" s="730"/>
      <c r="M61" s="730"/>
      <c r="N61" s="730"/>
      <c r="O61" s="1034">
        <f t="shared" si="3"/>
        <v>1630.37</v>
      </c>
    </row>
    <row r="62" spans="1:16">
      <c r="A62" s="1012" t="s">
        <v>745</v>
      </c>
      <c r="B62" s="1034">
        <v>1930.9</v>
      </c>
      <c r="C62" s="730">
        <v>-1930.9</v>
      </c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>
        <v>77.73</v>
      </c>
      <c r="O62" s="1034">
        <f t="shared" si="3"/>
        <v>77.73</v>
      </c>
    </row>
    <row r="63" spans="1:16">
      <c r="A63" s="1012" t="s">
        <v>751</v>
      </c>
      <c r="B63" s="1034">
        <v>0</v>
      </c>
      <c r="C63" s="730"/>
      <c r="D63" s="730"/>
      <c r="E63" s="730"/>
      <c r="F63" s="730"/>
      <c r="G63" s="730"/>
      <c r="H63" s="730"/>
      <c r="I63" s="730"/>
      <c r="J63" s="730"/>
      <c r="K63" s="730"/>
      <c r="L63" s="730"/>
      <c r="M63" s="730"/>
      <c r="N63" s="730"/>
      <c r="O63" s="1034">
        <f t="shared" si="3"/>
        <v>0</v>
      </c>
    </row>
    <row r="64" spans="1:16">
      <c r="A64" s="1012" t="s">
        <v>757</v>
      </c>
      <c r="B64" s="1034">
        <v>0</v>
      </c>
      <c r="C64" s="730"/>
      <c r="D64" s="730"/>
      <c r="E64" s="730"/>
      <c r="F64" s="730"/>
      <c r="G64" s="730"/>
      <c r="H64" s="730"/>
      <c r="I64" s="730"/>
      <c r="J64" s="730"/>
      <c r="K64" s="730"/>
      <c r="L64" s="730"/>
      <c r="M64" s="730"/>
      <c r="N64" s="730"/>
      <c r="O64" s="1034">
        <f t="shared" si="3"/>
        <v>0</v>
      </c>
    </row>
    <row r="65" spans="1:15">
      <c r="A65" s="1012" t="s">
        <v>743</v>
      </c>
      <c r="B65" s="1034">
        <v>0</v>
      </c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1034">
        <f t="shared" si="3"/>
        <v>0</v>
      </c>
    </row>
    <row r="66" spans="1:15">
      <c r="A66" s="1012" t="s">
        <v>749</v>
      </c>
      <c r="B66" s="1034">
        <v>54159.459999999992</v>
      </c>
      <c r="C66" s="730">
        <v>10586.12</v>
      </c>
      <c r="D66" s="730">
        <v>8686.4</v>
      </c>
      <c r="E66" s="730">
        <v>10700.92</v>
      </c>
      <c r="F66" s="730">
        <v>11483.62</v>
      </c>
      <c r="G66" s="730">
        <v>4152.1099999999997</v>
      </c>
      <c r="H66" s="730">
        <v>5222.37</v>
      </c>
      <c r="I66" s="730">
        <v>2135.37</v>
      </c>
      <c r="J66" s="730"/>
      <c r="K66" s="730"/>
      <c r="L66" s="730">
        <v>197.73</v>
      </c>
      <c r="M66" s="730"/>
      <c r="N66" s="730"/>
      <c r="O66" s="1034">
        <f t="shared" si="3"/>
        <v>107324.09999999998</v>
      </c>
    </row>
    <row r="67" spans="1:15">
      <c r="A67" s="1012" t="s">
        <v>755</v>
      </c>
      <c r="B67" s="1034">
        <v>0</v>
      </c>
      <c r="C67" s="730"/>
      <c r="D67" s="730"/>
      <c r="E67" s="730"/>
      <c r="F67" s="730"/>
      <c r="G67" s="730"/>
      <c r="H67" s="730"/>
      <c r="I67" s="730"/>
      <c r="J67" s="730"/>
      <c r="K67" s="730"/>
      <c r="L67" s="730"/>
      <c r="M67" s="730"/>
      <c r="N67" s="730"/>
      <c r="O67" s="1034">
        <f t="shared" si="3"/>
        <v>0</v>
      </c>
    </row>
    <row r="68" spans="1:15">
      <c r="A68" s="1013" t="s">
        <v>747</v>
      </c>
      <c r="B68" s="1034">
        <v>427551.61</v>
      </c>
      <c r="C68" s="730">
        <v>62237.64</v>
      </c>
      <c r="D68" s="730">
        <v>71785.929999999993</v>
      </c>
      <c r="E68" s="730">
        <v>62971.99</v>
      </c>
      <c r="F68" s="730">
        <v>42019.65</v>
      </c>
      <c r="G68" s="730">
        <v>59140.84</v>
      </c>
      <c r="H68" s="730">
        <v>98518.69</v>
      </c>
      <c r="I68" s="730">
        <v>202374.86</v>
      </c>
      <c r="J68" s="730">
        <v>77104.960000000006</v>
      </c>
      <c r="K68" s="730">
        <v>86106.33</v>
      </c>
      <c r="L68" s="730">
        <v>62687.23</v>
      </c>
      <c r="M68" s="730">
        <v>45470.28</v>
      </c>
      <c r="N68" s="730">
        <v>31049.200000000001</v>
      </c>
      <c r="O68" s="1034">
        <f t="shared" si="3"/>
        <v>1329019.21</v>
      </c>
    </row>
    <row r="69" spans="1:15">
      <c r="A69" s="1013" t="s">
        <v>753</v>
      </c>
      <c r="B69" s="1034">
        <v>117611.27999999998</v>
      </c>
      <c r="C69" s="730">
        <v>23095.55</v>
      </c>
      <c r="D69" s="730">
        <v>8625.5300000000007</v>
      </c>
      <c r="E69" s="730">
        <v>19600.55</v>
      </c>
      <c r="F69" s="730">
        <v>18092.29</v>
      </c>
      <c r="G69" s="730">
        <v>22156.02</v>
      </c>
      <c r="H69" s="730">
        <v>12684.4</v>
      </c>
      <c r="I69" s="730">
        <v>13772.55</v>
      </c>
      <c r="J69" s="730">
        <v>16213.27</v>
      </c>
      <c r="K69" s="730">
        <v>14027.09</v>
      </c>
      <c r="L69" s="730">
        <v>33542.33</v>
      </c>
      <c r="M69" s="730">
        <v>12968.93</v>
      </c>
      <c r="N69" s="730">
        <v>5453.01</v>
      </c>
      <c r="O69" s="1034">
        <f t="shared" si="3"/>
        <v>317842.8</v>
      </c>
    </row>
    <row r="70" spans="1:15">
      <c r="A70" s="1013" t="s">
        <v>759</v>
      </c>
      <c r="B70" s="1034">
        <v>0</v>
      </c>
      <c r="C70" s="730">
        <v>133.99</v>
      </c>
      <c r="D70" s="730">
        <v>110.55</v>
      </c>
      <c r="E70" s="730"/>
      <c r="F70" s="730"/>
      <c r="G70" s="730"/>
      <c r="H70" s="730"/>
      <c r="I70" s="730"/>
      <c r="J70" s="730"/>
      <c r="K70" s="730">
        <v>336.65</v>
      </c>
      <c r="L70" s="730"/>
      <c r="M70" s="730"/>
      <c r="N70" s="730"/>
      <c r="O70" s="1034">
        <f t="shared" si="3"/>
        <v>581.19000000000005</v>
      </c>
    </row>
    <row r="71" spans="1:15">
      <c r="A71" s="1013" t="s">
        <v>127</v>
      </c>
      <c r="B71" s="1034">
        <v>1637407.48</v>
      </c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1034">
        <f t="shared" si="3"/>
        <v>1637407.48</v>
      </c>
    </row>
    <row r="72" spans="1:15">
      <c r="A72" s="1013" t="s">
        <v>129</v>
      </c>
      <c r="B72" s="1034">
        <v>1985136.2999999998</v>
      </c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1034">
        <f t="shared" si="3"/>
        <v>1985136.2999999998</v>
      </c>
    </row>
    <row r="73" spans="1:15">
      <c r="A73" s="359"/>
      <c r="B73" s="1035">
        <f>SUM(B59:B72)</f>
        <v>4230199.2299999995</v>
      </c>
      <c r="C73" s="731">
        <f t="shared" ref="C73:N73" si="4">SUM(C59:C72)</f>
        <v>94122.400000000009</v>
      </c>
      <c r="D73" s="731">
        <f t="shared" si="4"/>
        <v>89208.409999999989</v>
      </c>
      <c r="E73" s="731">
        <f t="shared" si="4"/>
        <v>93273.46</v>
      </c>
      <c r="F73" s="731">
        <f t="shared" si="4"/>
        <v>71595.56</v>
      </c>
      <c r="G73" s="731">
        <f t="shared" si="4"/>
        <v>85448.97</v>
      </c>
      <c r="H73" s="731">
        <f t="shared" si="4"/>
        <v>116425.45999999999</v>
      </c>
      <c r="I73" s="731">
        <f t="shared" si="4"/>
        <v>218282.77999999997</v>
      </c>
      <c r="J73" s="731">
        <f t="shared" si="4"/>
        <v>93318.23000000001</v>
      </c>
      <c r="K73" s="731">
        <f t="shared" si="4"/>
        <v>100470.06999999999</v>
      </c>
      <c r="L73" s="731">
        <f t="shared" si="4"/>
        <v>96427.290000000008</v>
      </c>
      <c r="M73" s="731">
        <f t="shared" si="4"/>
        <v>58439.21</v>
      </c>
      <c r="N73" s="731">
        <f t="shared" si="4"/>
        <v>36579.94</v>
      </c>
      <c r="O73" s="1035">
        <f>SUM(O59:O72)</f>
        <v>5383791.0099999998</v>
      </c>
    </row>
    <row r="74" spans="1:15">
      <c r="A74" s="1013"/>
      <c r="B74" s="1034"/>
      <c r="C74" s="732">
        <f>B73+C73</f>
        <v>4324321.63</v>
      </c>
      <c r="D74" s="485">
        <f>C74+D73</f>
        <v>4413530.04</v>
      </c>
      <c r="E74" s="485">
        <f t="shared" ref="E74" si="5">D74+E73</f>
        <v>4506803.5</v>
      </c>
      <c r="F74" s="485">
        <f t="shared" ref="F74" si="6">E74+F73</f>
        <v>4578399.0599999996</v>
      </c>
      <c r="G74" s="485">
        <f t="shared" ref="G74" si="7">F74+G73</f>
        <v>4663848.0299999993</v>
      </c>
      <c r="H74" s="485">
        <f t="shared" ref="H74" si="8">G74+H73</f>
        <v>4780273.4899999993</v>
      </c>
      <c r="I74" s="485">
        <f t="shared" ref="I74" si="9">H74+I73</f>
        <v>4998556.2699999996</v>
      </c>
      <c r="J74" s="485">
        <f t="shared" ref="J74" si="10">I74+J73</f>
        <v>5091874.5</v>
      </c>
      <c r="K74" s="485">
        <f t="shared" ref="K74" si="11">J74+K73</f>
        <v>5192344.57</v>
      </c>
      <c r="L74" s="485">
        <f t="shared" ref="L74" si="12">K74+L73</f>
        <v>5288771.8600000003</v>
      </c>
      <c r="M74" s="485">
        <f t="shared" ref="M74" si="13">L74+M73</f>
        <v>5347211.07</v>
      </c>
      <c r="N74" s="485">
        <f t="shared" ref="N74" si="14">M74+N73</f>
        <v>5383791.0100000007</v>
      </c>
      <c r="O74" s="732">
        <f>N74-O73</f>
        <v>0</v>
      </c>
    </row>
    <row r="75" spans="1:15">
      <c r="C75" s="732">
        <f>C74-'202301 Bk Depr'!R36</f>
        <v>0</v>
      </c>
      <c r="D75" s="485">
        <f>D74-'202302 Bk Depr'!R36</f>
        <v>0</v>
      </c>
      <c r="E75" s="485">
        <f>E74-'202303 Bk Depr'!R36</f>
        <v>0</v>
      </c>
      <c r="F75" s="485">
        <f>F74-'202304 Bk Depr'!R36</f>
        <v>0</v>
      </c>
      <c r="G75" s="485">
        <f>G74-'202305 Bk Depr'!R36</f>
        <v>0</v>
      </c>
      <c r="H75" s="485">
        <f>H74-'202306 Bk Depr'!R36</f>
        <v>0</v>
      </c>
      <c r="I75" s="485">
        <f>I74-'202307 Bk Depr'!R36</f>
        <v>0</v>
      </c>
      <c r="J75" s="485">
        <f>J74-'202308 Bk Depr'!R36</f>
        <v>0</v>
      </c>
      <c r="K75" s="485">
        <f>K74-'202309 Bk Depr'!R36</f>
        <v>0</v>
      </c>
      <c r="L75" s="485">
        <f>L74-'202310 Bk Depr'!R36</f>
        <v>0</v>
      </c>
      <c r="M75" s="485">
        <f>M74-'202311 Bk Depr'!R36</f>
        <v>0</v>
      </c>
      <c r="N75" s="485">
        <f>N74-'202312 Bk Depr'!R36</f>
        <v>0</v>
      </c>
      <c r="O75" s="1186" t="s">
        <v>540</v>
      </c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39" orientation="portrait" r:id="rId1"/>
  <headerFooter>
    <oddFooter>&amp;L&amp;"Calibri"&amp;11&amp;K000000&amp;Z&amp;F&amp;F&amp;A_x000D_&amp;1#&amp;"Calibri"&amp;14&amp;K000000Business Use</oddFooter>
  </headerFooter>
  <ignoredErrors>
    <ignoredError sqref="C53:N5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51C18-A1F7-4129-AB96-C0E677DFB2FF}">
  <sheetPr>
    <tabColor theme="2" tint="-0.249977111117893"/>
  </sheetPr>
  <dimension ref="A1"/>
  <sheetViews>
    <sheetView showGridLines="0"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A0E4-FE70-4DC8-9D4C-2439D208D1B7}">
  <sheetPr>
    <tabColor theme="2" tint="-0.249977111117893"/>
    <pageSetUpPr fitToPage="1"/>
  </sheetPr>
  <dimension ref="A1:S134"/>
  <sheetViews>
    <sheetView showGridLines="0" zoomScale="90" zoomScaleNormal="90" zoomScaleSheetLayoutView="80" workbookViewId="0"/>
  </sheetViews>
  <sheetFormatPr defaultColWidth="9.140625" defaultRowHeight="15.75"/>
  <cols>
    <col min="1" max="1" width="5.28515625" style="668" bestFit="1" customWidth="1"/>
    <col min="2" max="2" width="3.5703125" style="668" customWidth="1"/>
    <col min="3" max="3" width="35.85546875" style="668" customWidth="1"/>
    <col min="4" max="17" width="16" style="668" customWidth="1"/>
    <col min="18" max="18" width="19.7109375" style="839" customWidth="1"/>
    <col min="19" max="19" width="8" style="904" customWidth="1"/>
    <col min="20" max="16384" width="9.140625" style="668"/>
  </cols>
  <sheetData>
    <row r="1" spans="1:19">
      <c r="B1" s="327"/>
      <c r="C1" s="327"/>
      <c r="D1" s="924"/>
      <c r="E1" s="327"/>
      <c r="F1" s="327"/>
      <c r="G1" s="327"/>
      <c r="H1" s="327"/>
      <c r="I1" s="327"/>
      <c r="J1" s="43" t="s">
        <v>669</v>
      </c>
      <c r="L1" s="327"/>
      <c r="M1" s="327"/>
      <c r="N1" s="327"/>
      <c r="O1" s="327"/>
      <c r="P1" s="327"/>
      <c r="Q1" s="327"/>
    </row>
    <row r="2" spans="1:19">
      <c r="B2" s="327"/>
      <c r="D2" s="327"/>
      <c r="E2" s="327"/>
      <c r="F2" s="327"/>
      <c r="G2" s="327"/>
      <c r="H2" s="327"/>
      <c r="I2" s="327"/>
      <c r="J2" s="43" t="s">
        <v>961</v>
      </c>
      <c r="L2" s="327"/>
      <c r="M2" s="327"/>
      <c r="N2" s="327"/>
      <c r="O2" s="327"/>
      <c r="P2" s="327"/>
      <c r="Q2" s="327"/>
    </row>
    <row r="3" spans="1:19">
      <c r="B3" s="327"/>
      <c r="C3" s="197"/>
      <c r="D3" s="327"/>
      <c r="E3" s="327"/>
      <c r="F3" s="327"/>
      <c r="G3" s="327"/>
      <c r="H3" s="327"/>
      <c r="I3" s="327"/>
      <c r="J3" s="43" t="s">
        <v>958</v>
      </c>
      <c r="L3" s="327"/>
      <c r="M3" s="327"/>
      <c r="N3" s="327"/>
      <c r="O3" s="327"/>
      <c r="P3" s="327"/>
      <c r="Q3" s="327"/>
    </row>
    <row r="4" spans="1:19" s="26" customFormat="1">
      <c r="A4" s="840"/>
      <c r="D4" s="668"/>
      <c r="Q4" s="385"/>
      <c r="R4" s="839"/>
      <c r="S4" s="905"/>
    </row>
    <row r="5" spans="1:19" s="841" customFormat="1" hidden="1">
      <c r="C5" s="845"/>
      <c r="D5" s="1577" t="s">
        <v>936</v>
      </c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1577"/>
      <c r="P5" s="1577"/>
      <c r="Q5" s="1578"/>
      <c r="R5" s="842"/>
      <c r="S5" s="907"/>
    </row>
    <row r="6" spans="1:19" s="841" customFormat="1">
      <c r="A6" s="920" t="s">
        <v>4</v>
      </c>
      <c r="B6" s="843"/>
      <c r="C6" s="845"/>
      <c r="D6" s="919">
        <v>2022</v>
      </c>
      <c r="E6" s="919">
        <v>2023</v>
      </c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>
        <f t="shared" ref="P6:Q6" si="0">$E$6</f>
        <v>2023</v>
      </c>
      <c r="Q6" s="919">
        <f t="shared" si="0"/>
        <v>2023</v>
      </c>
      <c r="R6" s="842"/>
      <c r="S6" s="908"/>
    </row>
    <row r="7" spans="1:19" s="841" customFormat="1">
      <c r="A7" s="1070" t="s">
        <v>5</v>
      </c>
      <c r="B7" s="843"/>
      <c r="C7" s="1014" t="s">
        <v>6</v>
      </c>
      <c r="D7" s="1074" t="s">
        <v>1034</v>
      </c>
      <c r="E7" s="1074" t="s">
        <v>92</v>
      </c>
      <c r="F7" s="1074" t="s">
        <v>95</v>
      </c>
      <c r="G7" s="1074" t="s">
        <v>96</v>
      </c>
      <c r="H7" s="1074" t="s">
        <v>97</v>
      </c>
      <c r="I7" s="1074" t="s">
        <v>85</v>
      </c>
      <c r="J7" s="1074" t="s">
        <v>98</v>
      </c>
      <c r="K7" s="1074" t="s">
        <v>99</v>
      </c>
      <c r="L7" s="1074" t="s">
        <v>100</v>
      </c>
      <c r="M7" s="1074" t="s">
        <v>101</v>
      </c>
      <c r="N7" s="1074" t="s">
        <v>102</v>
      </c>
      <c r="O7" s="1074" t="s">
        <v>103</v>
      </c>
      <c r="P7" s="1074" t="s">
        <v>104</v>
      </c>
      <c r="Q7" s="1074" t="s">
        <v>3</v>
      </c>
      <c r="R7" s="842"/>
      <c r="S7" s="908"/>
    </row>
    <row r="8" spans="1:19" s="906" customFormat="1" ht="15">
      <c r="A8" s="920"/>
      <c r="B8" s="921"/>
      <c r="C8" s="1078">
        <v>-1</v>
      </c>
      <c r="D8" s="1077">
        <v>-2</v>
      </c>
      <c r="E8" s="1077">
        <v>-3</v>
      </c>
      <c r="F8" s="1077">
        <v>-4</v>
      </c>
      <c r="G8" s="1077">
        <v>-5</v>
      </c>
      <c r="H8" s="1077">
        <v>-6</v>
      </c>
      <c r="I8" s="1077">
        <v>-7</v>
      </c>
      <c r="J8" s="1077">
        <v>-8</v>
      </c>
      <c r="K8" s="1077">
        <v>-9</v>
      </c>
      <c r="L8" s="1077">
        <v>-10</v>
      </c>
      <c r="M8" s="1077">
        <v>-11</v>
      </c>
      <c r="N8" s="1077">
        <v>-12</v>
      </c>
      <c r="O8" s="1077">
        <v>-13</v>
      </c>
      <c r="P8" s="1077">
        <v>-14</v>
      </c>
      <c r="Q8" s="1077">
        <v>-15</v>
      </c>
      <c r="R8" s="922"/>
      <c r="S8" s="908"/>
    </row>
    <row r="9" spans="1:19" s="26" customFormat="1" hidden="1">
      <c r="A9" s="66"/>
      <c r="B9" s="66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839"/>
      <c r="S9" s="909"/>
    </row>
    <row r="10" spans="1:19" s="841" customFormat="1">
      <c r="A10" s="843"/>
      <c r="B10" s="1097" t="s">
        <v>51</v>
      </c>
      <c r="C10" s="845"/>
      <c r="D10" s="844"/>
      <c r="E10" s="844"/>
      <c r="F10" s="844"/>
      <c r="G10" s="844"/>
      <c r="H10" s="844"/>
      <c r="I10" s="844"/>
      <c r="J10" s="844"/>
      <c r="K10" s="845"/>
      <c r="L10" s="845"/>
      <c r="M10" s="845"/>
      <c r="N10" s="845"/>
      <c r="O10" s="845"/>
      <c r="P10" s="846"/>
      <c r="Q10" s="845"/>
      <c r="R10" s="842"/>
      <c r="S10" s="908"/>
    </row>
    <row r="11" spans="1:19" s="841" customFormat="1" ht="18.75" customHeight="1">
      <c r="A11" s="921">
        <v>1</v>
      </c>
      <c r="B11" s="843"/>
      <c r="C11" s="1085" t="s">
        <v>957</v>
      </c>
      <c r="D11" s="1093">
        <f>'Rev Req 2022-Distr'!P11</f>
        <v>58511738.100000001</v>
      </c>
      <c r="E11" s="1093">
        <f>D11+SUM('Cap&amp;OpEx 2023'!C13,'Cap&amp;OpEx 2023'!C19)</f>
        <v>59917265.5</v>
      </c>
      <c r="F11" s="1093">
        <f>E11+SUM('Cap&amp;OpEx 2023'!D13,'Cap&amp;OpEx 2023'!D19)</f>
        <v>61422199.469999999</v>
      </c>
      <c r="G11" s="1093">
        <f>F11+SUM('Cap&amp;OpEx 2023'!E13,'Cap&amp;OpEx 2023'!E19)</f>
        <v>62910329.879999995</v>
      </c>
      <c r="H11" s="1093">
        <f>G11+SUM('Cap&amp;OpEx 2023'!F13,'Cap&amp;OpEx 2023'!F19)</f>
        <v>64511249.919999994</v>
      </c>
      <c r="I11" s="1093">
        <f>H11+SUM('Cap&amp;OpEx 2023'!G13,'Cap&amp;OpEx 2023'!G19)</f>
        <v>66260549.359999992</v>
      </c>
      <c r="J11" s="1093">
        <f>I11+SUM('Cap&amp;OpEx 2023'!H13,'Cap&amp;OpEx 2023'!H19)</f>
        <v>68339819.86999999</v>
      </c>
      <c r="K11" s="1093">
        <f>J11+SUM('Cap&amp;OpEx 2023'!I13,'Cap&amp;OpEx 2023'!I19)</f>
        <v>69940443.179999992</v>
      </c>
      <c r="L11" s="1093">
        <f>K11+SUM('Cap&amp;OpEx 2023'!J13,'Cap&amp;OpEx 2023'!J19)</f>
        <v>71692366.849999994</v>
      </c>
      <c r="M11" s="1093">
        <f>L11+SUM('Cap&amp;OpEx 2023'!K13,'Cap&amp;OpEx 2023'!K19)</f>
        <v>73295712.979999989</v>
      </c>
      <c r="N11" s="1093">
        <f>M11+SUM('Cap&amp;OpEx 2023'!L13,'Cap&amp;OpEx 2023'!L19)</f>
        <v>75091990.799999982</v>
      </c>
      <c r="O11" s="1093">
        <f>N11+SUM('Cap&amp;OpEx 2023'!M13,'Cap&amp;OpEx 2023'!M19)</f>
        <v>76679183.429999977</v>
      </c>
      <c r="P11" s="1093">
        <f>O11+SUM('Cap&amp;OpEx 2023'!N13,'Cap&amp;OpEx 2023'!N19)</f>
        <v>78229937.709999979</v>
      </c>
      <c r="Q11" s="1093">
        <f>AVERAGE(D11:P11)</f>
        <v>68215599.003846154</v>
      </c>
      <c r="R11" s="842"/>
      <c r="S11" s="908"/>
    </row>
    <row r="12" spans="1:19" s="841" customFormat="1" ht="18.75" customHeight="1">
      <c r="A12" s="921">
        <v>2</v>
      </c>
      <c r="B12" s="843"/>
      <c r="C12" s="1086" t="s">
        <v>19</v>
      </c>
      <c r="D12" s="1093">
        <f>'Rev Req 2022-Distr'!P12</f>
        <v>4230199.2300000004</v>
      </c>
      <c r="E12" s="1093">
        <f>D12+'Cap&amp;OpEx 2023'!C31</f>
        <v>4324321.6300000008</v>
      </c>
      <c r="F12" s="1093">
        <f>E12+'Cap&amp;OpEx 2023'!D31</f>
        <v>4413530.040000001</v>
      </c>
      <c r="G12" s="1093">
        <f>F12+'Cap&amp;OpEx 2023'!E31</f>
        <v>4506803.5000000009</v>
      </c>
      <c r="H12" s="1093">
        <f>G12+'Cap&amp;OpEx 2023'!F31</f>
        <v>4578399.0600000005</v>
      </c>
      <c r="I12" s="1093">
        <f>H12+'Cap&amp;OpEx 2023'!G31</f>
        <v>4663848.03</v>
      </c>
      <c r="J12" s="1093">
        <f>I12+'Cap&amp;OpEx 2023'!H31</f>
        <v>4780273.49</v>
      </c>
      <c r="K12" s="1093">
        <f>J12+'Cap&amp;OpEx 2023'!I31</f>
        <v>4998556.2700000005</v>
      </c>
      <c r="L12" s="1093">
        <f>K12+'Cap&amp;OpEx 2023'!J31</f>
        <v>5091874.5000000009</v>
      </c>
      <c r="M12" s="1093">
        <f>L12+'Cap&amp;OpEx 2023'!K31</f>
        <v>5192344.5700000012</v>
      </c>
      <c r="N12" s="1093">
        <f>M12+'Cap&amp;OpEx 2023'!L31</f>
        <v>5288771.8600000013</v>
      </c>
      <c r="O12" s="1093">
        <f>N12+'Cap&amp;OpEx 2023'!M31</f>
        <v>5347211.0700000012</v>
      </c>
      <c r="P12" s="1093">
        <f>O12+'Cap&amp;OpEx 2023'!N31</f>
        <v>5383791.0100000016</v>
      </c>
      <c r="Q12" s="1093">
        <f t="shared" ref="Q12:Q13" si="1">AVERAGE(D12:P12)</f>
        <v>4830763.4046153855</v>
      </c>
      <c r="R12" s="842"/>
      <c r="S12" s="908"/>
    </row>
    <row r="13" spans="1:19" s="841" customFormat="1" ht="18.75" customHeight="1">
      <c r="A13" s="921">
        <v>3</v>
      </c>
      <c r="B13" s="843"/>
      <c r="C13" s="1086" t="s">
        <v>52</v>
      </c>
      <c r="D13" s="1093">
        <f>'Rev Req 2022-Distr'!P13</f>
        <v>-4097743.9043592401</v>
      </c>
      <c r="E13" s="1093">
        <f>'Cap&amp;OpEx 2023'!C25-'202301 Bk Depr'!$P$18+D13</f>
        <v>-4259125.5611052401</v>
      </c>
      <c r="F13" s="1093">
        <f>'Cap&amp;OpEx 2023'!D25-'202302 Bk Depr'!$P$18+E13</f>
        <v>-4424436.34070074</v>
      </c>
      <c r="G13" s="1093">
        <f>'Cap&amp;OpEx 2023'!E25-'202303 Bk Depr'!$P$18+F13</f>
        <v>-4592756.4445063602</v>
      </c>
      <c r="H13" s="1093">
        <f>'Cap&amp;OpEx 2023'!F25-'202304 Bk Depr'!$P$18+G13</f>
        <v>-4766280.8722183602</v>
      </c>
      <c r="I13" s="1093">
        <f>'Cap&amp;OpEx 2023'!G25-'202305 Bk Depr'!$P$18+H13</f>
        <v>-4944328.0962283602</v>
      </c>
      <c r="J13" s="1093">
        <f>'Cap&amp;OpEx 2023'!H25-'202306 Bk Depr'!$P$18+I13</f>
        <v>-5127543.88967086</v>
      </c>
      <c r="K13" s="1093">
        <f>'Cap&amp;OpEx 2023'!I25-'202307 Bk Depr'!$P$18+J13</f>
        <v>-5315727.5397703601</v>
      </c>
      <c r="L13" s="1093">
        <f>'Cap&amp;OpEx 2023'!J25-'202308 Bk Depr'!$P$18+K13</f>
        <v>-5508437.1282928605</v>
      </c>
      <c r="M13" s="1093">
        <f>'Cap&amp;OpEx 2023'!K25-'202309 Bk Depr'!$P$18+L13</f>
        <v>-5705676.3310453603</v>
      </c>
      <c r="N13" s="1093">
        <f>'Cap&amp;OpEx 2023'!L25-'202310 Bk Depr'!$P$18+M13</f>
        <v>-5907505.0261303606</v>
      </c>
      <c r="O13" s="1093">
        <f>'Cap&amp;OpEx 2023'!M25-'202311 Bk Depr'!$P$18+N13</f>
        <v>-5682807.0212702407</v>
      </c>
      <c r="P13" s="1093">
        <f>'Cap&amp;OpEx 2023'!N25-'202312 Bk Depr'!$P$18+O13</f>
        <v>-5894954.0349242408</v>
      </c>
      <c r="Q13" s="1093">
        <f t="shared" si="1"/>
        <v>-5094409.3992478903</v>
      </c>
      <c r="R13" s="842"/>
      <c r="S13" s="908"/>
    </row>
    <row r="14" spans="1:19" s="841" customFormat="1" ht="18.75" customHeight="1">
      <c r="A14" s="921">
        <v>4</v>
      </c>
      <c r="C14" s="1075" t="s">
        <v>916</v>
      </c>
      <c r="D14" s="1095">
        <f t="shared" ref="D14:P14" si="2">SUM(D11:D13)</f>
        <v>58644193.425640762</v>
      </c>
      <c r="E14" s="1095">
        <f t="shared" si="2"/>
        <v>59982461.568894759</v>
      </c>
      <c r="F14" s="1095">
        <f t="shared" si="2"/>
        <v>61411293.16929926</v>
      </c>
      <c r="G14" s="1095">
        <f t="shared" si="2"/>
        <v>62824376.935493633</v>
      </c>
      <c r="H14" s="1095">
        <f t="shared" si="2"/>
        <v>64323368.107781626</v>
      </c>
      <c r="I14" s="1095">
        <f t="shared" si="2"/>
        <v>65980069.293771625</v>
      </c>
      <c r="J14" s="1095">
        <f t="shared" si="2"/>
        <v>67992549.470329121</v>
      </c>
      <c r="K14" s="1095">
        <f t="shared" si="2"/>
        <v>69623271.910229623</v>
      </c>
      <c r="L14" s="1095">
        <f t="shared" si="2"/>
        <v>71275804.221707135</v>
      </c>
      <c r="M14" s="1095">
        <f t="shared" si="2"/>
        <v>72782381.218954638</v>
      </c>
      <c r="N14" s="1095">
        <f t="shared" si="2"/>
        <v>74473257.633869618</v>
      </c>
      <c r="O14" s="1095">
        <f t="shared" si="2"/>
        <v>76343587.47872974</v>
      </c>
      <c r="P14" s="1095">
        <f t="shared" si="2"/>
        <v>77718774.685075745</v>
      </c>
      <c r="Q14" s="1095">
        <f>SUM(Q11:Q13)</f>
        <v>67951953.009213656</v>
      </c>
      <c r="R14" s="842"/>
      <c r="S14" s="908"/>
    </row>
    <row r="15" spans="1:19" s="26" customFormat="1">
      <c r="A15" s="1071"/>
      <c r="B15" s="66"/>
      <c r="C15" s="385"/>
      <c r="D15" s="1094"/>
      <c r="E15" s="1094"/>
      <c r="F15" s="1094"/>
      <c r="G15" s="1094"/>
      <c r="H15" s="1094"/>
      <c r="I15" s="1094"/>
      <c r="J15" s="1094"/>
      <c r="K15" s="1094"/>
      <c r="L15" s="1094"/>
      <c r="M15" s="1094"/>
      <c r="N15" s="1094"/>
      <c r="O15" s="1094"/>
      <c r="P15" s="1094"/>
      <c r="Q15" s="1094"/>
      <c r="R15" s="839"/>
      <c r="S15" s="912"/>
    </row>
    <row r="16" spans="1:19" s="841" customFormat="1" ht="18.75" customHeight="1">
      <c r="A16" s="921">
        <v>5</v>
      </c>
      <c r="B16" s="843"/>
      <c r="C16" s="1086" t="s">
        <v>54</v>
      </c>
      <c r="D16" s="1093">
        <f>'Rev Req 2022-Distr'!P16</f>
        <v>-9549777.8457705304</v>
      </c>
      <c r="E16" s="1093">
        <f>-'Tax Depr 2023'!Y17</f>
        <v>-9586591.7409023158</v>
      </c>
      <c r="F16" s="1093">
        <f>-'Tax Depr 2023'!Y18</f>
        <v>-9665163.1882066093</v>
      </c>
      <c r="G16" s="1093">
        <f>-'Tax Depr 2023'!Y19</f>
        <v>-9786598.7692522015</v>
      </c>
      <c r="H16" s="1093">
        <f>-'Tax Depr 2023'!Y20</f>
        <v>-9960635.6965469867</v>
      </c>
      <c r="I16" s="1093">
        <f>-'Tax Depr 2023'!Y21</f>
        <v>-10193203.289352218</v>
      </c>
      <c r="J16" s="1093">
        <f>-'Tax Depr 2023'!Y22</f>
        <v>-10515126.094752632</v>
      </c>
      <c r="K16" s="1093">
        <f>-'Tax Depr 2023'!Y23</f>
        <v>-10883324.152174262</v>
      </c>
      <c r="L16" s="1093">
        <f>-'Tax Depr 2023'!Y24</f>
        <v>-11287691.556147425</v>
      </c>
      <c r="M16" s="1093">
        <f>-'Tax Depr 2023'!Y25</f>
        <v>-11720868.958974652</v>
      </c>
      <c r="N16" s="1093">
        <f>-'Tax Depr 2023'!Y26</f>
        <v>-12201780.485787066</v>
      </c>
      <c r="O16" s="1093">
        <f>-'Tax Depr 2023'!Y27</f>
        <v>-12781115.845424436</v>
      </c>
      <c r="P16" s="1093">
        <f>-'Tax Depr 2023'!Y28</f>
        <v>-13302287.810621576</v>
      </c>
      <c r="Q16" s="1093">
        <f t="shared" ref="Q16" si="3">AVERAGE(D16:P16)</f>
        <v>-10879551.187224071</v>
      </c>
      <c r="R16" s="842"/>
      <c r="S16" s="910"/>
    </row>
    <row r="17" spans="1:19" s="26" customFormat="1">
      <c r="A17" s="1071"/>
      <c r="B17" s="66"/>
      <c r="C17" s="385"/>
      <c r="D17" s="1094"/>
      <c r="E17" s="1094"/>
      <c r="F17" s="1094"/>
      <c r="G17" s="1094"/>
      <c r="H17" s="1094"/>
      <c r="I17" s="1094"/>
      <c r="J17" s="1094"/>
      <c r="K17" s="1094"/>
      <c r="L17" s="1094"/>
      <c r="M17" s="1094"/>
      <c r="N17" s="1094"/>
      <c r="O17" s="1094"/>
      <c r="P17" s="1094"/>
      <c r="Q17" s="1094"/>
      <c r="R17" s="839"/>
      <c r="S17" s="904"/>
    </row>
    <row r="18" spans="1:19" s="841" customFormat="1">
      <c r="A18" s="921">
        <v>6</v>
      </c>
      <c r="C18" s="847" t="s">
        <v>55</v>
      </c>
      <c r="D18" s="1095">
        <f>SUM(D14:D16)</f>
        <v>49094415.579870231</v>
      </c>
      <c r="E18" s="1095">
        <f>SUM(E14:E16)</f>
        <v>50395869.827992439</v>
      </c>
      <c r="F18" s="1095">
        <f t="shared" ref="F18:P18" si="4">SUM(F14:F16)</f>
        <v>51746129.981092647</v>
      </c>
      <c r="G18" s="1095">
        <f t="shared" si="4"/>
        <v>53037778.16624143</v>
      </c>
      <c r="H18" s="1095">
        <f t="shared" si="4"/>
        <v>54362732.41123464</v>
      </c>
      <c r="I18" s="1095">
        <f t="shared" si="4"/>
        <v>55786866.004419409</v>
      </c>
      <c r="J18" s="1095">
        <f t="shared" si="4"/>
        <v>57477423.375576489</v>
      </c>
      <c r="K18" s="1095">
        <f t="shared" si="4"/>
        <v>58739947.758055359</v>
      </c>
      <c r="L18" s="1095">
        <f t="shared" si="4"/>
        <v>59988112.665559709</v>
      </c>
      <c r="M18" s="1095">
        <f t="shared" si="4"/>
        <v>61061512.259979986</v>
      </c>
      <c r="N18" s="1095">
        <f t="shared" si="4"/>
        <v>62271477.148082554</v>
      </c>
      <c r="O18" s="1095">
        <f t="shared" si="4"/>
        <v>63562471.633305304</v>
      </c>
      <c r="P18" s="1095">
        <f t="shared" si="4"/>
        <v>64416486.87445417</v>
      </c>
      <c r="Q18" s="1095">
        <f>SUM(Q14:Q16)</f>
        <v>57072401.821989581</v>
      </c>
      <c r="R18" s="842"/>
      <c r="S18" s="906"/>
    </row>
    <row r="19" spans="1:19" s="26" customFormat="1">
      <c r="A19" s="1071"/>
      <c r="B19" s="66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839"/>
      <c r="S19" s="904"/>
    </row>
    <row r="20" spans="1:19" s="841" customFormat="1">
      <c r="A20" s="921">
        <v>7</v>
      </c>
      <c r="B20" s="843"/>
      <c r="C20" s="1086" t="s">
        <v>56</v>
      </c>
      <c r="D20" s="1076">
        <f>'Rev Req 2022-Distr'!P20</f>
        <v>7.0499999999999998E-3</v>
      </c>
      <c r="E20" s="1076">
        <f>'ROR 2023'!$G$12/12</f>
        <v>7.0499999999999998E-3</v>
      </c>
      <c r="F20" s="1076">
        <f>'ROR 2023'!$G$12/12</f>
        <v>7.0499999999999998E-3</v>
      </c>
      <c r="G20" s="1076">
        <f>'ROR 2023'!$G$12/12</f>
        <v>7.0499999999999998E-3</v>
      </c>
      <c r="H20" s="1076">
        <f>'ROR 2023'!$G$12/12</f>
        <v>7.0499999999999998E-3</v>
      </c>
      <c r="I20" s="1076">
        <f>'ROR 2023'!$G$12/12</f>
        <v>7.0499999999999998E-3</v>
      </c>
      <c r="J20" s="1076">
        <f>'ROR 2023'!$G$12/12</f>
        <v>7.0499999999999998E-3</v>
      </c>
      <c r="K20" s="1076">
        <f>'ROR 2023'!$G$12/12</f>
        <v>7.0499999999999998E-3</v>
      </c>
      <c r="L20" s="1076">
        <f>'ROR 2023'!$G$12/12</f>
        <v>7.0499999999999998E-3</v>
      </c>
      <c r="M20" s="1076">
        <f>'ROR 2023'!$G$12/12</f>
        <v>7.0499999999999998E-3</v>
      </c>
      <c r="N20" s="1076">
        <f>'ROR 2023'!$G$12/12</f>
        <v>7.0499999999999998E-3</v>
      </c>
      <c r="O20" s="1076">
        <f>'ROR 2023'!$G$12/12</f>
        <v>7.0499999999999998E-3</v>
      </c>
      <c r="P20" s="1076">
        <f>'ROR 2023'!$G$12/12</f>
        <v>7.0499999999999998E-3</v>
      </c>
      <c r="Q20" s="1076">
        <f>SUM(E20:P20)</f>
        <v>8.4599999999999995E-2</v>
      </c>
      <c r="R20" s="842"/>
      <c r="S20" s="906"/>
    </row>
    <row r="21" spans="1:19" s="26" customFormat="1">
      <c r="A21" s="1071"/>
      <c r="B21" s="66"/>
      <c r="C21" s="385"/>
      <c r="D21" s="385"/>
      <c r="E21" s="385"/>
      <c r="F21" s="385"/>
      <c r="G21" s="385"/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839"/>
      <c r="S21" s="904"/>
    </row>
    <row r="22" spans="1:19" s="841" customFormat="1" ht="21" customHeight="1">
      <c r="A22" s="921">
        <v>8</v>
      </c>
      <c r="B22" s="1072" t="s">
        <v>57</v>
      </c>
      <c r="D22" s="1096">
        <f>D18*D20</f>
        <v>346115.62983808515</v>
      </c>
      <c r="E22" s="1096">
        <f>E18*E20</f>
        <v>355290.8822873467</v>
      </c>
      <c r="F22" s="1096">
        <f t="shared" ref="F22:P22" si="5">F18*F20</f>
        <v>364810.21636670316</v>
      </c>
      <c r="G22" s="1096">
        <f t="shared" si="5"/>
        <v>373916.33607200207</v>
      </c>
      <c r="H22" s="1096">
        <f t="shared" si="5"/>
        <v>383257.26349920419</v>
      </c>
      <c r="I22" s="1096">
        <f t="shared" si="5"/>
        <v>393297.4053311568</v>
      </c>
      <c r="J22" s="1096">
        <f t="shared" si="5"/>
        <v>405215.83479781426</v>
      </c>
      <c r="K22" s="1096">
        <f t="shared" si="5"/>
        <v>414116.63169429026</v>
      </c>
      <c r="L22" s="1096">
        <f t="shared" si="5"/>
        <v>422916.19429219596</v>
      </c>
      <c r="M22" s="1096">
        <f t="shared" si="5"/>
        <v>430483.66143285891</v>
      </c>
      <c r="N22" s="1096">
        <f t="shared" si="5"/>
        <v>439013.91389398201</v>
      </c>
      <c r="O22" s="1096">
        <f t="shared" si="5"/>
        <v>448115.42501480237</v>
      </c>
      <c r="P22" s="1096">
        <f t="shared" si="5"/>
        <v>454136.23246490187</v>
      </c>
      <c r="Q22" s="1096">
        <f>Q18*Q20</f>
        <v>4828325.1941403178</v>
      </c>
      <c r="R22" s="842"/>
      <c r="S22" s="906"/>
    </row>
    <row r="23" spans="1:19" s="26" customFormat="1">
      <c r="A23" s="1071"/>
      <c r="B23" s="66"/>
      <c r="C23" s="385"/>
      <c r="D23" s="923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839"/>
      <c r="S23" s="904"/>
    </row>
    <row r="24" spans="1:19" s="841" customFormat="1" ht="18.75" customHeight="1">
      <c r="A24" s="921"/>
      <c r="B24" s="1097" t="s">
        <v>58</v>
      </c>
      <c r="C24" s="845"/>
      <c r="D24" s="845"/>
      <c r="E24" s="845"/>
      <c r="F24" s="845"/>
      <c r="G24" s="845"/>
      <c r="H24" s="845"/>
      <c r="I24" s="845"/>
      <c r="J24" s="845"/>
      <c r="K24" s="845"/>
      <c r="L24" s="845"/>
      <c r="M24" s="845"/>
      <c r="N24" s="845"/>
      <c r="O24" s="845"/>
      <c r="P24" s="845"/>
      <c r="Q24" s="845"/>
      <c r="R24" s="842"/>
      <c r="S24" s="906"/>
    </row>
    <row r="25" spans="1:19" s="841" customFormat="1" ht="18.75" customHeight="1">
      <c r="A25" s="921">
        <v>9</v>
      </c>
      <c r="B25" s="843"/>
      <c r="C25" s="845" t="s">
        <v>960</v>
      </c>
      <c r="D25" s="1093">
        <f>'Rev Req 2022-Distr'!P25</f>
        <v>156072.08314800003</v>
      </c>
      <c r="E25" s="1093">
        <f>'202301 Bk Depr'!$P$28</f>
        <v>159879.15486000001</v>
      </c>
      <c r="F25" s="1093">
        <f>'202302 Bk Depr'!$P$28</f>
        <v>163808.27770950002</v>
      </c>
      <c r="G25" s="1093">
        <f>'202303 Bk Depr'!$P$28</f>
        <v>167848.91462250001</v>
      </c>
      <c r="H25" s="1093">
        <f>'202304 Bk Depr'!$P$28</f>
        <v>172019.13273000004</v>
      </c>
      <c r="I25" s="1093">
        <f>'202305 Bk Depr'!$P$28</f>
        <v>176541.92902800004</v>
      </c>
      <c r="J25" s="1093">
        <f>'202306 Bk Depr'!$P$28</f>
        <v>181710.49846050004</v>
      </c>
      <c r="K25" s="1093">
        <f>'202307 Bk Depr'!$P$28</f>
        <v>186678.35511750003</v>
      </c>
      <c r="L25" s="1093">
        <f>'202308 Bk Depr'!$P$28</f>
        <v>191204.29354050002</v>
      </c>
      <c r="M25" s="1093">
        <f>'202309 Bk Depr'!$P$28</f>
        <v>195733.90777050002</v>
      </c>
      <c r="N25" s="1093">
        <f>'202310 Bk Depr'!$P$28</f>
        <v>200323.40010300002</v>
      </c>
      <c r="O25" s="1093">
        <f>'202311 Bk Depr'!$P$28</f>
        <v>204891.08521050005</v>
      </c>
      <c r="P25" s="1093">
        <f>'202312 Bk Depr'!$P$28</f>
        <v>209127.31353900005</v>
      </c>
      <c r="Q25" s="1093">
        <f>SUM(E25:P25)</f>
        <v>2209766.2626915006</v>
      </c>
      <c r="R25" s="842"/>
      <c r="S25" s="906"/>
    </row>
    <row r="26" spans="1:19" s="841" customFormat="1" ht="18.75" customHeight="1">
      <c r="A26" s="921">
        <v>10</v>
      </c>
      <c r="B26" s="843"/>
      <c r="C26" s="845" t="s">
        <v>801</v>
      </c>
      <c r="D26" s="1093">
        <f>'Rev Req 2022-Distr'!P26</f>
        <v>134475.78</v>
      </c>
      <c r="E26" s="1093">
        <f>'Cap&amp;OpEx 2023'!C33</f>
        <v>122057.44000000002</v>
      </c>
      <c r="F26" s="1093">
        <f>'Cap&amp;OpEx 2023'!D33</f>
        <v>188598.55000000002</v>
      </c>
      <c r="G26" s="1093">
        <f>'Cap&amp;OpEx 2023'!E33</f>
        <v>142009.41000000006</v>
      </c>
      <c r="H26" s="1093">
        <f>'Cap&amp;OpEx 2023'!F33</f>
        <v>167702.81999999992</v>
      </c>
      <c r="I26" s="1093">
        <f>'Cap&amp;OpEx 2023'!G33</f>
        <v>233158.8500000003</v>
      </c>
      <c r="J26" s="1093">
        <f>'Cap&amp;OpEx 2023'!H33</f>
        <v>261754.0500000001</v>
      </c>
      <c r="K26" s="1093">
        <f>'Cap&amp;OpEx 2023'!I33</f>
        <v>274262.87000000023</v>
      </c>
      <c r="L26" s="1093">
        <f>'Cap&amp;OpEx 2023'!J33</f>
        <v>254450.6800000004</v>
      </c>
      <c r="M26" s="1093">
        <f>'Cap&amp;OpEx 2023'!K33</f>
        <v>243995.14000000031</v>
      </c>
      <c r="N26" s="1093">
        <f>'Cap&amp;OpEx 2023'!L33</f>
        <v>235067.28999999986</v>
      </c>
      <c r="O26" s="1093">
        <f>'Cap&amp;OpEx 2023'!M33</f>
        <v>248948.81000000003</v>
      </c>
      <c r="P26" s="1093">
        <f>'Cap&amp;OpEx 2023'!N33</f>
        <v>243501.69000000003</v>
      </c>
      <c r="Q26" s="1093">
        <f>SUM(E26:P26)</f>
        <v>2615507.6000000015</v>
      </c>
      <c r="R26" s="842"/>
      <c r="S26" s="906"/>
    </row>
    <row r="27" spans="1:19" s="841" customFormat="1" ht="18.75" customHeight="1">
      <c r="A27" s="921">
        <v>11</v>
      </c>
      <c r="B27" s="843"/>
      <c r="C27" s="845" t="s">
        <v>175</v>
      </c>
      <c r="D27" s="1093">
        <f>'Rev Req 2022-Distr'!P27</f>
        <v>52553</v>
      </c>
      <c r="E27" s="1093">
        <f>'Cap&amp;OpEx 2023'!C34</f>
        <v>64199.040000000001</v>
      </c>
      <c r="F27" s="1093">
        <f>'Cap&amp;OpEx 2023'!D34</f>
        <v>64199.040000000001</v>
      </c>
      <c r="G27" s="1093">
        <f>'Cap&amp;OpEx 2023'!E34</f>
        <v>64199.040000000001</v>
      </c>
      <c r="H27" s="1093">
        <f>'Cap&amp;OpEx 2023'!F34</f>
        <v>64199.040000000001</v>
      </c>
      <c r="I27" s="1093">
        <f>'Cap&amp;OpEx 2023'!G34</f>
        <v>64199.040000000001</v>
      </c>
      <c r="J27" s="1093">
        <f>'Cap&amp;OpEx 2023'!H34</f>
        <v>64199.040000000001</v>
      </c>
      <c r="K27" s="1093">
        <f>'Cap&amp;OpEx 2023'!I34</f>
        <v>64199.040000000001</v>
      </c>
      <c r="L27" s="1093">
        <f>'Cap&amp;OpEx 2023'!J34</f>
        <v>64199.040000000001</v>
      </c>
      <c r="M27" s="1093">
        <f>'Cap&amp;OpEx 2023'!K34</f>
        <v>64199.040000000001</v>
      </c>
      <c r="N27" s="1093">
        <f>'Cap&amp;OpEx 2023'!L34</f>
        <v>64199.040000000001</v>
      </c>
      <c r="O27" s="1093">
        <f>'Cap&amp;OpEx 2023'!M34</f>
        <v>64199.040000000001</v>
      </c>
      <c r="P27" s="1093">
        <f>'Cap&amp;OpEx 2023'!N34</f>
        <v>64199.040000000001</v>
      </c>
      <c r="Q27" s="1093">
        <f>SUM(E27:P27)</f>
        <v>770388.4800000001</v>
      </c>
      <c r="R27" s="842"/>
      <c r="S27" s="906"/>
    </row>
    <row r="28" spans="1:19" s="26" customFormat="1">
      <c r="A28" s="1071"/>
      <c r="B28" s="66"/>
      <c r="C28" s="385"/>
      <c r="D28" s="848"/>
      <c r="E28" s="848"/>
      <c r="F28" s="848"/>
      <c r="G28" s="848"/>
      <c r="H28" s="848"/>
      <c r="I28" s="848"/>
      <c r="J28" s="848"/>
      <c r="K28" s="848"/>
      <c r="L28" s="848"/>
      <c r="M28" s="848"/>
      <c r="N28" s="848"/>
      <c r="O28" s="848"/>
      <c r="P28" s="848"/>
      <c r="Q28" s="848"/>
      <c r="R28" s="839"/>
      <c r="S28" s="904"/>
    </row>
    <row r="29" spans="1:19" s="841" customFormat="1" ht="21.75" customHeight="1">
      <c r="A29" s="921">
        <v>12</v>
      </c>
      <c r="B29" s="1072" t="s">
        <v>917</v>
      </c>
      <c r="D29" s="1098">
        <f>SUM(D25:D27)</f>
        <v>343100.86314800003</v>
      </c>
      <c r="E29" s="1098">
        <f t="shared" ref="E29:Q29" si="6">SUM(E25:E27)</f>
        <v>346135.63485999999</v>
      </c>
      <c r="F29" s="1098">
        <f t="shared" si="6"/>
        <v>416605.86770950002</v>
      </c>
      <c r="G29" s="1098">
        <f t="shared" si="6"/>
        <v>374057.36462250008</v>
      </c>
      <c r="H29" s="1098">
        <f t="shared" si="6"/>
        <v>403920.99272999994</v>
      </c>
      <c r="I29" s="1098">
        <f t="shared" si="6"/>
        <v>473899.81902800029</v>
      </c>
      <c r="J29" s="1098">
        <f t="shared" si="6"/>
        <v>507663.58846050012</v>
      </c>
      <c r="K29" s="1098">
        <f t="shared" si="6"/>
        <v>525140.26511750033</v>
      </c>
      <c r="L29" s="1098">
        <f t="shared" si="6"/>
        <v>509854.01354050037</v>
      </c>
      <c r="M29" s="1098">
        <f t="shared" si="6"/>
        <v>503928.08777050028</v>
      </c>
      <c r="N29" s="1098">
        <f t="shared" si="6"/>
        <v>499589.73010299989</v>
      </c>
      <c r="O29" s="1098">
        <f t="shared" si="6"/>
        <v>518038.93521050009</v>
      </c>
      <c r="P29" s="1098">
        <f t="shared" si="6"/>
        <v>516828.04353900003</v>
      </c>
      <c r="Q29" s="1098">
        <f t="shared" si="6"/>
        <v>5595662.3426915025</v>
      </c>
      <c r="R29" s="842"/>
      <c r="S29" s="906"/>
    </row>
    <row r="30" spans="1:19" s="26" customFormat="1" ht="18" customHeight="1">
      <c r="A30" s="1071"/>
      <c r="B30" s="66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839"/>
      <c r="S30" s="904"/>
    </row>
    <row r="31" spans="1:19" s="841" customFormat="1" ht="22.5" customHeight="1">
      <c r="A31" s="921">
        <v>13</v>
      </c>
      <c r="B31" s="1073" t="s">
        <v>162</v>
      </c>
      <c r="C31" s="845"/>
      <c r="D31" s="1096">
        <f t="shared" ref="D31:P31" si="7">D22+D29</f>
        <v>689216.49298608513</v>
      </c>
      <c r="E31" s="1096">
        <f t="shared" si="7"/>
        <v>701426.51714734663</v>
      </c>
      <c r="F31" s="1096">
        <f t="shared" si="7"/>
        <v>781416.08407620317</v>
      </c>
      <c r="G31" s="1096">
        <f t="shared" si="7"/>
        <v>747973.7006945021</v>
      </c>
      <c r="H31" s="1096">
        <f t="shared" si="7"/>
        <v>787178.25622920413</v>
      </c>
      <c r="I31" s="1096">
        <f t="shared" si="7"/>
        <v>867197.22435915703</v>
      </c>
      <c r="J31" s="1096">
        <f t="shared" si="7"/>
        <v>912879.42325831437</v>
      </c>
      <c r="K31" s="1096">
        <f t="shared" si="7"/>
        <v>939256.89681179053</v>
      </c>
      <c r="L31" s="1096">
        <f t="shared" si="7"/>
        <v>932770.20783269638</v>
      </c>
      <c r="M31" s="1096">
        <f t="shared" si="7"/>
        <v>934411.74920335924</v>
      </c>
      <c r="N31" s="1096">
        <f t="shared" si="7"/>
        <v>938603.6439969819</v>
      </c>
      <c r="O31" s="1096">
        <f t="shared" si="7"/>
        <v>966154.3602253024</v>
      </c>
      <c r="P31" s="1096">
        <f t="shared" si="7"/>
        <v>970964.27600390185</v>
      </c>
      <c r="Q31" s="1096">
        <f>Q22+Q29</f>
        <v>10423987.53683182</v>
      </c>
      <c r="R31" s="842"/>
      <c r="S31" s="906"/>
    </row>
    <row r="32" spans="1:19" s="26" customFormat="1" ht="22.5" customHeight="1">
      <c r="D32" s="485"/>
      <c r="E32" s="850"/>
      <c r="F32" s="850"/>
      <c r="G32" s="850"/>
      <c r="H32" s="850"/>
      <c r="I32" s="850"/>
      <c r="J32" s="850"/>
      <c r="K32" s="850"/>
      <c r="L32" s="850"/>
      <c r="M32" s="850"/>
      <c r="N32" s="850"/>
      <c r="O32" s="850"/>
      <c r="R32" s="839"/>
      <c r="S32" s="904"/>
    </row>
    <row r="33" spans="1:19" s="26" customFormat="1" ht="25.5" customHeight="1">
      <c r="A33" s="190"/>
      <c r="B33" s="1100" t="s">
        <v>1032</v>
      </c>
      <c r="C33" s="190"/>
      <c r="D33" s="925"/>
      <c r="E33" s="926"/>
      <c r="F33" s="926"/>
      <c r="G33" s="926"/>
      <c r="H33" s="926"/>
      <c r="I33" s="926"/>
      <c r="J33" s="926"/>
      <c r="K33" s="926"/>
      <c r="L33" s="926"/>
      <c r="M33" s="926"/>
      <c r="N33" s="926"/>
      <c r="O33" s="926"/>
      <c r="P33" s="190"/>
      <c r="Q33" s="190"/>
      <c r="R33" s="839"/>
      <c r="S33" s="904"/>
    </row>
    <row r="34" spans="1:19" s="26" customFormat="1" ht="18.75" customHeight="1">
      <c r="A34" s="190"/>
      <c r="B34" s="1191" t="s">
        <v>1033</v>
      </c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926"/>
      <c r="N34" s="926"/>
      <c r="O34" s="926"/>
      <c r="P34" s="190"/>
      <c r="Q34" s="190"/>
      <c r="R34" s="839"/>
      <c r="S34" s="904"/>
    </row>
    <row r="35" spans="1:19" s="26" customFormat="1">
      <c r="A35" s="190"/>
      <c r="C35" s="1099" t="s">
        <v>989</v>
      </c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839"/>
      <c r="S35" s="905"/>
    </row>
    <row r="36" spans="1:19">
      <c r="A36" s="851"/>
      <c r="B36" s="190"/>
      <c r="C36" s="1100" t="s">
        <v>1020</v>
      </c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S36" s="905"/>
    </row>
    <row r="37" spans="1:19">
      <c r="A37" s="851"/>
      <c r="B37" s="851"/>
      <c r="C37" s="1100" t="s">
        <v>991</v>
      </c>
      <c r="D37" s="854"/>
      <c r="E37" s="927"/>
      <c r="F37" s="927"/>
      <c r="G37" s="927"/>
      <c r="H37" s="927"/>
      <c r="I37" s="927"/>
      <c r="J37" s="190"/>
      <c r="K37" s="927"/>
      <c r="L37" s="927"/>
      <c r="M37" s="927"/>
      <c r="N37" s="927"/>
      <c r="O37" s="927"/>
      <c r="P37" s="927"/>
      <c r="Q37" s="928"/>
      <c r="R37" s="855"/>
      <c r="S37" s="905"/>
    </row>
    <row r="38" spans="1:19">
      <c r="A38" s="851"/>
      <c r="B38" s="851"/>
      <c r="C38" s="853"/>
      <c r="D38" s="854"/>
      <c r="E38" s="927"/>
      <c r="F38" s="927"/>
      <c r="G38" s="927"/>
      <c r="H38" s="927"/>
      <c r="I38" s="927"/>
      <c r="J38" s="927"/>
      <c r="K38" s="927"/>
      <c r="L38" s="927"/>
      <c r="M38" s="927"/>
      <c r="N38" s="927"/>
      <c r="O38" s="927"/>
      <c r="P38" s="927"/>
      <c r="Q38" s="928"/>
      <c r="R38" s="855"/>
      <c r="S38" s="905"/>
    </row>
    <row r="39" spans="1:19">
      <c r="A39" s="851"/>
      <c r="B39" s="851"/>
      <c r="C39" s="853"/>
      <c r="D39" s="854"/>
      <c r="E39" s="927"/>
      <c r="F39" s="927"/>
      <c r="G39" s="927"/>
      <c r="H39" s="927"/>
      <c r="I39" s="927"/>
      <c r="J39" s="927"/>
      <c r="K39" s="927"/>
      <c r="L39" s="927"/>
      <c r="M39" s="927"/>
      <c r="N39" s="927"/>
      <c r="O39" s="927"/>
      <c r="P39" s="927"/>
      <c r="Q39" s="928"/>
      <c r="R39" s="855"/>
      <c r="S39" s="905"/>
    </row>
    <row r="40" spans="1:19">
      <c r="A40" s="851"/>
      <c r="B40" s="851"/>
      <c r="C40" s="853"/>
      <c r="D40" s="936"/>
      <c r="E40" s="936"/>
      <c r="F40" s="936"/>
      <c r="G40" s="936"/>
      <c r="H40" s="928"/>
      <c r="I40" s="928"/>
      <c r="J40" s="928"/>
      <c r="K40" s="929"/>
      <c r="L40" s="928"/>
      <c r="M40" s="928"/>
      <c r="N40" s="928"/>
      <c r="O40" s="928"/>
      <c r="P40" s="928"/>
      <c r="Q40" s="928"/>
      <c r="R40" s="855"/>
      <c r="S40" s="905"/>
    </row>
    <row r="41" spans="1:19">
      <c r="A41" s="930"/>
      <c r="B41" s="930"/>
      <c r="C41" s="931"/>
      <c r="D41" s="857"/>
      <c r="E41" s="932"/>
      <c r="F41" s="932"/>
      <c r="G41" s="932"/>
      <c r="H41" s="932"/>
      <c r="I41" s="932"/>
      <c r="J41" s="932"/>
      <c r="K41" s="932"/>
      <c r="L41" s="932"/>
      <c r="M41" s="932"/>
      <c r="N41" s="932"/>
      <c r="O41" s="932"/>
      <c r="P41" s="932"/>
      <c r="Q41" s="932"/>
      <c r="R41" s="858"/>
      <c r="S41" s="905"/>
    </row>
    <row r="42" spans="1:19">
      <c r="A42" s="930"/>
      <c r="B42" s="859"/>
      <c r="C42" s="860"/>
      <c r="D42" s="857"/>
      <c r="E42" s="932"/>
      <c r="F42" s="932"/>
      <c r="G42" s="933"/>
      <c r="H42" s="933"/>
      <c r="I42" s="933"/>
      <c r="J42" s="933"/>
      <c r="K42" s="933"/>
      <c r="L42" s="933"/>
      <c r="M42" s="933"/>
      <c r="N42" s="933"/>
      <c r="O42" s="933"/>
      <c r="P42" s="933"/>
      <c r="Q42" s="933"/>
      <c r="R42" s="861"/>
      <c r="S42" s="905"/>
    </row>
    <row r="43" spans="1:19">
      <c r="A43" s="930"/>
      <c r="B43" s="930"/>
      <c r="C43" s="862"/>
      <c r="D43" s="857"/>
      <c r="E43" s="932"/>
      <c r="F43" s="932"/>
      <c r="G43" s="932"/>
      <c r="H43" s="932"/>
      <c r="I43" s="932"/>
      <c r="J43" s="932"/>
      <c r="K43" s="932"/>
      <c r="L43" s="932"/>
      <c r="M43" s="932"/>
      <c r="N43" s="932"/>
      <c r="O43" s="932"/>
      <c r="P43" s="932"/>
      <c r="Q43" s="932"/>
      <c r="R43" s="858"/>
      <c r="S43" s="905"/>
    </row>
    <row r="44" spans="1:19">
      <c r="A44" s="930"/>
      <c r="B44" s="930"/>
      <c r="C44" s="930"/>
      <c r="D44" s="930"/>
      <c r="E44" s="930"/>
      <c r="F44" s="930"/>
      <c r="G44" s="930"/>
      <c r="H44" s="930"/>
      <c r="I44" s="930"/>
      <c r="J44" s="930"/>
      <c r="K44" s="930"/>
      <c r="L44" s="930"/>
      <c r="M44" s="930"/>
      <c r="N44" s="930"/>
      <c r="O44" s="930"/>
      <c r="P44" s="930"/>
      <c r="Q44" s="930"/>
      <c r="S44" s="905"/>
    </row>
    <row r="45" spans="1:19">
      <c r="A45" s="930"/>
      <c r="B45" s="930"/>
      <c r="C45" s="930"/>
      <c r="D45" s="930"/>
      <c r="E45" s="930"/>
      <c r="F45" s="930"/>
      <c r="G45" s="930"/>
      <c r="H45" s="930"/>
      <c r="I45" s="930"/>
      <c r="J45" s="930"/>
      <c r="K45" s="930"/>
      <c r="L45" s="930"/>
      <c r="M45" s="930"/>
      <c r="N45" s="930"/>
      <c r="O45" s="930"/>
      <c r="P45" s="930"/>
      <c r="Q45" s="930"/>
      <c r="S45" s="905"/>
    </row>
    <row r="46" spans="1:19">
      <c r="A46" s="930"/>
      <c r="B46" s="930"/>
      <c r="C46" s="930"/>
      <c r="D46" s="930"/>
      <c r="E46" s="934"/>
      <c r="F46" s="934"/>
      <c r="G46" s="934"/>
      <c r="H46" s="934"/>
      <c r="I46" s="934"/>
      <c r="J46" s="934"/>
      <c r="K46" s="934"/>
      <c r="L46" s="934"/>
      <c r="M46" s="934"/>
      <c r="N46" s="934"/>
      <c r="O46" s="934"/>
      <c r="P46" s="930"/>
      <c r="Q46" s="930"/>
      <c r="S46" s="905"/>
    </row>
    <row r="47" spans="1:19">
      <c r="A47" s="935"/>
      <c r="B47" s="930"/>
      <c r="C47" s="930"/>
      <c r="D47" s="930"/>
      <c r="E47" s="930"/>
      <c r="F47" s="930"/>
      <c r="G47" s="930"/>
      <c r="H47" s="930"/>
      <c r="I47" s="930"/>
      <c r="J47" s="930"/>
      <c r="K47" s="930"/>
      <c r="L47" s="930"/>
      <c r="M47" s="930"/>
      <c r="N47" s="930"/>
      <c r="O47" s="930"/>
      <c r="P47" s="930"/>
      <c r="Q47" s="930"/>
      <c r="S47" s="905"/>
    </row>
    <row r="48" spans="1:19">
      <c r="A48" s="863"/>
      <c r="B48" s="930"/>
      <c r="C48" s="930"/>
      <c r="D48" s="930"/>
      <c r="E48" s="930"/>
      <c r="F48" s="930"/>
      <c r="G48" s="930"/>
      <c r="H48" s="930"/>
      <c r="I48" s="930"/>
      <c r="J48" s="930"/>
      <c r="K48" s="930"/>
      <c r="L48" s="930"/>
      <c r="M48" s="930"/>
      <c r="N48" s="930"/>
      <c r="O48" s="930"/>
      <c r="P48" s="930"/>
      <c r="Q48" s="930"/>
      <c r="S48" s="905"/>
    </row>
    <row r="49" spans="1:19">
      <c r="A49" s="863"/>
      <c r="B49" s="930"/>
      <c r="C49" s="930"/>
      <c r="D49" s="930"/>
      <c r="E49" s="930"/>
      <c r="F49" s="930"/>
      <c r="G49" s="930"/>
      <c r="H49" s="930"/>
      <c r="I49" s="930"/>
      <c r="J49" s="930"/>
      <c r="K49" s="930"/>
      <c r="L49" s="930"/>
      <c r="M49" s="930"/>
      <c r="N49" s="930"/>
      <c r="O49" s="930"/>
      <c r="P49" s="930"/>
      <c r="Q49" s="930"/>
      <c r="S49" s="905"/>
    </row>
    <row r="50" spans="1:19">
      <c r="A50" s="935"/>
      <c r="B50" s="930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0"/>
      <c r="P50" s="930"/>
      <c r="Q50" s="930"/>
      <c r="S50" s="905"/>
    </row>
    <row r="51" spans="1:19" ht="15">
      <c r="A51" s="851"/>
      <c r="B51" s="851"/>
      <c r="C51" s="930"/>
      <c r="D51" s="930"/>
      <c r="E51" s="930"/>
      <c r="F51" s="930"/>
      <c r="G51" s="930"/>
      <c r="H51" s="930"/>
      <c r="I51" s="930"/>
      <c r="J51" s="930"/>
      <c r="K51" s="930"/>
      <c r="L51" s="930"/>
      <c r="M51" s="930"/>
      <c r="N51" s="930"/>
      <c r="O51" s="930"/>
      <c r="P51" s="930"/>
      <c r="Q51" s="930"/>
      <c r="S51" s="911"/>
    </row>
    <row r="52" spans="1:19">
      <c r="A52" s="864"/>
      <c r="B52" s="851"/>
      <c r="C52" s="930"/>
      <c r="D52" s="864"/>
      <c r="E52" s="864"/>
      <c r="F52" s="864"/>
      <c r="G52" s="864"/>
      <c r="H52" s="864"/>
      <c r="I52" s="864"/>
      <c r="J52" s="864"/>
      <c r="K52" s="864"/>
      <c r="L52" s="864"/>
      <c r="M52" s="864"/>
      <c r="N52" s="864"/>
      <c r="O52" s="864"/>
      <c r="P52" s="864"/>
      <c r="Q52" s="864"/>
      <c r="S52" s="909"/>
    </row>
    <row r="53" spans="1:19">
      <c r="A53" s="865"/>
      <c r="B53" s="851"/>
      <c r="C53" s="865"/>
      <c r="D53" s="866"/>
      <c r="E53" s="865"/>
      <c r="F53" s="866"/>
      <c r="G53" s="866"/>
      <c r="H53" s="866"/>
      <c r="I53" s="866"/>
      <c r="J53" s="866"/>
      <c r="K53" s="866"/>
      <c r="L53" s="866"/>
      <c r="M53" s="866"/>
      <c r="N53" s="866"/>
      <c r="O53" s="866"/>
      <c r="P53" s="866"/>
      <c r="Q53" s="866"/>
      <c r="S53" s="909"/>
    </row>
    <row r="54" spans="1:19">
      <c r="A54" s="864"/>
      <c r="B54" s="851"/>
      <c r="C54" s="867"/>
      <c r="D54" s="867"/>
      <c r="E54" s="867"/>
      <c r="F54" s="867"/>
      <c r="G54" s="867"/>
      <c r="H54" s="867"/>
      <c r="I54" s="867"/>
      <c r="J54" s="867"/>
      <c r="K54" s="867"/>
      <c r="L54" s="867"/>
      <c r="M54" s="867"/>
      <c r="N54" s="867"/>
      <c r="O54" s="867"/>
      <c r="P54" s="867"/>
      <c r="Q54" s="867"/>
      <c r="S54" s="909"/>
    </row>
    <row r="55" spans="1:19" ht="15">
      <c r="A55" s="851"/>
      <c r="B55" s="851"/>
      <c r="C55" s="852"/>
      <c r="D55" s="852"/>
      <c r="E55" s="852"/>
      <c r="F55" s="852"/>
      <c r="G55" s="852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S55" s="909"/>
    </row>
    <row r="56" spans="1:19">
      <c r="A56" s="851"/>
      <c r="B56" s="868"/>
      <c r="C56" s="852"/>
      <c r="D56" s="852"/>
      <c r="E56" s="852"/>
      <c r="F56" s="852"/>
      <c r="G56" s="852"/>
      <c r="H56" s="852"/>
      <c r="I56" s="852"/>
      <c r="J56" s="852"/>
      <c r="K56" s="852"/>
      <c r="L56" s="852"/>
      <c r="M56" s="852"/>
      <c r="N56" s="852"/>
      <c r="O56" s="852"/>
      <c r="P56" s="852"/>
      <c r="Q56" s="852"/>
      <c r="S56" s="909"/>
    </row>
    <row r="57" spans="1:19" ht="15">
      <c r="A57" s="851"/>
      <c r="B57" s="851"/>
      <c r="C57" s="853"/>
      <c r="D57" s="869"/>
      <c r="E57" s="869"/>
      <c r="F57" s="869"/>
      <c r="G57" s="869"/>
      <c r="H57" s="869"/>
      <c r="I57" s="869"/>
      <c r="J57" s="869"/>
      <c r="K57" s="869"/>
      <c r="L57" s="869"/>
      <c r="M57" s="869"/>
      <c r="N57" s="869"/>
      <c r="O57" s="869"/>
      <c r="P57" s="869"/>
      <c r="Q57" s="869"/>
      <c r="S57" s="909"/>
    </row>
    <row r="58" spans="1:19" ht="15">
      <c r="A58" s="851"/>
      <c r="B58" s="851"/>
      <c r="C58" s="852"/>
      <c r="D58" s="869"/>
      <c r="E58" s="869"/>
      <c r="F58" s="869"/>
      <c r="G58" s="869"/>
      <c r="H58" s="869"/>
      <c r="I58" s="869"/>
      <c r="J58" s="869"/>
      <c r="K58" s="869"/>
      <c r="L58" s="869"/>
      <c r="M58" s="869"/>
      <c r="N58" s="869"/>
      <c r="O58" s="869"/>
      <c r="P58" s="869"/>
      <c r="Q58" s="869"/>
      <c r="S58" s="909"/>
    </row>
    <row r="59" spans="1:19" ht="15">
      <c r="A59" s="851"/>
      <c r="B59" s="851"/>
      <c r="C59" s="852"/>
      <c r="D59" s="869"/>
      <c r="E59" s="869"/>
      <c r="F59" s="869"/>
      <c r="G59" s="869"/>
      <c r="H59" s="869"/>
      <c r="I59" s="869"/>
      <c r="J59" s="869"/>
      <c r="K59" s="869"/>
      <c r="L59" s="869"/>
      <c r="M59" s="869"/>
      <c r="N59" s="869"/>
      <c r="O59" s="869"/>
      <c r="P59" s="869"/>
      <c r="Q59" s="869"/>
      <c r="S59" s="909"/>
    </row>
    <row r="60" spans="1:19" ht="15">
      <c r="A60" s="851"/>
      <c r="B60" s="851"/>
      <c r="C60" s="852"/>
      <c r="D60" s="869"/>
      <c r="E60" s="869"/>
      <c r="F60" s="869"/>
      <c r="G60" s="869"/>
      <c r="H60" s="869"/>
      <c r="I60" s="869"/>
      <c r="J60" s="869"/>
      <c r="K60" s="869"/>
      <c r="L60" s="869"/>
      <c r="M60" s="869"/>
      <c r="N60" s="869"/>
      <c r="O60" s="869"/>
      <c r="P60" s="869"/>
      <c r="Q60" s="869"/>
      <c r="S60" s="909"/>
    </row>
    <row r="61" spans="1:19" ht="15">
      <c r="A61" s="851"/>
      <c r="B61" s="851"/>
      <c r="C61" s="852"/>
      <c r="D61" s="869"/>
      <c r="E61" s="869"/>
      <c r="F61" s="869"/>
      <c r="G61" s="869"/>
      <c r="H61" s="869"/>
      <c r="I61" s="869"/>
      <c r="J61" s="869"/>
      <c r="K61" s="869"/>
      <c r="L61" s="869"/>
      <c r="M61" s="869"/>
      <c r="N61" s="869"/>
      <c r="O61" s="869"/>
      <c r="P61" s="869"/>
      <c r="Q61" s="869"/>
      <c r="S61" s="909"/>
    </row>
    <row r="62" spans="1:19" ht="15">
      <c r="A62" s="851"/>
      <c r="B62" s="851"/>
      <c r="C62" s="852"/>
      <c r="D62" s="869"/>
      <c r="E62" s="869"/>
      <c r="F62" s="869"/>
      <c r="G62" s="869"/>
      <c r="H62" s="869"/>
      <c r="I62" s="869"/>
      <c r="J62" s="869"/>
      <c r="K62" s="869"/>
      <c r="L62" s="869"/>
      <c r="M62" s="869"/>
      <c r="N62" s="869"/>
      <c r="O62" s="869"/>
      <c r="P62" s="869"/>
      <c r="Q62" s="869"/>
      <c r="S62" s="909"/>
    </row>
    <row r="63" spans="1:19">
      <c r="A63" s="851"/>
      <c r="B63" s="851"/>
      <c r="C63" s="852"/>
      <c r="D63" s="869"/>
      <c r="E63" s="869"/>
      <c r="F63" s="869"/>
      <c r="G63" s="869"/>
      <c r="H63" s="869"/>
      <c r="I63" s="869"/>
      <c r="J63" s="869"/>
      <c r="K63" s="869"/>
      <c r="L63" s="869"/>
      <c r="M63" s="869"/>
      <c r="N63" s="869"/>
      <c r="O63" s="869"/>
      <c r="P63" s="869"/>
      <c r="Q63" s="869"/>
      <c r="S63" s="905"/>
    </row>
    <row r="64" spans="1:19">
      <c r="A64" s="851"/>
      <c r="B64" s="851"/>
      <c r="C64" s="853"/>
      <c r="D64" s="869"/>
      <c r="E64" s="869"/>
      <c r="F64" s="869"/>
      <c r="G64" s="869"/>
      <c r="H64" s="869"/>
      <c r="I64" s="869"/>
      <c r="J64" s="869"/>
      <c r="K64" s="869"/>
      <c r="L64" s="869"/>
      <c r="M64" s="869"/>
      <c r="N64" s="869"/>
      <c r="O64" s="869"/>
      <c r="P64" s="869"/>
      <c r="Q64" s="869"/>
      <c r="S64" s="905"/>
    </row>
    <row r="65" spans="1:19">
      <c r="A65" s="851"/>
      <c r="B65" s="851"/>
      <c r="C65" s="852"/>
      <c r="D65" s="852"/>
      <c r="E65" s="852"/>
      <c r="F65" s="852"/>
      <c r="G65" s="852"/>
      <c r="H65" s="852"/>
      <c r="I65" s="852"/>
      <c r="J65" s="852"/>
      <c r="K65" s="852"/>
      <c r="L65" s="852"/>
      <c r="M65" s="852"/>
      <c r="N65" s="852"/>
      <c r="O65" s="852"/>
      <c r="P65" s="852"/>
      <c r="Q65" s="852"/>
      <c r="S65" s="905"/>
    </row>
    <row r="66" spans="1:19">
      <c r="A66" s="851"/>
      <c r="B66" s="851"/>
      <c r="C66" s="852"/>
      <c r="D66" s="870"/>
      <c r="E66" s="870"/>
      <c r="F66" s="870"/>
      <c r="G66" s="870"/>
      <c r="H66" s="870"/>
      <c r="I66" s="870"/>
      <c r="J66" s="870"/>
      <c r="K66" s="870"/>
      <c r="L66" s="870"/>
      <c r="M66" s="870"/>
      <c r="N66" s="870"/>
      <c r="O66" s="870"/>
      <c r="P66" s="870"/>
      <c r="Q66" s="870"/>
      <c r="S66" s="905"/>
    </row>
    <row r="67" spans="1:19">
      <c r="A67" s="851"/>
      <c r="B67" s="851"/>
      <c r="C67" s="852"/>
      <c r="D67" s="852"/>
      <c r="E67" s="852"/>
      <c r="F67" s="852"/>
      <c r="G67" s="852"/>
      <c r="H67" s="852"/>
      <c r="I67" s="852"/>
      <c r="J67" s="852"/>
      <c r="K67" s="852"/>
      <c r="L67" s="852"/>
      <c r="M67" s="852"/>
      <c r="N67" s="852"/>
      <c r="O67" s="852"/>
      <c r="P67" s="852"/>
      <c r="Q67" s="852"/>
      <c r="S67" s="905"/>
    </row>
    <row r="68" spans="1:19">
      <c r="A68" s="851"/>
      <c r="B68" s="851"/>
      <c r="C68" s="852"/>
      <c r="D68" s="856"/>
      <c r="E68" s="856"/>
      <c r="F68" s="856"/>
      <c r="G68" s="856"/>
      <c r="H68" s="856"/>
      <c r="I68" s="856"/>
      <c r="J68" s="856"/>
      <c r="K68" s="856"/>
      <c r="L68" s="856"/>
      <c r="M68" s="856"/>
      <c r="N68" s="856"/>
      <c r="O68" s="856"/>
      <c r="P68" s="856"/>
      <c r="Q68" s="856"/>
      <c r="S68" s="905"/>
    </row>
    <row r="69" spans="1:19">
      <c r="A69" s="851"/>
      <c r="B69" s="851"/>
      <c r="C69" s="852"/>
      <c r="D69" s="852"/>
      <c r="E69" s="852"/>
      <c r="F69" s="852"/>
      <c r="G69" s="852"/>
      <c r="H69" s="852"/>
      <c r="I69" s="852"/>
      <c r="J69" s="852"/>
      <c r="K69" s="852"/>
      <c r="L69" s="852"/>
      <c r="M69" s="852"/>
      <c r="N69" s="852"/>
      <c r="O69" s="852"/>
      <c r="P69" s="852"/>
      <c r="Q69" s="852"/>
      <c r="S69" s="905"/>
    </row>
    <row r="70" spans="1:19">
      <c r="A70" s="851"/>
      <c r="B70" s="868"/>
      <c r="C70" s="852"/>
      <c r="D70" s="852"/>
      <c r="E70" s="852"/>
      <c r="F70" s="852"/>
      <c r="G70" s="852"/>
      <c r="H70" s="852"/>
      <c r="I70" s="852"/>
      <c r="J70" s="852"/>
      <c r="K70" s="852"/>
      <c r="L70" s="852"/>
      <c r="M70" s="852"/>
      <c r="N70" s="852"/>
      <c r="O70" s="852"/>
      <c r="P70" s="852"/>
      <c r="Q70" s="852"/>
      <c r="S70" s="905"/>
    </row>
    <row r="71" spans="1:19">
      <c r="A71" s="851"/>
      <c r="B71" s="851"/>
      <c r="C71" s="852"/>
      <c r="D71" s="869"/>
      <c r="E71" s="869"/>
      <c r="F71" s="869"/>
      <c r="G71" s="869"/>
      <c r="H71" s="869"/>
      <c r="I71" s="869"/>
      <c r="J71" s="869"/>
      <c r="K71" s="869"/>
      <c r="L71" s="869"/>
      <c r="M71" s="869"/>
      <c r="N71" s="869"/>
      <c r="O71" s="869"/>
      <c r="P71" s="869"/>
      <c r="Q71" s="869"/>
      <c r="S71" s="905"/>
    </row>
    <row r="72" spans="1:19">
      <c r="A72" s="851"/>
      <c r="B72" s="851"/>
      <c r="C72" s="852"/>
      <c r="D72" s="869"/>
      <c r="E72" s="869"/>
      <c r="F72" s="869"/>
      <c r="G72" s="869"/>
      <c r="H72" s="869"/>
      <c r="I72" s="869"/>
      <c r="J72" s="869"/>
      <c r="K72" s="869"/>
      <c r="L72" s="869"/>
      <c r="M72" s="869"/>
      <c r="N72" s="869"/>
      <c r="O72" s="869"/>
      <c r="P72" s="869"/>
      <c r="Q72" s="869"/>
      <c r="S72" s="905"/>
    </row>
    <row r="73" spans="1:19">
      <c r="A73" s="851"/>
      <c r="B73" s="851"/>
      <c r="C73" s="852"/>
      <c r="D73" s="869"/>
      <c r="E73" s="869"/>
      <c r="F73" s="869"/>
      <c r="G73" s="869"/>
      <c r="H73" s="869"/>
      <c r="I73" s="869"/>
      <c r="J73" s="869"/>
      <c r="K73" s="869"/>
      <c r="L73" s="869"/>
      <c r="M73" s="869"/>
      <c r="N73" s="869"/>
      <c r="O73" s="869"/>
      <c r="P73" s="869"/>
      <c r="Q73" s="869"/>
      <c r="S73" s="905"/>
    </row>
    <row r="74" spans="1:19">
      <c r="A74" s="851"/>
      <c r="B74" s="851"/>
      <c r="C74" s="852"/>
      <c r="D74" s="869"/>
      <c r="E74" s="869"/>
      <c r="F74" s="869"/>
      <c r="G74" s="869"/>
      <c r="H74" s="869"/>
      <c r="I74" s="869"/>
      <c r="J74" s="869"/>
      <c r="K74" s="869"/>
      <c r="L74" s="869"/>
      <c r="M74" s="869"/>
      <c r="N74" s="869"/>
      <c r="O74" s="869"/>
      <c r="P74" s="869"/>
      <c r="Q74" s="869"/>
      <c r="S74" s="905"/>
    </row>
    <row r="75" spans="1:19">
      <c r="A75" s="851"/>
      <c r="B75" s="851"/>
      <c r="C75" s="852"/>
      <c r="D75" s="852"/>
      <c r="E75" s="852"/>
      <c r="F75" s="852"/>
      <c r="G75" s="852"/>
      <c r="H75" s="852"/>
      <c r="I75" s="852"/>
      <c r="J75" s="852"/>
      <c r="K75" s="852"/>
      <c r="L75" s="852"/>
      <c r="M75" s="852"/>
      <c r="N75" s="852"/>
      <c r="O75" s="852"/>
      <c r="P75" s="852"/>
      <c r="Q75" s="852"/>
      <c r="S75" s="905"/>
    </row>
    <row r="76" spans="1:19">
      <c r="A76" s="851"/>
      <c r="B76" s="868"/>
      <c r="C76" s="852"/>
      <c r="D76" s="856"/>
      <c r="E76" s="856"/>
      <c r="F76" s="856"/>
      <c r="G76" s="856"/>
      <c r="H76" s="856"/>
      <c r="I76" s="856"/>
      <c r="J76" s="856"/>
      <c r="K76" s="856"/>
      <c r="L76" s="856"/>
      <c r="M76" s="856"/>
      <c r="N76" s="856"/>
      <c r="O76" s="856"/>
      <c r="P76" s="856"/>
      <c r="Q76" s="856"/>
      <c r="S76" s="905"/>
    </row>
    <row r="77" spans="1:19">
      <c r="A77" s="851"/>
      <c r="B77" s="851"/>
      <c r="C77" s="852"/>
      <c r="D77" s="852"/>
      <c r="E77" s="852"/>
      <c r="F77" s="852"/>
      <c r="G77" s="852"/>
      <c r="H77" s="852"/>
      <c r="I77" s="852"/>
      <c r="J77" s="852"/>
      <c r="K77" s="852"/>
      <c r="L77" s="852"/>
      <c r="M77" s="852"/>
      <c r="N77" s="852"/>
      <c r="O77" s="852"/>
      <c r="P77" s="852"/>
      <c r="Q77" s="852"/>
      <c r="S77" s="905"/>
    </row>
    <row r="78" spans="1:19">
      <c r="A78" s="851"/>
      <c r="B78" s="868"/>
      <c r="C78" s="852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S78" s="905"/>
    </row>
    <row r="79" spans="1:19">
      <c r="A79" s="851"/>
      <c r="B79" s="868"/>
      <c r="C79" s="852"/>
      <c r="D79" s="871"/>
      <c r="E79" s="871"/>
      <c r="F79" s="871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S79" s="905"/>
    </row>
    <row r="80" spans="1:19">
      <c r="A80" s="851"/>
      <c r="B80" s="851"/>
      <c r="C80" s="852"/>
      <c r="D80" s="852"/>
      <c r="E80" s="852"/>
      <c r="F80" s="852"/>
      <c r="G80" s="852"/>
      <c r="H80" s="852"/>
      <c r="I80" s="852"/>
      <c r="J80" s="852"/>
      <c r="K80" s="852"/>
      <c r="L80" s="852"/>
      <c r="M80" s="852"/>
      <c r="N80" s="852"/>
      <c r="O80" s="852"/>
      <c r="P80" s="852"/>
      <c r="Q80" s="852"/>
      <c r="S80" s="905"/>
    </row>
    <row r="81" spans="1:19">
      <c r="A81" s="851"/>
      <c r="B81" s="872"/>
      <c r="C81" s="852"/>
      <c r="D81" s="852"/>
      <c r="E81" s="852"/>
      <c r="F81" s="852"/>
      <c r="G81" s="852"/>
      <c r="H81" s="852"/>
      <c r="I81" s="852"/>
      <c r="J81" s="852"/>
      <c r="K81" s="852"/>
      <c r="L81" s="852"/>
      <c r="M81" s="852"/>
      <c r="N81" s="852"/>
      <c r="O81" s="852"/>
      <c r="P81" s="852"/>
      <c r="Q81" s="852"/>
      <c r="S81" s="905"/>
    </row>
    <row r="82" spans="1:19">
      <c r="A82" s="851"/>
      <c r="B82" s="851"/>
      <c r="C82" s="853"/>
      <c r="D82" s="873"/>
      <c r="E82" s="873"/>
      <c r="F82" s="873"/>
      <c r="G82" s="873"/>
      <c r="H82" s="873"/>
      <c r="I82" s="873"/>
      <c r="J82" s="873"/>
      <c r="K82" s="873"/>
      <c r="L82" s="873"/>
      <c r="M82" s="873"/>
      <c r="N82" s="873"/>
      <c r="O82" s="873"/>
      <c r="P82" s="873"/>
      <c r="Q82" s="873"/>
      <c r="S82" s="905"/>
    </row>
    <row r="83" spans="1:19">
      <c r="A83" s="851"/>
      <c r="B83" s="851"/>
      <c r="C83" s="853"/>
      <c r="D83" s="873"/>
      <c r="E83" s="873"/>
      <c r="F83" s="873"/>
      <c r="G83" s="873"/>
      <c r="H83" s="873"/>
      <c r="I83" s="873"/>
      <c r="J83" s="873"/>
      <c r="K83" s="873"/>
      <c r="L83" s="873"/>
      <c r="M83" s="873"/>
      <c r="N83" s="873"/>
      <c r="O83" s="873"/>
      <c r="P83" s="873"/>
      <c r="Q83" s="873"/>
      <c r="S83" s="905"/>
    </row>
    <row r="84" spans="1:19">
      <c r="A84" s="851"/>
      <c r="B84" s="851"/>
      <c r="C84" s="853"/>
      <c r="D84" s="873"/>
      <c r="E84" s="873"/>
      <c r="F84" s="873"/>
      <c r="G84" s="873"/>
      <c r="H84" s="873"/>
      <c r="I84" s="873"/>
      <c r="J84" s="873"/>
      <c r="K84" s="873"/>
      <c r="L84" s="873"/>
      <c r="M84" s="873"/>
      <c r="N84" s="873"/>
      <c r="O84" s="873"/>
      <c r="P84" s="873"/>
      <c r="Q84" s="873"/>
      <c r="S84" s="905"/>
    </row>
    <row r="85" spans="1:19">
      <c r="A85" s="851"/>
      <c r="B85" s="851"/>
      <c r="C85" s="853"/>
      <c r="D85" s="873"/>
      <c r="E85" s="873"/>
      <c r="F85" s="873"/>
      <c r="G85" s="873"/>
      <c r="H85" s="873"/>
      <c r="I85" s="873"/>
      <c r="J85" s="873"/>
      <c r="K85" s="873"/>
      <c r="L85" s="873"/>
      <c r="M85" s="873"/>
      <c r="N85" s="873"/>
      <c r="O85" s="873"/>
      <c r="P85" s="873"/>
      <c r="Q85" s="873"/>
      <c r="S85" s="905"/>
    </row>
    <row r="86" spans="1:19">
      <c r="A86" s="851"/>
      <c r="B86" s="851"/>
      <c r="C86" s="874"/>
      <c r="D86" s="852"/>
      <c r="E86" s="852"/>
      <c r="F86" s="852"/>
      <c r="G86" s="852"/>
      <c r="H86" s="852"/>
      <c r="I86" s="852"/>
      <c r="J86" s="852"/>
      <c r="K86" s="852"/>
      <c r="L86" s="852"/>
      <c r="M86" s="852"/>
      <c r="N86" s="852"/>
      <c r="O86" s="852"/>
      <c r="P86" s="852"/>
      <c r="Q86" s="852"/>
      <c r="S86" s="905"/>
    </row>
    <row r="87" spans="1:19">
      <c r="A87" s="851"/>
      <c r="B87" s="859"/>
      <c r="C87" s="862"/>
      <c r="D87" s="852"/>
      <c r="E87" s="852"/>
      <c r="F87" s="852"/>
      <c r="G87" s="852"/>
      <c r="H87" s="852"/>
      <c r="I87" s="852"/>
      <c r="J87" s="852"/>
      <c r="K87" s="852"/>
      <c r="L87" s="852"/>
      <c r="M87" s="852"/>
      <c r="N87" s="852"/>
      <c r="O87" s="852"/>
      <c r="P87" s="852"/>
      <c r="Q87" s="852"/>
      <c r="S87" s="905"/>
    </row>
    <row r="88" spans="1:19">
      <c r="A88" s="851"/>
      <c r="B88" s="851"/>
      <c r="C88" s="862"/>
      <c r="D88" s="852"/>
      <c r="E88" s="852"/>
      <c r="F88" s="852"/>
      <c r="G88" s="852"/>
      <c r="H88" s="852"/>
      <c r="I88" s="852"/>
      <c r="J88" s="852"/>
      <c r="K88" s="852"/>
      <c r="L88" s="852"/>
      <c r="M88" s="852"/>
      <c r="N88" s="852"/>
      <c r="O88" s="852"/>
      <c r="P88" s="852"/>
      <c r="Q88" s="852"/>
      <c r="S88" s="905"/>
    </row>
    <row r="89" spans="1:19">
      <c r="A89" s="852"/>
      <c r="B89" s="852"/>
      <c r="C89" s="852"/>
      <c r="D89" s="852"/>
      <c r="E89" s="852"/>
      <c r="F89" s="852"/>
      <c r="G89" s="852"/>
      <c r="H89" s="852"/>
      <c r="I89" s="852"/>
      <c r="J89" s="852"/>
      <c r="K89" s="852"/>
      <c r="L89" s="852"/>
      <c r="M89" s="852"/>
      <c r="N89" s="852"/>
      <c r="O89" s="852"/>
      <c r="P89" s="852"/>
      <c r="Q89" s="852"/>
      <c r="S89" s="905"/>
    </row>
    <row r="90" spans="1:19">
      <c r="A90" s="852"/>
      <c r="B90" s="852"/>
      <c r="C90" s="852"/>
      <c r="D90" s="852"/>
      <c r="E90" s="852"/>
      <c r="F90" s="852"/>
      <c r="G90" s="852"/>
      <c r="H90" s="852"/>
      <c r="I90" s="852"/>
      <c r="J90" s="852"/>
      <c r="K90" s="852"/>
      <c r="L90" s="852"/>
      <c r="M90" s="852"/>
      <c r="N90" s="852"/>
      <c r="O90" s="852"/>
      <c r="P90" s="852"/>
      <c r="Q90" s="852"/>
      <c r="S90" s="905"/>
    </row>
    <row r="91" spans="1:19">
      <c r="A91" s="852"/>
      <c r="B91" s="852"/>
      <c r="C91" s="852"/>
      <c r="D91" s="852"/>
      <c r="E91" s="852"/>
      <c r="F91" s="852"/>
      <c r="G91" s="852"/>
      <c r="H91" s="852"/>
      <c r="I91" s="852"/>
      <c r="J91" s="852"/>
      <c r="K91" s="852"/>
      <c r="L91" s="852"/>
      <c r="M91" s="852"/>
      <c r="N91" s="852"/>
      <c r="O91" s="852"/>
      <c r="P91" s="852"/>
      <c r="Q91" s="852"/>
      <c r="S91" s="905"/>
    </row>
    <row r="92" spans="1:19">
      <c r="A92" s="852"/>
      <c r="B92" s="852"/>
      <c r="C92" s="852"/>
      <c r="D92" s="852"/>
      <c r="E92" s="852"/>
      <c r="F92" s="852"/>
      <c r="G92" s="852"/>
      <c r="H92" s="852"/>
      <c r="I92" s="852"/>
      <c r="J92" s="852"/>
      <c r="K92" s="852"/>
      <c r="L92" s="852"/>
      <c r="M92" s="852"/>
      <c r="N92" s="852"/>
      <c r="O92" s="852"/>
      <c r="P92" s="852"/>
      <c r="Q92" s="852"/>
      <c r="S92" s="905"/>
    </row>
    <row r="93" spans="1:19">
      <c r="A93" s="852"/>
      <c r="B93" s="852"/>
      <c r="C93" s="852"/>
      <c r="D93" s="852"/>
      <c r="E93" s="852"/>
      <c r="F93" s="852"/>
      <c r="G93" s="852"/>
      <c r="H93" s="852"/>
      <c r="I93" s="852"/>
      <c r="J93" s="852"/>
      <c r="K93" s="852"/>
      <c r="L93" s="852"/>
      <c r="M93" s="852"/>
      <c r="N93" s="852"/>
      <c r="O93" s="852"/>
      <c r="P93" s="852"/>
      <c r="Q93" s="852"/>
      <c r="S93" s="905"/>
    </row>
    <row r="94" spans="1:19">
      <c r="A94" s="852"/>
      <c r="B94" s="852"/>
      <c r="C94" s="852"/>
      <c r="D94" s="852"/>
      <c r="E94" s="852"/>
      <c r="F94" s="852"/>
      <c r="G94" s="852"/>
      <c r="H94" s="852"/>
      <c r="I94" s="852"/>
      <c r="J94" s="852"/>
      <c r="K94" s="852"/>
      <c r="L94" s="852"/>
      <c r="M94" s="852"/>
      <c r="N94" s="852"/>
      <c r="O94" s="852"/>
      <c r="P94" s="852"/>
      <c r="Q94" s="852"/>
      <c r="S94" s="905"/>
    </row>
    <row r="95" spans="1:19">
      <c r="A95" s="852"/>
      <c r="B95" s="852"/>
      <c r="C95" s="852"/>
      <c r="D95" s="852"/>
      <c r="E95" s="852"/>
      <c r="F95" s="852"/>
      <c r="G95" s="852"/>
      <c r="H95" s="852"/>
      <c r="I95" s="852"/>
      <c r="J95" s="852"/>
      <c r="K95" s="852"/>
      <c r="L95" s="852"/>
      <c r="M95" s="852"/>
      <c r="N95" s="852"/>
      <c r="O95" s="852"/>
      <c r="P95" s="852"/>
      <c r="Q95" s="852"/>
      <c r="S95" s="905"/>
    </row>
    <row r="96" spans="1:19">
      <c r="A96" s="852"/>
      <c r="B96" s="852"/>
      <c r="C96" s="852"/>
      <c r="D96" s="852"/>
      <c r="E96" s="852"/>
      <c r="F96" s="852"/>
      <c r="G96" s="852"/>
      <c r="H96" s="852"/>
      <c r="I96" s="852"/>
      <c r="J96" s="852"/>
      <c r="K96" s="852"/>
      <c r="L96" s="852"/>
      <c r="M96" s="852"/>
      <c r="N96" s="852"/>
      <c r="O96" s="852"/>
      <c r="P96" s="852"/>
      <c r="Q96" s="852"/>
      <c r="S96" s="905"/>
    </row>
    <row r="97" spans="1:19">
      <c r="A97" s="852"/>
      <c r="B97" s="852"/>
      <c r="C97" s="852"/>
      <c r="D97" s="852"/>
      <c r="E97" s="852"/>
      <c r="F97" s="852"/>
      <c r="G97" s="852"/>
      <c r="H97" s="852"/>
      <c r="I97" s="852"/>
      <c r="J97" s="852"/>
      <c r="K97" s="852"/>
      <c r="L97" s="852"/>
      <c r="M97" s="852"/>
      <c r="N97" s="852"/>
      <c r="O97" s="852"/>
      <c r="P97" s="852"/>
      <c r="Q97" s="852"/>
      <c r="S97" s="905"/>
    </row>
    <row r="98" spans="1:19">
      <c r="A98" s="852"/>
      <c r="B98" s="852"/>
      <c r="C98" s="852"/>
      <c r="D98" s="852"/>
      <c r="E98" s="852"/>
      <c r="F98" s="852"/>
      <c r="G98" s="852"/>
      <c r="H98" s="852"/>
      <c r="I98" s="852"/>
      <c r="J98" s="852"/>
      <c r="K98" s="852"/>
      <c r="L98" s="852"/>
      <c r="M98" s="852"/>
      <c r="N98" s="852"/>
      <c r="O98" s="852"/>
      <c r="P98" s="852"/>
      <c r="Q98" s="852"/>
      <c r="S98" s="905"/>
    </row>
    <row r="99" spans="1:19">
      <c r="A99" s="852"/>
      <c r="B99" s="852"/>
      <c r="C99" s="852"/>
      <c r="D99" s="852"/>
      <c r="E99" s="852"/>
      <c r="F99" s="852"/>
      <c r="G99" s="852"/>
      <c r="H99" s="852"/>
      <c r="I99" s="852"/>
      <c r="J99" s="852"/>
      <c r="K99" s="852"/>
      <c r="L99" s="852"/>
      <c r="M99" s="852"/>
      <c r="N99" s="852"/>
      <c r="O99" s="852"/>
      <c r="P99" s="852"/>
      <c r="Q99" s="852"/>
      <c r="S99" s="905"/>
    </row>
    <row r="100" spans="1:19">
      <c r="A100" s="852"/>
      <c r="B100" s="852"/>
      <c r="C100" s="852"/>
      <c r="D100" s="852"/>
      <c r="E100" s="852"/>
      <c r="F100" s="852"/>
      <c r="G100" s="852"/>
      <c r="H100" s="852"/>
      <c r="I100" s="852"/>
      <c r="J100" s="852"/>
      <c r="K100" s="852"/>
      <c r="L100" s="852"/>
      <c r="M100" s="852"/>
      <c r="N100" s="852"/>
      <c r="O100" s="852"/>
      <c r="P100" s="852"/>
      <c r="Q100" s="852"/>
      <c r="S100" s="905"/>
    </row>
    <row r="101" spans="1:19">
      <c r="A101" s="852"/>
      <c r="B101" s="852"/>
      <c r="C101" s="852"/>
      <c r="D101" s="852"/>
      <c r="E101" s="852"/>
      <c r="F101" s="852"/>
      <c r="G101" s="852"/>
      <c r="H101" s="852"/>
      <c r="I101" s="852"/>
      <c r="J101" s="852"/>
      <c r="K101" s="852"/>
      <c r="L101" s="852"/>
      <c r="M101" s="852"/>
      <c r="N101" s="852"/>
      <c r="O101" s="852"/>
      <c r="P101" s="852"/>
      <c r="Q101" s="852"/>
      <c r="S101" s="905"/>
    </row>
    <row r="102" spans="1:19">
      <c r="A102" s="852"/>
      <c r="B102" s="852"/>
      <c r="C102" s="852"/>
      <c r="D102" s="852"/>
      <c r="E102" s="852"/>
      <c r="F102" s="852"/>
      <c r="G102" s="852"/>
      <c r="H102" s="852"/>
      <c r="I102" s="852"/>
      <c r="J102" s="852"/>
      <c r="K102" s="852"/>
      <c r="L102" s="852"/>
      <c r="M102" s="852"/>
      <c r="N102" s="852"/>
      <c r="O102" s="852"/>
      <c r="P102" s="852"/>
      <c r="Q102" s="852"/>
      <c r="S102" s="905"/>
    </row>
    <row r="103" spans="1:19">
      <c r="A103" s="852"/>
      <c r="B103" s="852"/>
      <c r="C103" s="852"/>
      <c r="D103" s="852"/>
      <c r="E103" s="852"/>
      <c r="F103" s="852"/>
      <c r="G103" s="852"/>
      <c r="H103" s="852"/>
      <c r="I103" s="852"/>
      <c r="J103" s="852"/>
      <c r="K103" s="852"/>
      <c r="L103" s="852"/>
      <c r="M103" s="852"/>
      <c r="N103" s="852"/>
      <c r="O103" s="852"/>
      <c r="P103" s="852"/>
      <c r="Q103" s="852"/>
      <c r="S103" s="905"/>
    </row>
    <row r="104" spans="1:19">
      <c r="A104" s="852"/>
      <c r="B104" s="852"/>
      <c r="C104" s="852"/>
      <c r="D104" s="852"/>
      <c r="E104" s="852"/>
      <c r="F104" s="852"/>
      <c r="G104" s="852"/>
      <c r="H104" s="852"/>
      <c r="I104" s="852"/>
      <c r="J104" s="852"/>
      <c r="K104" s="852"/>
      <c r="L104" s="852"/>
      <c r="M104" s="852"/>
      <c r="N104" s="852"/>
      <c r="O104" s="852"/>
      <c r="P104" s="852"/>
      <c r="Q104" s="852"/>
      <c r="S104" s="905"/>
    </row>
    <row r="105" spans="1:19">
      <c r="A105" s="852"/>
      <c r="B105" s="852"/>
      <c r="C105" s="852"/>
      <c r="D105" s="852"/>
      <c r="E105" s="852"/>
      <c r="F105" s="852"/>
      <c r="G105" s="852"/>
      <c r="H105" s="852"/>
      <c r="I105" s="852"/>
      <c r="J105" s="852"/>
      <c r="K105" s="852"/>
      <c r="L105" s="852"/>
      <c r="M105" s="852"/>
      <c r="N105" s="852"/>
      <c r="O105" s="852"/>
      <c r="P105" s="852"/>
      <c r="Q105" s="852"/>
      <c r="S105" s="905"/>
    </row>
    <row r="106" spans="1:19">
      <c r="A106" s="852"/>
      <c r="B106" s="852"/>
      <c r="C106" s="852"/>
      <c r="D106" s="852"/>
      <c r="E106" s="852"/>
      <c r="F106" s="852"/>
      <c r="G106" s="852"/>
      <c r="H106" s="852"/>
      <c r="I106" s="852"/>
      <c r="J106" s="852"/>
      <c r="K106" s="852"/>
      <c r="L106" s="852"/>
      <c r="M106" s="852"/>
      <c r="N106" s="852"/>
      <c r="O106" s="852"/>
      <c r="P106" s="852"/>
      <c r="Q106" s="852"/>
      <c r="S106" s="905"/>
    </row>
    <row r="111" spans="1:19">
      <c r="A111" s="875"/>
      <c r="B111" s="875"/>
      <c r="C111" s="876"/>
      <c r="D111" s="876"/>
      <c r="E111" s="877"/>
      <c r="F111" s="877"/>
      <c r="G111" s="877"/>
      <c r="H111" s="877"/>
      <c r="I111" s="877"/>
      <c r="J111" s="877"/>
      <c r="K111" s="877"/>
      <c r="L111" s="877"/>
      <c r="M111" s="877"/>
      <c r="N111" s="877"/>
      <c r="O111" s="878"/>
    </row>
    <row r="119" spans="14:17">
      <c r="N119" s="839"/>
      <c r="O119" s="839"/>
      <c r="P119" s="839"/>
      <c r="Q119" s="839"/>
    </row>
    <row r="120" spans="14:17">
      <c r="N120" s="839"/>
      <c r="O120" s="839"/>
      <c r="P120" s="839"/>
      <c r="Q120" s="839"/>
    </row>
    <row r="121" spans="14:17">
      <c r="N121" s="839"/>
      <c r="O121" s="839"/>
      <c r="P121" s="839"/>
      <c r="Q121" s="839"/>
    </row>
    <row r="122" spans="14:17">
      <c r="N122" s="839"/>
      <c r="O122" s="839"/>
      <c r="P122" s="839"/>
      <c r="Q122" s="839"/>
    </row>
    <row r="123" spans="14:17">
      <c r="N123" s="839"/>
      <c r="O123" s="839"/>
      <c r="P123" s="839"/>
      <c r="Q123" s="839"/>
    </row>
    <row r="124" spans="14:17">
      <c r="N124" s="839"/>
      <c r="O124" s="839"/>
      <c r="P124" s="839"/>
      <c r="Q124" s="839"/>
    </row>
    <row r="125" spans="14:17">
      <c r="N125" s="839"/>
      <c r="O125" s="839"/>
      <c r="P125" s="839"/>
      <c r="Q125" s="839"/>
    </row>
    <row r="126" spans="14:17">
      <c r="N126" s="839"/>
      <c r="O126" s="839"/>
      <c r="P126" s="839"/>
      <c r="Q126" s="839"/>
    </row>
    <row r="127" spans="14:17">
      <c r="N127" s="839"/>
      <c r="O127" s="839"/>
      <c r="P127" s="839"/>
      <c r="Q127" s="839"/>
    </row>
    <row r="128" spans="14:17">
      <c r="N128" s="839"/>
      <c r="O128" s="839"/>
      <c r="P128" s="839"/>
      <c r="Q128" s="839"/>
    </row>
    <row r="129" spans="14:17">
      <c r="N129" s="839"/>
      <c r="O129" s="839"/>
      <c r="P129" s="839"/>
      <c r="Q129" s="839"/>
    </row>
    <row r="130" spans="14:17">
      <c r="N130" s="839"/>
      <c r="O130" s="839"/>
      <c r="P130" s="839"/>
      <c r="Q130" s="839"/>
    </row>
    <row r="131" spans="14:17">
      <c r="N131" s="839"/>
      <c r="O131" s="839"/>
      <c r="P131" s="839"/>
      <c r="Q131" s="839"/>
    </row>
    <row r="132" spans="14:17">
      <c r="N132" s="839"/>
      <c r="O132" s="839"/>
      <c r="P132" s="839"/>
      <c r="Q132" s="839"/>
    </row>
    <row r="133" spans="14:17">
      <c r="N133" s="839"/>
      <c r="O133" s="839"/>
      <c r="P133" s="839"/>
      <c r="Q133" s="839"/>
    </row>
    <row r="134" spans="14:17">
      <c r="N134" s="839"/>
      <c r="O134" s="839"/>
      <c r="P134" s="839"/>
      <c r="Q134" s="839"/>
    </row>
  </sheetData>
  <mergeCells count="1">
    <mergeCell ref="D5:Q5"/>
  </mergeCells>
  <pageMargins left="0.7" right="0.7" top="0.75" bottom="0.75" header="0.3" footer="0.3"/>
  <pageSetup scale="46" orientation="landscape" blackAndWhite="1" r:id="rId1"/>
  <headerFooter scaleWithDoc="0" alignWithMargins="0">
    <oddFooter>&amp;RExhibit 4
Page 1 of 17&amp;L&amp;1#&amp;"Calibri"&amp;14&amp;K000000Business Use</oddFooter>
  </headerFooter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C7550-EE81-472C-B844-D2FEAB4A9135}">
  <sheetPr>
    <tabColor theme="2" tint="-0.249977111117893"/>
    <pageSetUpPr fitToPage="1"/>
  </sheetPr>
  <dimension ref="A1:AD51"/>
  <sheetViews>
    <sheetView showGridLines="0" zoomScale="90" zoomScaleNormal="90" zoomScaleSheetLayoutView="80" workbookViewId="0">
      <selection sqref="A1:O1"/>
    </sheetView>
  </sheetViews>
  <sheetFormatPr defaultColWidth="9.140625" defaultRowHeight="15.75"/>
  <cols>
    <col min="1" max="1" width="9.140625" style="372"/>
    <col min="2" max="2" width="42.42578125" style="26" bestFit="1" customWidth="1"/>
    <col min="3" max="15" width="16" style="26" customWidth="1"/>
    <col min="16" max="16" width="12.140625" style="372" bestFit="1" customWidth="1"/>
    <col min="17" max="17" width="8.42578125" style="780" customWidth="1"/>
    <col min="18" max="18" width="6" style="780" customWidth="1"/>
    <col min="19" max="19" width="12.7109375" style="780" customWidth="1"/>
    <col min="20" max="30" width="14.85546875" style="372" customWidth="1"/>
    <col min="31" max="31" width="9.140625" style="372"/>
    <col min="32" max="32" width="10.5703125" style="372" bestFit="1" customWidth="1"/>
    <col min="33" max="16384" width="9.140625" style="372"/>
  </cols>
  <sheetData>
    <row r="1" spans="1:30" ht="18.75">
      <c r="A1" s="1579" t="s">
        <v>65</v>
      </c>
      <c r="B1" s="1579"/>
      <c r="C1" s="1579"/>
      <c r="D1" s="1579"/>
      <c r="E1" s="1579"/>
      <c r="F1" s="1579"/>
      <c r="G1" s="1579"/>
      <c r="H1" s="1579"/>
      <c r="I1" s="1579"/>
      <c r="J1" s="1579"/>
      <c r="K1" s="1579"/>
      <c r="L1" s="1579"/>
      <c r="M1" s="1579"/>
      <c r="N1" s="1579"/>
      <c r="O1" s="1579"/>
      <c r="Q1" s="786"/>
      <c r="R1" s="786"/>
      <c r="S1" s="786"/>
      <c r="T1" s="39"/>
      <c r="U1" s="39"/>
      <c r="V1" s="39"/>
      <c r="W1" s="39"/>
      <c r="X1" s="379"/>
      <c r="Y1" s="379"/>
      <c r="Z1" s="379"/>
      <c r="AA1" s="379"/>
      <c r="AB1" s="379"/>
      <c r="AC1" s="379"/>
      <c r="AD1" s="379"/>
    </row>
    <row r="2" spans="1:30" ht="18.75">
      <c r="A2" s="1579" t="s">
        <v>251</v>
      </c>
      <c r="B2" s="1579"/>
      <c r="C2" s="1579"/>
      <c r="D2" s="1579"/>
      <c r="E2" s="1579"/>
      <c r="F2" s="1579"/>
      <c r="G2" s="1579"/>
      <c r="H2" s="1579"/>
      <c r="I2" s="1579"/>
      <c r="J2" s="1579"/>
      <c r="K2" s="1579"/>
      <c r="L2" s="1579"/>
      <c r="M2" s="1579"/>
      <c r="N2" s="1579"/>
      <c r="O2" s="1579"/>
      <c r="P2" s="39"/>
      <c r="Q2" s="786"/>
      <c r="R2" s="786"/>
      <c r="S2" s="786"/>
      <c r="T2" s="39"/>
      <c r="U2" s="39"/>
      <c r="V2" s="39"/>
      <c r="W2" s="39"/>
      <c r="X2" s="379"/>
      <c r="Y2" s="379"/>
      <c r="Z2" s="379"/>
      <c r="AA2" s="379"/>
      <c r="AB2" s="379"/>
      <c r="AC2" s="379"/>
      <c r="AD2" s="379"/>
    </row>
    <row r="3" spans="1:30" ht="18.75">
      <c r="A3" s="1579" t="s">
        <v>158</v>
      </c>
      <c r="B3" s="1579"/>
      <c r="C3" s="1579"/>
      <c r="D3" s="1579"/>
      <c r="E3" s="1579"/>
      <c r="F3" s="1579"/>
      <c r="G3" s="1579"/>
      <c r="H3" s="1579"/>
      <c r="I3" s="1579"/>
      <c r="J3" s="1579"/>
      <c r="K3" s="1579"/>
      <c r="L3" s="1579"/>
      <c r="M3" s="1579"/>
      <c r="N3" s="1579"/>
      <c r="O3" s="1579"/>
      <c r="Q3" s="786"/>
      <c r="R3" s="786"/>
      <c r="S3" s="786"/>
      <c r="T3" s="39"/>
      <c r="U3" s="39"/>
      <c r="V3" s="39"/>
      <c r="W3" s="39"/>
      <c r="X3" s="379"/>
      <c r="Y3" s="379"/>
      <c r="Z3" s="379"/>
      <c r="AA3" s="379"/>
      <c r="AB3" s="379"/>
      <c r="AC3" s="379"/>
      <c r="AD3" s="379"/>
    </row>
    <row r="4" spans="1:30" ht="11.25" customHeight="1">
      <c r="Q4" s="787"/>
      <c r="R4" s="787"/>
      <c r="S4" s="787"/>
      <c r="T4" s="379"/>
      <c r="U4" s="379"/>
      <c r="V4" s="379"/>
      <c r="X4" s="379"/>
      <c r="Y4" s="379"/>
      <c r="Z4" s="379"/>
      <c r="AA4" s="379"/>
      <c r="AB4" s="379"/>
      <c r="AC4" s="379"/>
      <c r="AD4" s="379"/>
    </row>
    <row r="5" spans="1:30" s="29" customFormat="1">
      <c r="A5" s="43" t="s">
        <v>4</v>
      </c>
      <c r="B5" s="42"/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 t="s">
        <v>3</v>
      </c>
      <c r="Q5" s="780"/>
      <c r="R5" s="780"/>
      <c r="S5" s="780"/>
      <c r="T5" s="372"/>
      <c r="U5" s="372"/>
      <c r="V5" s="372"/>
      <c r="W5" s="372"/>
    </row>
    <row r="6" spans="1:30" ht="16.5" thickBot="1">
      <c r="A6" s="44" t="s">
        <v>5</v>
      </c>
      <c r="B6" s="782" t="s">
        <v>6</v>
      </c>
      <c r="C6" s="705" t="s">
        <v>83</v>
      </c>
      <c r="D6" s="705" t="s">
        <v>84</v>
      </c>
      <c r="E6" s="705" t="s">
        <v>253</v>
      </c>
      <c r="F6" s="705" t="s">
        <v>254</v>
      </c>
      <c r="G6" s="705" t="s">
        <v>85</v>
      </c>
      <c r="H6" s="705" t="s">
        <v>255</v>
      </c>
      <c r="I6" s="705" t="s">
        <v>86</v>
      </c>
      <c r="J6" s="705" t="s">
        <v>87</v>
      </c>
      <c r="K6" s="705" t="s">
        <v>88</v>
      </c>
      <c r="L6" s="705" t="s">
        <v>89</v>
      </c>
      <c r="M6" s="705" t="s">
        <v>90</v>
      </c>
      <c r="N6" s="705" t="s">
        <v>91</v>
      </c>
      <c r="O6" s="705">
        <v>2023</v>
      </c>
    </row>
    <row r="7" spans="1:30" ht="8.25" customHeight="1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Q7" s="781"/>
      <c r="R7" s="781"/>
      <c r="S7" s="781"/>
      <c r="T7" s="582"/>
      <c r="U7" s="582"/>
    </row>
    <row r="8" spans="1:30" ht="8.25" customHeight="1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Q8" s="781"/>
      <c r="R8" s="781"/>
      <c r="S8" s="781"/>
      <c r="T8" s="582"/>
      <c r="U8" s="582"/>
    </row>
    <row r="9" spans="1:30">
      <c r="A9" s="59">
        <v>1</v>
      </c>
      <c r="B9" s="26" t="s">
        <v>246</v>
      </c>
      <c r="C9" s="1089">
        <v>0</v>
      </c>
      <c r="D9" s="1089">
        <v>0</v>
      </c>
      <c r="E9" s="1089">
        <v>0</v>
      </c>
      <c r="F9" s="1089">
        <v>0</v>
      </c>
      <c r="G9" s="1089">
        <v>0</v>
      </c>
      <c r="H9" s="1089">
        <v>0</v>
      </c>
      <c r="I9" s="1089">
        <v>0</v>
      </c>
      <c r="J9" s="1089">
        <v>0</v>
      </c>
      <c r="K9" s="1089">
        <v>0</v>
      </c>
      <c r="L9" s="1089">
        <v>0</v>
      </c>
      <c r="M9" s="1089">
        <v>0</v>
      </c>
      <c r="N9" s="1089">
        <v>0</v>
      </c>
      <c r="O9" s="1089">
        <f>SUM(C9:N9)</f>
        <v>0</v>
      </c>
      <c r="P9" s="380"/>
      <c r="Q9" s="781"/>
      <c r="R9" s="781"/>
      <c r="S9" s="781"/>
      <c r="T9" s="488"/>
      <c r="U9" s="582"/>
    </row>
    <row r="10" spans="1:30">
      <c r="A10" s="59">
        <v>2</v>
      </c>
      <c r="B10" s="26" t="s">
        <v>77</v>
      </c>
      <c r="C10" s="1089">
        <f>'2023 Capital Budget'!F15</f>
        <v>690320.86</v>
      </c>
      <c r="D10" s="1089">
        <f>'2023 Capital Budget'!G15</f>
        <v>622444.02999999991</v>
      </c>
      <c r="E10" s="1089">
        <f>'2023 Capital Budget'!H15</f>
        <v>664492.6</v>
      </c>
      <c r="F10" s="1089">
        <f>'2023 Capital Budget'!I15</f>
        <v>714148.05999999994</v>
      </c>
      <c r="G10" s="1089">
        <f>'2023 Capital Budget'!J15</f>
        <v>647549.02999999991</v>
      </c>
      <c r="H10" s="1089">
        <f>'2023 Capital Budget'!K15</f>
        <v>698253.02</v>
      </c>
      <c r="I10" s="1089">
        <f>'2023 Capital Budget'!L15</f>
        <v>675186.41</v>
      </c>
      <c r="J10" s="1089">
        <f>'2023 Capital Budget'!M15</f>
        <v>732525.19</v>
      </c>
      <c r="K10" s="1089">
        <f>'2023 Capital Budget'!N15</f>
        <v>684299.18</v>
      </c>
      <c r="L10" s="1089">
        <f>'2023 Capital Budget'!O15</f>
        <v>595047.91999999993</v>
      </c>
      <c r="M10" s="1089">
        <f>'2023 Capital Budget'!P15</f>
        <v>992425.97000000009</v>
      </c>
      <c r="N10" s="1089">
        <f>'2023 Capital Budget'!Q15</f>
        <v>594168.36</v>
      </c>
      <c r="O10" s="1089">
        <f t="shared" ref="O10:O12" si="0">SUM(C10:N10)</f>
        <v>8310860.629999999</v>
      </c>
      <c r="P10" s="380"/>
      <c r="Q10" s="781"/>
      <c r="R10" s="781"/>
      <c r="S10" s="781"/>
      <c r="T10" s="488"/>
      <c r="U10" s="582"/>
    </row>
    <row r="11" spans="1:30">
      <c r="A11" s="59">
        <v>3</v>
      </c>
      <c r="B11" s="26" t="s">
        <v>78</v>
      </c>
      <c r="C11" s="1089">
        <v>0</v>
      </c>
      <c r="D11" s="1089">
        <v>0</v>
      </c>
      <c r="E11" s="1089">
        <v>0</v>
      </c>
      <c r="F11" s="1089">
        <v>0</v>
      </c>
      <c r="G11" s="1089">
        <v>0</v>
      </c>
      <c r="H11" s="1089">
        <v>0</v>
      </c>
      <c r="I11" s="1089">
        <v>0</v>
      </c>
      <c r="J11" s="1089">
        <v>0</v>
      </c>
      <c r="K11" s="1089">
        <v>0</v>
      </c>
      <c r="L11" s="1089">
        <v>0</v>
      </c>
      <c r="M11" s="1089">
        <v>0</v>
      </c>
      <c r="N11" s="1089">
        <v>0</v>
      </c>
      <c r="O11" s="1089">
        <f t="shared" si="0"/>
        <v>0</v>
      </c>
      <c r="P11" s="380"/>
      <c r="Q11" s="781"/>
      <c r="R11" s="781"/>
      <c r="S11" s="781"/>
      <c r="T11" s="583"/>
      <c r="U11" s="582"/>
    </row>
    <row r="12" spans="1:30">
      <c r="A12" s="59">
        <v>4</v>
      </c>
      <c r="B12" s="26" t="s">
        <v>159</v>
      </c>
      <c r="C12" s="1090">
        <f>'2023 Capital Budget'!F14</f>
        <v>715206.53999999992</v>
      </c>
      <c r="D12" s="1090">
        <f>'2023 Capital Budget'!G14</f>
        <v>882489.94</v>
      </c>
      <c r="E12" s="1090">
        <f>'2023 Capital Budget'!H14</f>
        <v>824672.28999999992</v>
      </c>
      <c r="F12" s="1090">
        <f>'2023 Capital Budget'!I14</f>
        <v>886771.98</v>
      </c>
      <c r="G12" s="1090">
        <f>'2023 Capital Budget'!J14</f>
        <v>1101750.4099999999</v>
      </c>
      <c r="H12" s="1090">
        <f>'2023 Capital Budget'!K14</f>
        <v>1381017.4900000002</v>
      </c>
      <c r="I12" s="1090">
        <f>'2023 Capital Budget'!L14</f>
        <v>925436.9</v>
      </c>
      <c r="J12" s="1090">
        <f>'2023 Capital Budget'!M14</f>
        <v>1019398.48</v>
      </c>
      <c r="K12" s="1090">
        <f>'2023 Capital Budget'!N14</f>
        <v>919046.95</v>
      </c>
      <c r="L12" s="1090">
        <f>'2023 Capital Budget'!O14</f>
        <v>1201229.8999999999</v>
      </c>
      <c r="M12" s="1090">
        <f>'2023 Capital Budget'!P14</f>
        <v>1155657.45</v>
      </c>
      <c r="N12" s="1090">
        <f>'2023 Capital Budget'!Q14</f>
        <v>956585.92</v>
      </c>
      <c r="O12" s="1090">
        <f t="shared" si="0"/>
        <v>11969264.25</v>
      </c>
      <c r="P12" s="381"/>
      <c r="Q12" s="781"/>
      <c r="R12" s="781"/>
      <c r="S12" s="781"/>
      <c r="T12" s="583"/>
      <c r="U12" s="582"/>
    </row>
    <row r="13" spans="1:30" ht="17.25" customHeight="1">
      <c r="A13" s="59">
        <v>5</v>
      </c>
      <c r="B13" s="879" t="s">
        <v>860</v>
      </c>
      <c r="C13" s="1091">
        <f t="shared" ref="C13:O13" si="1">SUM(C9:C12)</f>
        <v>1405527.4</v>
      </c>
      <c r="D13" s="1091">
        <f t="shared" si="1"/>
        <v>1504933.9699999997</v>
      </c>
      <c r="E13" s="1091">
        <f t="shared" si="1"/>
        <v>1489164.89</v>
      </c>
      <c r="F13" s="1091">
        <f t="shared" si="1"/>
        <v>1600920.04</v>
      </c>
      <c r="G13" s="1091">
        <f t="shared" si="1"/>
        <v>1749299.44</v>
      </c>
      <c r="H13" s="1091">
        <f t="shared" si="1"/>
        <v>2079270.5100000002</v>
      </c>
      <c r="I13" s="1091">
        <f t="shared" si="1"/>
        <v>1600623.31</v>
      </c>
      <c r="J13" s="1091">
        <f t="shared" si="1"/>
        <v>1751923.67</v>
      </c>
      <c r="K13" s="1091">
        <f t="shared" si="1"/>
        <v>1603346.13</v>
      </c>
      <c r="L13" s="1091">
        <f t="shared" si="1"/>
        <v>1796277.8199999998</v>
      </c>
      <c r="M13" s="1091">
        <f t="shared" si="1"/>
        <v>2148083.42</v>
      </c>
      <c r="N13" s="1091">
        <f t="shared" si="1"/>
        <v>1550754.28</v>
      </c>
      <c r="O13" s="1091">
        <f t="shared" si="1"/>
        <v>20280124.879999999</v>
      </c>
      <c r="P13" s="380"/>
      <c r="Q13" s="1136"/>
      <c r="R13" s="1141"/>
      <c r="S13" s="1101"/>
      <c r="T13" s="583"/>
      <c r="U13" s="582"/>
    </row>
    <row r="14" spans="1:30">
      <c r="A14" s="5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380"/>
      <c r="Q14" s="1138"/>
      <c r="S14" s="781"/>
      <c r="T14" s="582"/>
      <c r="U14" s="582"/>
    </row>
    <row r="15" spans="1:30">
      <c r="A15" s="59">
        <v>6</v>
      </c>
      <c r="B15" s="26" t="s">
        <v>248</v>
      </c>
      <c r="C15" s="1089">
        <f>-'Base Rate Retirements 2023'!C4</f>
        <v>0</v>
      </c>
      <c r="D15" s="1089">
        <f>-'Base Rate Retirements 2023'!D4</f>
        <v>0</v>
      </c>
      <c r="E15" s="1089">
        <f>-'Base Rate Retirements 2023'!E4</f>
        <v>0</v>
      </c>
      <c r="F15" s="1089">
        <f>-'Base Rate Retirements 2023'!F4</f>
        <v>0</v>
      </c>
      <c r="G15" s="1089">
        <f>-'Base Rate Retirements 2023'!G4</f>
        <v>0</v>
      </c>
      <c r="H15" s="1089">
        <f>-'Base Rate Retirements 2023'!H4</f>
        <v>0</v>
      </c>
      <c r="I15" s="1089">
        <f>-'Base Rate Retirements 2023'!I4</f>
        <v>0</v>
      </c>
      <c r="J15" s="1089">
        <f>-'Base Rate Retirements 2023'!J4</f>
        <v>0</v>
      </c>
      <c r="K15" s="1089">
        <f>-'Base Rate Retirements 2023'!K4</f>
        <v>0</v>
      </c>
      <c r="L15" s="1089">
        <f>-'Base Rate Retirements 2023'!L4</f>
        <v>0</v>
      </c>
      <c r="M15" s="1089">
        <f>-'Base Rate Retirements 2023'!M4</f>
        <v>0</v>
      </c>
      <c r="N15" s="1089">
        <f>-'Base Rate Retirements 2023'!N4</f>
        <v>0</v>
      </c>
      <c r="O15" s="1089">
        <f>SUM(C15:N15)</f>
        <v>0</v>
      </c>
      <c r="P15" s="380"/>
      <c r="Q15" s="1138"/>
      <c r="S15" s="781"/>
      <c r="T15" s="582"/>
      <c r="U15" s="582"/>
    </row>
    <row r="16" spans="1:30">
      <c r="A16" s="59">
        <v>7</v>
      </c>
      <c r="B16" s="26" t="s">
        <v>70</v>
      </c>
      <c r="C16" s="1089">
        <f>-'Base Rate Retirements 2023'!C5</f>
        <v>0</v>
      </c>
      <c r="D16" s="1089">
        <f>-'Base Rate Retirements 2023'!D5</f>
        <v>0</v>
      </c>
      <c r="E16" s="1089">
        <f>-'Base Rate Retirements 2023'!E5</f>
        <v>-1034.48</v>
      </c>
      <c r="F16" s="1089">
        <f>-'Base Rate Retirements 2023'!F5</f>
        <v>0</v>
      </c>
      <c r="G16" s="1089">
        <f>-'Base Rate Retirements 2023'!G5</f>
        <v>0</v>
      </c>
      <c r="H16" s="1089">
        <f>-'Base Rate Retirements 2023'!H5</f>
        <v>0</v>
      </c>
      <c r="I16" s="1089">
        <f>-'Base Rate Retirements 2023'!I5</f>
        <v>0</v>
      </c>
      <c r="J16" s="1089">
        <f>-'Base Rate Retirements 2023'!J5</f>
        <v>0</v>
      </c>
      <c r="K16" s="1089">
        <f>-'Base Rate Retirements 2023'!K5</f>
        <v>0</v>
      </c>
      <c r="L16" s="1089">
        <f>-'Base Rate Retirements 2023'!L5</f>
        <v>0</v>
      </c>
      <c r="M16" s="1089">
        <f>-'Base Rate Retirements 2023'!M5</f>
        <v>-524848.02</v>
      </c>
      <c r="N16" s="1089">
        <f>-'Base Rate Retirements 2023'!N5</f>
        <v>0</v>
      </c>
      <c r="O16" s="1089">
        <f t="shared" ref="O16:O18" si="2">SUM(C16:N16)</f>
        <v>-525882.5</v>
      </c>
      <c r="P16" s="380"/>
      <c r="Q16" s="1138"/>
      <c r="S16" s="781"/>
      <c r="T16" s="582"/>
      <c r="U16" s="582"/>
    </row>
    <row r="17" spans="1:21" s="386" customFormat="1">
      <c r="A17" s="59">
        <v>8</v>
      </c>
      <c r="B17" s="385" t="s">
        <v>71</v>
      </c>
      <c r="C17" s="1089">
        <f>-'Base Rate Retirements 2023'!C6</f>
        <v>0</v>
      </c>
      <c r="D17" s="1089">
        <f>-'Base Rate Retirements 2023'!D6</f>
        <v>0</v>
      </c>
      <c r="E17" s="1089">
        <f>-'Base Rate Retirements 2023'!E6</f>
        <v>0</v>
      </c>
      <c r="F17" s="1089">
        <f>-'Base Rate Retirements 2023'!F6</f>
        <v>0</v>
      </c>
      <c r="G17" s="1089">
        <f>-'Base Rate Retirements 2023'!G6</f>
        <v>0</v>
      </c>
      <c r="H17" s="1089">
        <f>-'Base Rate Retirements 2023'!H6</f>
        <v>0</v>
      </c>
      <c r="I17" s="1089">
        <f>-'Base Rate Retirements 2023'!I6</f>
        <v>0</v>
      </c>
      <c r="J17" s="1089">
        <f>-'Base Rate Retirements 2023'!J6</f>
        <v>0</v>
      </c>
      <c r="K17" s="1089">
        <f>-'Base Rate Retirements 2023'!K6</f>
        <v>0</v>
      </c>
      <c r="L17" s="1089">
        <f>-'Base Rate Retirements 2023'!L6</f>
        <v>0</v>
      </c>
      <c r="M17" s="1089">
        <f>-'Base Rate Retirements 2023'!M6</f>
        <v>0</v>
      </c>
      <c r="N17" s="1089">
        <f>-'Base Rate Retirements 2023'!N6</f>
        <v>0</v>
      </c>
      <c r="O17" s="1089">
        <f t="shared" si="2"/>
        <v>0</v>
      </c>
      <c r="P17" s="381"/>
      <c r="Q17" s="1139"/>
      <c r="R17" s="1140"/>
      <c r="S17" s="789"/>
      <c r="T17" s="584"/>
      <c r="U17" s="584"/>
    </row>
    <row r="18" spans="1:21">
      <c r="A18" s="59">
        <v>9</v>
      </c>
      <c r="B18" s="26" t="s">
        <v>554</v>
      </c>
      <c r="C18" s="1090">
        <f>-'Base Rate Retirements 2023'!C7</f>
        <v>0</v>
      </c>
      <c r="D18" s="1090">
        <f>-'Base Rate Retirements 2023'!D7</f>
        <v>0</v>
      </c>
      <c r="E18" s="1090">
        <f>-'Base Rate Retirements 2023'!E7</f>
        <v>0</v>
      </c>
      <c r="F18" s="1090">
        <f>-'Base Rate Retirements 2023'!F7</f>
        <v>0</v>
      </c>
      <c r="G18" s="1090">
        <f>-'Base Rate Retirements 2023'!G7</f>
        <v>0</v>
      </c>
      <c r="H18" s="1090">
        <f>-'Base Rate Retirements 2023'!H7</f>
        <v>0</v>
      </c>
      <c r="I18" s="1090">
        <f>-'Base Rate Retirements 2023'!I7</f>
        <v>0</v>
      </c>
      <c r="J18" s="1090">
        <f>-'Base Rate Retirements 2023'!J7</f>
        <v>0</v>
      </c>
      <c r="K18" s="1090">
        <f>-'Base Rate Retirements 2023'!K7</f>
        <v>0</v>
      </c>
      <c r="L18" s="1090">
        <f>-'Base Rate Retirements 2023'!L7</f>
        <v>0</v>
      </c>
      <c r="M18" s="1090">
        <f>-'Base Rate Retirements 2023'!M7</f>
        <v>-36042.770000000004</v>
      </c>
      <c r="N18" s="1090">
        <f>-'Base Rate Retirements 2023'!N7</f>
        <v>0</v>
      </c>
      <c r="O18" s="1090">
        <f t="shared" si="2"/>
        <v>-36042.770000000004</v>
      </c>
      <c r="P18" s="380"/>
      <c r="Q18" s="1138"/>
      <c r="S18" s="781"/>
      <c r="T18" s="582"/>
      <c r="U18" s="582"/>
    </row>
    <row r="19" spans="1:21" ht="17.25" customHeight="1">
      <c r="A19" s="59">
        <v>10</v>
      </c>
      <c r="B19" s="879" t="s">
        <v>22</v>
      </c>
      <c r="C19" s="1092">
        <f t="shared" ref="C19:O19" si="3">SUM(C15:C18)</f>
        <v>0</v>
      </c>
      <c r="D19" s="1092">
        <f t="shared" si="3"/>
        <v>0</v>
      </c>
      <c r="E19" s="1092">
        <f t="shared" si="3"/>
        <v>-1034.48</v>
      </c>
      <c r="F19" s="1092">
        <f t="shared" si="3"/>
        <v>0</v>
      </c>
      <c r="G19" s="1092">
        <f t="shared" si="3"/>
        <v>0</v>
      </c>
      <c r="H19" s="1092">
        <f t="shared" si="3"/>
        <v>0</v>
      </c>
      <c r="I19" s="1092">
        <f t="shared" si="3"/>
        <v>0</v>
      </c>
      <c r="J19" s="1092">
        <f t="shared" si="3"/>
        <v>0</v>
      </c>
      <c r="K19" s="1092">
        <f t="shared" si="3"/>
        <v>0</v>
      </c>
      <c r="L19" s="1092">
        <f t="shared" si="3"/>
        <v>0</v>
      </c>
      <c r="M19" s="1092">
        <f t="shared" si="3"/>
        <v>-560890.79</v>
      </c>
      <c r="N19" s="1092">
        <f t="shared" si="3"/>
        <v>0</v>
      </c>
      <c r="O19" s="1092">
        <f t="shared" si="3"/>
        <v>-561925.27</v>
      </c>
      <c r="P19" s="380"/>
      <c r="Q19" s="1138"/>
      <c r="R19" s="1137"/>
      <c r="S19" s="788"/>
      <c r="T19" s="582"/>
      <c r="U19" s="582"/>
    </row>
    <row r="20" spans="1:21">
      <c r="A20" s="59"/>
      <c r="C20" s="1089"/>
      <c r="D20" s="1089"/>
      <c r="E20" s="1089"/>
      <c r="F20" s="1089"/>
      <c r="G20" s="1089"/>
      <c r="H20" s="1089"/>
      <c r="I20" s="1089"/>
      <c r="J20" s="1089"/>
      <c r="K20" s="1089"/>
      <c r="L20" s="1089"/>
      <c r="M20" s="1089"/>
      <c r="N20" s="1089"/>
      <c r="O20" s="1089"/>
      <c r="P20" s="380"/>
      <c r="Q20" s="1138"/>
      <c r="R20" s="1137"/>
      <c r="S20" s="788"/>
      <c r="T20" s="582"/>
      <c r="U20" s="582"/>
    </row>
    <row r="21" spans="1:21">
      <c r="A21" s="59">
        <v>11</v>
      </c>
      <c r="B21" s="26" t="s">
        <v>642</v>
      </c>
      <c r="C21" s="1089">
        <f>-'Base Rate Retirements 2023'!C12</f>
        <v>0</v>
      </c>
      <c r="D21" s="1089">
        <f>-'Base Rate Retirements 2023'!D12</f>
        <v>0</v>
      </c>
      <c r="E21" s="1089">
        <f>-'Base Rate Retirements 2023'!E12</f>
        <v>0</v>
      </c>
      <c r="F21" s="1089">
        <f>-'Base Rate Retirements 2023'!F12</f>
        <v>0</v>
      </c>
      <c r="G21" s="1089">
        <f>-'Base Rate Retirements 2023'!G12</f>
        <v>0</v>
      </c>
      <c r="H21" s="1089">
        <f>-'Base Rate Retirements 2023'!H12</f>
        <v>0</v>
      </c>
      <c r="I21" s="1089">
        <f>-'Base Rate Retirements 2023'!I12</f>
        <v>0</v>
      </c>
      <c r="J21" s="1089">
        <f>-'Base Rate Retirements 2023'!J12</f>
        <v>0</v>
      </c>
      <c r="K21" s="1089">
        <f>-'Base Rate Retirements 2023'!K12</f>
        <v>0</v>
      </c>
      <c r="L21" s="1089">
        <f>-'Base Rate Retirements 2023'!L12</f>
        <v>0</v>
      </c>
      <c r="M21" s="1089">
        <f>-'Base Rate Retirements 2023'!M12</f>
        <v>0</v>
      </c>
      <c r="N21" s="1089">
        <f>-'Base Rate Retirements 2023'!N12</f>
        <v>0</v>
      </c>
      <c r="O21" s="1089">
        <f>SUM(C21:N21)</f>
        <v>0</v>
      </c>
      <c r="P21" s="380"/>
      <c r="Q21" s="1138"/>
      <c r="R21" s="1137"/>
      <c r="S21" s="788"/>
      <c r="T21" s="582"/>
      <c r="U21" s="582"/>
    </row>
    <row r="22" spans="1:21">
      <c r="A22" s="59">
        <v>12</v>
      </c>
      <c r="B22" s="26" t="s">
        <v>643</v>
      </c>
      <c r="C22" s="1089">
        <f>-'Base Rate Retirements 2023'!C13</f>
        <v>0</v>
      </c>
      <c r="D22" s="1089">
        <f>-'Base Rate Retirements 2023'!D13</f>
        <v>0</v>
      </c>
      <c r="E22" s="1089">
        <f>-'Base Rate Retirements 2023'!E13</f>
        <v>1032.7092508799999</v>
      </c>
      <c r="F22" s="1089">
        <f>-'Base Rate Retirements 2023'!F13</f>
        <v>0</v>
      </c>
      <c r="G22" s="1089">
        <f>-'Base Rate Retirements 2023'!G13</f>
        <v>0</v>
      </c>
      <c r="H22" s="1089">
        <f>-'Base Rate Retirements 2023'!H13</f>
        <v>0</v>
      </c>
      <c r="I22" s="1089">
        <f>-'Base Rate Retirements 2023'!I13</f>
        <v>0</v>
      </c>
      <c r="J22" s="1089">
        <f>-'Base Rate Retirements 2023'!J13</f>
        <v>0</v>
      </c>
      <c r="K22" s="1089">
        <f>-'Base Rate Retirements 2023'!K13</f>
        <v>0</v>
      </c>
      <c r="L22" s="1089">
        <f>-'Base Rate Retirements 2023'!L13</f>
        <v>0</v>
      </c>
      <c r="M22" s="1089">
        <f>-'Base Rate Retirements 2023'!M13</f>
        <v>422735.32102256001</v>
      </c>
      <c r="N22" s="1089">
        <f>-'Base Rate Retirements 2023'!N13</f>
        <v>0</v>
      </c>
      <c r="O22" s="1089">
        <f t="shared" ref="O22:O24" si="4">SUM(C22:N22)</f>
        <v>423768.03027344</v>
      </c>
      <c r="P22" s="380"/>
      <c r="Q22" s="1138"/>
      <c r="R22" s="1137"/>
      <c r="S22" s="788"/>
      <c r="T22" s="582"/>
      <c r="U22" s="582"/>
    </row>
    <row r="23" spans="1:21">
      <c r="A23" s="59">
        <v>13</v>
      </c>
      <c r="B23" s="26" t="s">
        <v>644</v>
      </c>
      <c r="C23" s="1089">
        <f>-'Base Rate Retirements 2023'!C14</f>
        <v>0</v>
      </c>
      <c r="D23" s="1089">
        <f>-'Base Rate Retirements 2023'!D14</f>
        <v>0</v>
      </c>
      <c r="E23" s="1089">
        <f>-'Base Rate Retirements 2023'!E14</f>
        <v>0</v>
      </c>
      <c r="F23" s="1089">
        <f>-'Base Rate Retirements 2023'!F14</f>
        <v>0</v>
      </c>
      <c r="G23" s="1089">
        <f>-'Base Rate Retirements 2023'!G14</f>
        <v>0</v>
      </c>
      <c r="H23" s="1089">
        <f>-'Base Rate Retirements 2023'!H14</f>
        <v>0</v>
      </c>
      <c r="I23" s="1089">
        <f>-'Base Rate Retirements 2023'!I14</f>
        <v>0</v>
      </c>
      <c r="J23" s="1089">
        <f>-'Base Rate Retirements 2023'!J14</f>
        <v>0</v>
      </c>
      <c r="K23" s="1089">
        <f>-'Base Rate Retirements 2023'!K14</f>
        <v>0</v>
      </c>
      <c r="L23" s="1089">
        <f>-'Base Rate Retirements 2023'!L14</f>
        <v>0</v>
      </c>
      <c r="M23" s="1089">
        <f>-'Base Rate Retirements 2023'!M14</f>
        <v>0</v>
      </c>
      <c r="N23" s="1089">
        <f>-'Base Rate Retirements 2023'!N14</f>
        <v>0</v>
      </c>
      <c r="O23" s="1089">
        <f t="shared" si="4"/>
        <v>0</v>
      </c>
      <c r="P23" s="380"/>
      <c r="Q23" s="1138"/>
      <c r="R23" s="1137"/>
      <c r="S23" s="788"/>
      <c r="T23" s="582"/>
      <c r="U23" s="582"/>
    </row>
    <row r="24" spans="1:21">
      <c r="A24" s="59">
        <v>14</v>
      </c>
      <c r="B24" s="26" t="s">
        <v>645</v>
      </c>
      <c r="C24" s="1090">
        <f>-'Base Rate Retirements 2023'!C15</f>
        <v>0</v>
      </c>
      <c r="D24" s="1090">
        <f>-'Base Rate Retirements 2023'!D15</f>
        <v>0</v>
      </c>
      <c r="E24" s="1090">
        <f>-'Base Rate Retirements 2023'!E15</f>
        <v>0</v>
      </c>
      <c r="F24" s="1090">
        <f>-'Base Rate Retirements 2023'!F15</f>
        <v>0</v>
      </c>
      <c r="G24" s="1090">
        <f>-'Base Rate Retirements 2023'!G15</f>
        <v>0</v>
      </c>
      <c r="H24" s="1090">
        <f>-'Base Rate Retirements 2023'!H15</f>
        <v>0</v>
      </c>
      <c r="I24" s="1090">
        <f>-'Base Rate Retirements 2023'!I15</f>
        <v>0</v>
      </c>
      <c r="J24" s="1090">
        <f>-'Base Rate Retirements 2023'!J15</f>
        <v>0</v>
      </c>
      <c r="K24" s="1090">
        <f>-'Base Rate Retirements 2023'!K15</f>
        <v>0</v>
      </c>
      <c r="L24" s="1090">
        <f>-'Base Rate Retirements 2023'!L15</f>
        <v>0</v>
      </c>
      <c r="M24" s="1090">
        <f>-'Base Rate Retirements 2023'!M15</f>
        <v>9116.266596559999</v>
      </c>
      <c r="N24" s="1090">
        <f>-'Base Rate Retirements 2023'!N15</f>
        <v>0</v>
      </c>
      <c r="O24" s="1090">
        <f t="shared" si="4"/>
        <v>9116.266596559999</v>
      </c>
      <c r="P24" s="380"/>
      <c r="Q24" s="1138"/>
      <c r="R24" s="1137"/>
      <c r="S24" s="788"/>
      <c r="T24" s="582"/>
      <c r="U24" s="582"/>
    </row>
    <row r="25" spans="1:21" ht="17.25" customHeight="1">
      <c r="A25" s="59">
        <v>15</v>
      </c>
      <c r="B25" s="879" t="s">
        <v>933</v>
      </c>
      <c r="C25" s="1092">
        <f t="shared" ref="C25:O25" si="5">SUM(C21:C24)</f>
        <v>0</v>
      </c>
      <c r="D25" s="1092">
        <f t="shared" si="5"/>
        <v>0</v>
      </c>
      <c r="E25" s="1092">
        <f t="shared" si="5"/>
        <v>1032.7092508799999</v>
      </c>
      <c r="F25" s="1092">
        <f t="shared" si="5"/>
        <v>0</v>
      </c>
      <c r="G25" s="1092">
        <f t="shared" si="5"/>
        <v>0</v>
      </c>
      <c r="H25" s="1092">
        <f t="shared" si="5"/>
        <v>0</v>
      </c>
      <c r="I25" s="1092">
        <f t="shared" si="5"/>
        <v>0</v>
      </c>
      <c r="J25" s="1092">
        <f t="shared" si="5"/>
        <v>0</v>
      </c>
      <c r="K25" s="1092">
        <f t="shared" si="5"/>
        <v>0</v>
      </c>
      <c r="L25" s="1092">
        <f t="shared" si="5"/>
        <v>0</v>
      </c>
      <c r="M25" s="1092">
        <f t="shared" si="5"/>
        <v>431851.58761912002</v>
      </c>
      <c r="N25" s="1092">
        <f t="shared" si="5"/>
        <v>0</v>
      </c>
      <c r="O25" s="1092">
        <f t="shared" si="5"/>
        <v>432884.29687000002</v>
      </c>
      <c r="P25" s="380"/>
      <c r="Q25" s="1138"/>
      <c r="R25" s="1137"/>
      <c r="S25" s="788"/>
      <c r="T25" s="582"/>
      <c r="U25" s="582"/>
    </row>
    <row r="26" spans="1:21">
      <c r="A26" s="59"/>
      <c r="C26" s="1089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1089"/>
      <c r="P26" s="380"/>
      <c r="Q26" s="1138"/>
      <c r="R26" s="1137"/>
      <c r="S26" s="788"/>
      <c r="T26" s="582"/>
      <c r="U26" s="582"/>
    </row>
    <row r="27" spans="1:21" ht="16.5" customHeight="1">
      <c r="A27" s="59">
        <v>16</v>
      </c>
      <c r="B27" s="26" t="s">
        <v>249</v>
      </c>
      <c r="C27" s="442">
        <v>0</v>
      </c>
      <c r="D27" s="442">
        <v>0</v>
      </c>
      <c r="E27" s="442">
        <v>0</v>
      </c>
      <c r="F27" s="442">
        <v>0</v>
      </c>
      <c r="G27" s="442">
        <v>0</v>
      </c>
      <c r="H27" s="442">
        <v>0</v>
      </c>
      <c r="I27" s="442">
        <v>0</v>
      </c>
      <c r="J27" s="442">
        <v>0</v>
      </c>
      <c r="K27" s="442">
        <v>0</v>
      </c>
      <c r="L27" s="442">
        <v>0</v>
      </c>
      <c r="M27" s="442">
        <v>0</v>
      </c>
      <c r="N27" s="442">
        <v>0</v>
      </c>
      <c r="O27" s="1089">
        <f>SUM(C27:N27)</f>
        <v>0</v>
      </c>
      <c r="P27" s="380"/>
      <c r="Q27" s="1138"/>
      <c r="S27" s="781"/>
      <c r="T27" s="488"/>
      <c r="U27" s="582"/>
    </row>
    <row r="28" spans="1:21">
      <c r="A28" s="59">
        <v>17</v>
      </c>
      <c r="B28" s="26" t="s">
        <v>80</v>
      </c>
      <c r="C28" s="442">
        <f>'2023 Capital Budget'!F27</f>
        <v>85467.180000000008</v>
      </c>
      <c r="D28" s="442">
        <f>'2023 Capital Budget'!G27</f>
        <v>80522.009999999995</v>
      </c>
      <c r="E28" s="442">
        <f>'2023 Capital Budget'!H27</f>
        <v>82572.539999999994</v>
      </c>
      <c r="F28" s="442">
        <f>'2023 Capital Budget'!I27</f>
        <v>60111.94</v>
      </c>
      <c r="G28" s="442">
        <f>'2023 Capital Budget'!J27</f>
        <v>81296.86</v>
      </c>
      <c r="H28" s="442">
        <f>'2023 Capital Budget'!K27</f>
        <v>111203.09</v>
      </c>
      <c r="I28" s="442">
        <f>'2023 Capital Budget'!L27</f>
        <v>216147.40999999997</v>
      </c>
      <c r="J28" s="442">
        <f>'2023 Capital Budget'!M27</f>
        <v>93318.23000000001</v>
      </c>
      <c r="K28" s="442">
        <f>'2023 Capital Budget'!N27</f>
        <v>100470.06999999999</v>
      </c>
      <c r="L28" s="442">
        <f>'2023 Capital Budget'!O27</f>
        <v>96229.56</v>
      </c>
      <c r="M28" s="442">
        <f>'2023 Capital Budget'!P27</f>
        <v>58439.21</v>
      </c>
      <c r="N28" s="442">
        <f>'2023 Capital Budget'!Q27</f>
        <v>36502.21</v>
      </c>
      <c r="O28" s="1089">
        <f t="shared" ref="O28:O29" si="6">SUM(C28:N28)</f>
        <v>1102280.3099999998</v>
      </c>
      <c r="P28" s="388"/>
      <c r="Q28" s="1138"/>
      <c r="S28" s="781"/>
      <c r="T28" s="488"/>
      <c r="U28" s="582"/>
    </row>
    <row r="29" spans="1:21" s="386" customFormat="1">
      <c r="A29" s="59">
        <v>18</v>
      </c>
      <c r="B29" s="385" t="s">
        <v>81</v>
      </c>
      <c r="C29" s="1089">
        <v>0</v>
      </c>
      <c r="D29" s="1089">
        <v>0</v>
      </c>
      <c r="E29" s="1089">
        <v>0</v>
      </c>
      <c r="F29" s="1089">
        <v>0</v>
      </c>
      <c r="G29" s="1089">
        <v>0</v>
      </c>
      <c r="H29" s="1089">
        <v>0</v>
      </c>
      <c r="I29" s="1089">
        <v>0</v>
      </c>
      <c r="J29" s="1089">
        <v>0</v>
      </c>
      <c r="K29" s="1089">
        <v>0</v>
      </c>
      <c r="L29" s="1089">
        <v>0</v>
      </c>
      <c r="M29" s="1089">
        <v>0</v>
      </c>
      <c r="N29" s="1089">
        <v>0</v>
      </c>
      <c r="O29" s="1089">
        <f t="shared" si="6"/>
        <v>0</v>
      </c>
      <c r="P29" s="387"/>
      <c r="Q29" s="1139"/>
      <c r="R29" s="1140"/>
      <c r="S29" s="789"/>
      <c r="T29" s="584"/>
      <c r="U29" s="584"/>
    </row>
    <row r="30" spans="1:21">
      <c r="A30" s="59">
        <v>19</v>
      </c>
      <c r="B30" s="26" t="s">
        <v>553</v>
      </c>
      <c r="C30" s="1090">
        <f>'2023 Capital Budget'!F26</f>
        <v>8655.2200000000012</v>
      </c>
      <c r="D30" s="1090">
        <f>'2023 Capital Budget'!G26</f>
        <v>8686.4</v>
      </c>
      <c r="E30" s="1090">
        <f>'2023 Capital Budget'!H26</f>
        <v>10700.92</v>
      </c>
      <c r="F30" s="1090">
        <f>'2023 Capital Budget'!I26</f>
        <v>11483.62</v>
      </c>
      <c r="G30" s="1090">
        <f>'2023 Capital Budget'!J26</f>
        <v>4152.1099999999997</v>
      </c>
      <c r="H30" s="1090">
        <f>'2023 Capital Budget'!K26</f>
        <v>5222.37</v>
      </c>
      <c r="I30" s="1090">
        <f>'2023 Capital Budget'!L26</f>
        <v>2135.37</v>
      </c>
      <c r="J30" s="1090">
        <f>'2023 Capital Budget'!M26</f>
        <v>0</v>
      </c>
      <c r="K30" s="1090">
        <f>'2023 Capital Budget'!N26</f>
        <v>0</v>
      </c>
      <c r="L30" s="1090">
        <f>'2023 Capital Budget'!O26</f>
        <v>197.73</v>
      </c>
      <c r="M30" s="1090">
        <f>'2023 Capital Budget'!P26</f>
        <v>0</v>
      </c>
      <c r="N30" s="1090">
        <f>'2023 Capital Budget'!Q26</f>
        <v>77.73</v>
      </c>
      <c r="O30" s="1090">
        <f>SUM(C30:N30)</f>
        <v>51311.470000000016</v>
      </c>
      <c r="P30" s="381"/>
      <c r="Q30" s="1138"/>
      <c r="S30" s="781"/>
      <c r="T30" s="582"/>
      <c r="U30" s="582"/>
    </row>
    <row r="31" spans="1:21" ht="17.25" customHeight="1">
      <c r="A31" s="59">
        <v>20</v>
      </c>
      <c r="B31" s="879" t="s">
        <v>19</v>
      </c>
      <c r="C31" s="1091">
        <f>SUM(C27:C30)</f>
        <v>94122.400000000009</v>
      </c>
      <c r="D31" s="1091">
        <f t="shared" ref="D31:N31" si="7">SUM(D27:D30)</f>
        <v>89208.409999999989</v>
      </c>
      <c r="E31" s="1091">
        <f t="shared" si="7"/>
        <v>93273.459999999992</v>
      </c>
      <c r="F31" s="1091">
        <f t="shared" si="7"/>
        <v>71595.56</v>
      </c>
      <c r="G31" s="1091">
        <f t="shared" si="7"/>
        <v>85448.97</v>
      </c>
      <c r="H31" s="1091">
        <f t="shared" si="7"/>
        <v>116425.45999999999</v>
      </c>
      <c r="I31" s="1091">
        <f t="shared" si="7"/>
        <v>218282.77999999997</v>
      </c>
      <c r="J31" s="1091">
        <f t="shared" si="7"/>
        <v>93318.23000000001</v>
      </c>
      <c r="K31" s="1091">
        <f t="shared" si="7"/>
        <v>100470.06999999999</v>
      </c>
      <c r="L31" s="1091">
        <f t="shared" si="7"/>
        <v>96427.29</v>
      </c>
      <c r="M31" s="1091">
        <f t="shared" si="7"/>
        <v>58439.21</v>
      </c>
      <c r="N31" s="1091">
        <f t="shared" si="7"/>
        <v>36579.94</v>
      </c>
      <c r="O31" s="1091">
        <f>SUM(O27:O30)</f>
        <v>1153591.7799999998</v>
      </c>
      <c r="P31" s="380"/>
      <c r="Q31" s="1136"/>
      <c r="R31" s="1141"/>
      <c r="S31" s="788"/>
      <c r="T31" s="582"/>
      <c r="U31" s="582"/>
    </row>
    <row r="32" spans="1:21">
      <c r="A32" s="59"/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380"/>
      <c r="Q32" s="1138"/>
      <c r="S32" s="781"/>
      <c r="T32" s="582"/>
      <c r="U32" s="582"/>
    </row>
    <row r="33" spans="1:30" ht="17.25" customHeight="1">
      <c r="A33" s="59">
        <v>21</v>
      </c>
      <c r="B33" s="26" t="s">
        <v>801</v>
      </c>
      <c r="C33" s="1091">
        <f>'COS Budget 2023'!F12</f>
        <v>122057.44000000002</v>
      </c>
      <c r="D33" s="1091">
        <f>'COS Budget 2023'!G12</f>
        <v>188598.55000000002</v>
      </c>
      <c r="E33" s="1091">
        <f>'COS Budget 2023'!H12</f>
        <v>142009.41000000006</v>
      </c>
      <c r="F33" s="1091">
        <f>'COS Budget 2023'!I12</f>
        <v>167702.81999999992</v>
      </c>
      <c r="G33" s="1091">
        <f>'COS Budget 2023'!J12</f>
        <v>233158.8500000003</v>
      </c>
      <c r="H33" s="1091">
        <f>'COS Budget 2023'!K12</f>
        <v>261754.0500000001</v>
      </c>
      <c r="I33" s="1091">
        <f>'COS Budget 2023'!L12</f>
        <v>274262.87000000023</v>
      </c>
      <c r="J33" s="1091">
        <f>'COS Budget 2023'!M12</f>
        <v>254450.6800000004</v>
      </c>
      <c r="K33" s="1091">
        <f>'COS Budget 2023'!N12</f>
        <v>243995.14000000031</v>
      </c>
      <c r="L33" s="1091">
        <f>'COS Budget 2023'!O12</f>
        <v>235067.28999999986</v>
      </c>
      <c r="M33" s="1091">
        <f>'COS Budget 2023'!P12</f>
        <v>248948.81000000003</v>
      </c>
      <c r="N33" s="1091">
        <f>'COS Budget 2023'!Q12</f>
        <v>243501.69000000003</v>
      </c>
      <c r="O33" s="1091">
        <f>SUM(C33:N33)</f>
        <v>2615507.6000000015</v>
      </c>
      <c r="P33" s="380"/>
      <c r="Q33" s="1138"/>
      <c r="R33" s="1141"/>
      <c r="S33" s="788"/>
      <c r="T33" s="582"/>
      <c r="U33" s="582"/>
    </row>
    <row r="34" spans="1:30" ht="17.25" customHeight="1">
      <c r="A34" s="59">
        <v>22</v>
      </c>
      <c r="B34" s="26" t="s">
        <v>175</v>
      </c>
      <c r="C34" s="1091">
        <f>'COS Budget 2023'!F15</f>
        <v>64199.040000000001</v>
      </c>
      <c r="D34" s="1091">
        <f>'COS Budget 2023'!G15</f>
        <v>64199.040000000001</v>
      </c>
      <c r="E34" s="1091">
        <f>'COS Budget 2023'!H15</f>
        <v>64199.040000000001</v>
      </c>
      <c r="F34" s="1091">
        <f>'COS Budget 2023'!I15</f>
        <v>64199.040000000001</v>
      </c>
      <c r="G34" s="1091">
        <f>'COS Budget 2023'!J15</f>
        <v>64199.040000000001</v>
      </c>
      <c r="H34" s="1091">
        <f>'COS Budget 2023'!K15</f>
        <v>64199.040000000001</v>
      </c>
      <c r="I34" s="1091">
        <f>'COS Budget 2023'!L15</f>
        <v>64199.040000000001</v>
      </c>
      <c r="J34" s="1091">
        <f>'COS Budget 2023'!M15</f>
        <v>64199.040000000001</v>
      </c>
      <c r="K34" s="1091">
        <f>'COS Budget 2023'!N15</f>
        <v>64199.040000000001</v>
      </c>
      <c r="L34" s="1091">
        <f>'COS Budget 2023'!O15</f>
        <v>64199.040000000001</v>
      </c>
      <c r="M34" s="1091">
        <f>'COS Budget 2023'!P15</f>
        <v>64199.040000000001</v>
      </c>
      <c r="N34" s="1091">
        <f>'COS Budget 2023'!Q15</f>
        <v>64199.040000000001</v>
      </c>
      <c r="O34" s="1091">
        <f>SUM(C34:N34)</f>
        <v>770388.4800000001</v>
      </c>
      <c r="P34" s="380"/>
      <c r="Q34" s="1138"/>
      <c r="R34" s="1141"/>
      <c r="S34" s="788"/>
      <c r="T34" s="582"/>
      <c r="U34" s="582"/>
    </row>
    <row r="35" spans="1:30">
      <c r="L35" s="63"/>
      <c r="M35" s="360"/>
    </row>
    <row r="36" spans="1:30">
      <c r="B36" s="668"/>
    </row>
    <row r="37" spans="1:30" s="26" customFormat="1">
      <c r="A37" s="372"/>
      <c r="B37" s="790"/>
      <c r="M37" s="372"/>
      <c r="N37" s="372"/>
      <c r="P37" s="372"/>
      <c r="Q37" s="780"/>
      <c r="R37" s="780"/>
      <c r="S37" s="780"/>
      <c r="T37" s="372"/>
      <c r="U37" s="372"/>
      <c r="V37" s="372"/>
      <c r="W37" s="372"/>
      <c r="X37" s="372"/>
      <c r="Y37" s="372"/>
      <c r="Z37" s="372"/>
      <c r="AA37" s="372"/>
      <c r="AB37" s="372"/>
      <c r="AC37" s="372"/>
      <c r="AD37" s="372"/>
    </row>
    <row r="38" spans="1:30" s="26" customFormat="1">
      <c r="A38" s="372"/>
      <c r="B38" s="372"/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P38" s="372"/>
      <c r="Q38" s="780"/>
      <c r="R38" s="780"/>
      <c r="S38" s="780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</row>
    <row r="39" spans="1:30" s="26" customFormat="1">
      <c r="A39" s="372"/>
      <c r="B39" s="372"/>
      <c r="C39" s="372"/>
      <c r="D39" s="372"/>
      <c r="E39" s="372"/>
      <c r="F39" s="372"/>
      <c r="G39" s="372"/>
      <c r="H39" s="372"/>
      <c r="I39" s="372"/>
      <c r="J39" s="372"/>
      <c r="K39" s="372"/>
      <c r="L39" s="372"/>
      <c r="M39" s="372"/>
      <c r="N39" s="372"/>
      <c r="P39" s="372"/>
      <c r="Q39" s="780"/>
      <c r="R39" s="780"/>
      <c r="S39" s="780"/>
      <c r="T39" s="372"/>
      <c r="U39" s="372"/>
      <c r="V39" s="372"/>
      <c r="W39" s="372"/>
      <c r="X39" s="372"/>
      <c r="Y39" s="372"/>
      <c r="Z39" s="372"/>
      <c r="AA39" s="372"/>
      <c r="AB39" s="372"/>
      <c r="AC39" s="372"/>
      <c r="AD39" s="372"/>
    </row>
    <row r="40" spans="1:30" s="26" customFormat="1">
      <c r="A40" s="372"/>
      <c r="B40" s="372"/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P40" s="372"/>
      <c r="Q40" s="780"/>
      <c r="R40" s="780"/>
      <c r="S40" s="780"/>
      <c r="T40" s="372"/>
      <c r="U40" s="372"/>
      <c r="V40" s="372"/>
      <c r="W40" s="372"/>
      <c r="X40" s="372"/>
      <c r="Y40" s="372"/>
      <c r="Z40" s="372"/>
      <c r="AA40" s="372"/>
      <c r="AB40" s="372"/>
      <c r="AC40" s="372"/>
      <c r="AD40" s="372"/>
    </row>
    <row r="41" spans="1:30" s="26" customFormat="1">
      <c r="A41" s="372"/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P41" s="372"/>
      <c r="Q41" s="780"/>
      <c r="R41" s="780"/>
      <c r="S41" s="780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</row>
    <row r="42" spans="1:30" s="26" customFormat="1">
      <c r="A42" s="372"/>
      <c r="B42" s="372"/>
      <c r="C42" s="372"/>
      <c r="D42" s="372"/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P42" s="372"/>
      <c r="Q42" s="780"/>
      <c r="R42" s="780"/>
      <c r="S42" s="780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</row>
    <row r="43" spans="1:30" s="26" customFormat="1">
      <c r="A43" s="372"/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P43" s="372"/>
      <c r="Q43" s="780"/>
      <c r="R43" s="780"/>
      <c r="S43" s="780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</row>
    <row r="44" spans="1:30" s="26" customFormat="1">
      <c r="A44" s="372"/>
      <c r="B44" s="372"/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P44" s="372"/>
      <c r="Q44" s="780"/>
      <c r="R44" s="780"/>
      <c r="S44" s="780"/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</row>
    <row r="45" spans="1:30" s="26" customFormat="1">
      <c r="A45" s="372"/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P45" s="372"/>
      <c r="Q45" s="780"/>
      <c r="R45" s="780"/>
      <c r="S45" s="780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</row>
    <row r="46" spans="1:30" s="26" customFormat="1">
      <c r="A46" s="372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P46" s="372"/>
      <c r="Q46" s="780"/>
      <c r="R46" s="780"/>
      <c r="S46" s="780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</row>
    <row r="47" spans="1:30" s="26" customFormat="1">
      <c r="A47" s="372"/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P47" s="372"/>
      <c r="Q47" s="780"/>
      <c r="R47" s="780"/>
      <c r="S47" s="780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</row>
    <row r="48" spans="1:30" s="26" customFormat="1">
      <c r="A48" s="372"/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P48" s="372"/>
      <c r="Q48" s="780"/>
      <c r="R48" s="780"/>
      <c r="S48" s="780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</row>
    <row r="49" spans="1:30" s="26" customFormat="1">
      <c r="A49" s="372"/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P49" s="372"/>
      <c r="Q49" s="780"/>
      <c r="R49" s="780"/>
      <c r="S49" s="780"/>
      <c r="T49" s="372"/>
      <c r="U49" s="372"/>
      <c r="V49" s="372"/>
      <c r="W49" s="372"/>
      <c r="X49" s="372"/>
      <c r="Y49" s="372"/>
      <c r="Z49" s="372"/>
      <c r="AA49" s="372"/>
      <c r="AB49" s="372"/>
      <c r="AC49" s="372"/>
      <c r="AD49" s="372"/>
    </row>
    <row r="50" spans="1:30" s="26" customFormat="1">
      <c r="A50" s="372"/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P50" s="372"/>
      <c r="Q50" s="780"/>
      <c r="R50" s="780"/>
      <c r="S50" s="780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</row>
    <row r="51" spans="1:30" s="26" customFormat="1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P51" s="372"/>
      <c r="Q51" s="780"/>
      <c r="R51" s="780"/>
      <c r="S51" s="780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</row>
  </sheetData>
  <mergeCells count="3">
    <mergeCell ref="A1:O1"/>
    <mergeCell ref="A2:O2"/>
    <mergeCell ref="A3:O3"/>
  </mergeCells>
  <pageMargins left="0.7" right="0.7" top="0.75" bottom="0.75" header="0.3" footer="0.3"/>
  <pageSetup scale="48" orientation="landscape" r:id="rId1"/>
  <headerFooter scaleWithDoc="0" alignWithMargins="0">
    <oddFooter>&amp;RExhibit 4
Page 3 of 17&amp;L&amp;1#&amp;"Calibri"&amp;14&amp;K000000Business Use</oddFooter>
  </headerFooter>
  <colBreaks count="1" manualBreakCount="1">
    <brk id="1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FA6A6-8CF6-4BF2-8AC8-061443DC3898}">
  <sheetPr>
    <tabColor theme="2" tint="-0.249977111117893"/>
  </sheetPr>
  <dimension ref="A1:C1"/>
  <sheetViews>
    <sheetView workbookViewId="0"/>
  </sheetViews>
  <sheetFormatPr defaultRowHeight="12.75"/>
  <sheetData>
    <row r="1" spans="1:3">
      <c r="A1" t="s">
        <v>930</v>
      </c>
      <c r="B1" t="s">
        <v>931</v>
      </c>
      <c r="C1" t="s">
        <v>932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F02A6-FABD-4B2B-8DCA-AFE94817FE81}">
  <sheetPr>
    <tabColor theme="2" tint="-0.249977111117893"/>
  </sheetPr>
  <dimension ref="A1:U58"/>
  <sheetViews>
    <sheetView showGridLines="0" zoomScaleNormal="100" workbookViewId="0"/>
  </sheetViews>
  <sheetFormatPr defaultColWidth="9.140625" defaultRowHeight="14.25"/>
  <cols>
    <col min="1" max="1" width="9.85546875" style="977" customWidth="1"/>
    <col min="2" max="2" width="12" style="977" customWidth="1"/>
    <col min="3" max="3" width="22.85546875" style="977" customWidth="1"/>
    <col min="4" max="4" width="21.85546875" style="977" bestFit="1" customWidth="1"/>
    <col min="5" max="5" width="27.7109375" style="977" customWidth="1"/>
    <col min="6" max="18" width="11.7109375" style="977" customWidth="1"/>
    <col min="19" max="19" width="9.140625" style="977"/>
    <col min="20" max="20" width="12.85546875" style="977" bestFit="1" customWidth="1"/>
    <col min="21" max="16384" width="9.140625" style="977"/>
  </cols>
  <sheetData>
    <row r="1" spans="1:20">
      <c r="A1" s="1083" t="s">
        <v>835</v>
      </c>
      <c r="B1" s="1084"/>
      <c r="C1" s="996"/>
    </row>
    <row r="2" spans="1:20" s="981" customFormat="1" ht="21" customHeight="1">
      <c r="A2" s="978"/>
      <c r="B2" s="978" t="s">
        <v>106</v>
      </c>
      <c r="C2" s="978" t="s">
        <v>583</v>
      </c>
      <c r="D2" s="978" t="s">
        <v>581</v>
      </c>
      <c r="E2" s="978" t="s">
        <v>740</v>
      </c>
      <c r="F2" s="979" t="s">
        <v>584</v>
      </c>
      <c r="G2" s="979" t="s">
        <v>585</v>
      </c>
      <c r="H2" s="979" t="s">
        <v>586</v>
      </c>
      <c r="I2" s="979" t="s">
        <v>587</v>
      </c>
      <c r="J2" s="979" t="s">
        <v>588</v>
      </c>
      <c r="K2" s="979" t="s">
        <v>589</v>
      </c>
      <c r="L2" s="979" t="s">
        <v>590</v>
      </c>
      <c r="M2" s="979" t="s">
        <v>591</v>
      </c>
      <c r="N2" s="979" t="s">
        <v>592</v>
      </c>
      <c r="O2" s="979" t="s">
        <v>593</v>
      </c>
      <c r="P2" s="979" t="s">
        <v>594</v>
      </c>
      <c r="Q2" s="979" t="s">
        <v>595</v>
      </c>
      <c r="R2" s="1037" t="s">
        <v>954</v>
      </c>
    </row>
    <row r="3" spans="1:20" s="981" customFormat="1" ht="19.5" customHeight="1">
      <c r="A3" s="1583" t="s">
        <v>109</v>
      </c>
      <c r="B3" s="981" t="s">
        <v>743</v>
      </c>
      <c r="C3" s="981" t="s">
        <v>744</v>
      </c>
      <c r="D3" s="981" t="s">
        <v>596</v>
      </c>
      <c r="E3" s="981" t="s">
        <v>159</v>
      </c>
      <c r="F3" s="982">
        <v>245848.39</v>
      </c>
      <c r="G3" s="982">
        <v>407020.08</v>
      </c>
      <c r="H3" s="982">
        <v>355738.41</v>
      </c>
      <c r="I3" s="982">
        <v>499872.06</v>
      </c>
      <c r="J3" s="982">
        <v>609573.5</v>
      </c>
      <c r="K3" s="982">
        <v>764687.67</v>
      </c>
      <c r="L3" s="982">
        <v>540950.6</v>
      </c>
      <c r="M3" s="982">
        <v>586742.25</v>
      </c>
      <c r="N3" s="982">
        <v>478732.71</v>
      </c>
      <c r="O3" s="982">
        <v>559629.69999999995</v>
      </c>
      <c r="P3" s="982">
        <v>576754.29</v>
      </c>
      <c r="Q3" s="982">
        <v>377501.07</v>
      </c>
      <c r="R3" s="982">
        <f>SUM(F3:Q3)</f>
        <v>6003050.7300000004</v>
      </c>
      <c r="S3" s="975" t="s">
        <v>926</v>
      </c>
    </row>
    <row r="4" spans="1:20" s="981" customFormat="1" ht="19.5" customHeight="1">
      <c r="A4" s="1583"/>
      <c r="B4" s="981" t="s">
        <v>745</v>
      </c>
      <c r="C4" s="981" t="s">
        <v>746</v>
      </c>
      <c r="D4" s="981" t="s">
        <v>596</v>
      </c>
      <c r="E4" s="981" t="s">
        <v>159</v>
      </c>
      <c r="F4" s="982">
        <v>455695.29</v>
      </c>
      <c r="G4" s="982">
        <v>455988.96</v>
      </c>
      <c r="H4" s="982">
        <v>459525.92</v>
      </c>
      <c r="I4" s="982">
        <v>361306.62</v>
      </c>
      <c r="J4" s="982">
        <v>483166.88</v>
      </c>
      <c r="K4" s="982">
        <v>579266.16</v>
      </c>
      <c r="L4" s="982">
        <v>368271.68</v>
      </c>
      <c r="M4" s="982">
        <v>425681.5</v>
      </c>
      <c r="N4" s="982">
        <v>427027.09</v>
      </c>
      <c r="O4" s="982">
        <v>612928.18000000005</v>
      </c>
      <c r="P4" s="982">
        <v>560701.67000000004</v>
      </c>
      <c r="Q4" s="982">
        <v>572904.17000000004</v>
      </c>
      <c r="R4" s="982">
        <f t="shared" ref="R4:R17" si="0">SUM(F4:Q4)</f>
        <v>5762464.1200000001</v>
      </c>
      <c r="S4" s="976"/>
    </row>
    <row r="5" spans="1:20" s="981" customFormat="1" ht="19.5" customHeight="1">
      <c r="A5" s="1583"/>
      <c r="B5" s="981" t="s">
        <v>749</v>
      </c>
      <c r="C5" s="981" t="s">
        <v>750</v>
      </c>
      <c r="D5" s="981" t="s">
        <v>596</v>
      </c>
      <c r="E5" s="981" t="s">
        <v>159</v>
      </c>
      <c r="F5" s="982">
        <v>9375.2999999999993</v>
      </c>
      <c r="G5" s="982">
        <v>8287.44</v>
      </c>
      <c r="H5" s="982">
        <v>1781.61</v>
      </c>
      <c r="I5" s="982">
        <v>1310.67</v>
      </c>
      <c r="J5" s="982">
        <v>3035.87</v>
      </c>
      <c r="K5" s="982">
        <v>8161.86</v>
      </c>
      <c r="L5" s="982">
        <v>4164.1499999999996</v>
      </c>
      <c r="M5" s="982">
        <v>2868.58</v>
      </c>
      <c r="N5" s="982">
        <v>964.57</v>
      </c>
      <c r="O5" s="982">
        <v>10058.66</v>
      </c>
      <c r="P5" s="982">
        <v>2803.04</v>
      </c>
      <c r="Q5" s="982">
        <v>0</v>
      </c>
      <c r="R5" s="982">
        <f t="shared" si="0"/>
        <v>52811.749999999993</v>
      </c>
      <c r="S5" s="975" t="s">
        <v>926</v>
      </c>
    </row>
    <row r="6" spans="1:20" s="981" customFormat="1" ht="19.5" customHeight="1">
      <c r="A6" s="1583"/>
      <c r="B6" s="981" t="s">
        <v>751</v>
      </c>
      <c r="C6" s="981" t="s">
        <v>752</v>
      </c>
      <c r="D6" s="981" t="s">
        <v>596</v>
      </c>
      <c r="E6" s="981" t="s">
        <v>159</v>
      </c>
      <c r="F6" s="982">
        <v>3271.99</v>
      </c>
      <c r="G6" s="982">
        <v>9139</v>
      </c>
      <c r="H6" s="982">
        <v>7626.35</v>
      </c>
      <c r="I6" s="982">
        <v>10336.59</v>
      </c>
      <c r="J6" s="982">
        <v>12070.22</v>
      </c>
      <c r="K6" s="982">
        <v>4226.42</v>
      </c>
      <c r="L6" s="982">
        <v>11076.03</v>
      </c>
      <c r="M6" s="982">
        <v>2512.79</v>
      </c>
      <c r="N6" s="982">
        <v>1043.24</v>
      </c>
      <c r="O6" s="982">
        <v>13849.36</v>
      </c>
      <c r="P6" s="982">
        <v>12009.01</v>
      </c>
      <c r="Q6" s="982">
        <v>3743.67</v>
      </c>
      <c r="R6" s="982">
        <f t="shared" si="0"/>
        <v>90904.669999999984</v>
      </c>
      <c r="S6" s="976"/>
    </row>
    <row r="7" spans="1:20" s="981" customFormat="1" ht="19.5" customHeight="1">
      <c r="A7" s="1583"/>
      <c r="B7" s="981" t="s">
        <v>755</v>
      </c>
      <c r="C7" s="981" t="s">
        <v>756</v>
      </c>
      <c r="D7" s="981" t="s">
        <v>596</v>
      </c>
      <c r="E7" s="981" t="s">
        <v>159</v>
      </c>
      <c r="F7" s="982">
        <v>0</v>
      </c>
      <c r="G7" s="982">
        <v>2054.46</v>
      </c>
      <c r="H7" s="982">
        <v>0</v>
      </c>
      <c r="I7" s="982">
        <v>0</v>
      </c>
      <c r="J7" s="982">
        <v>0</v>
      </c>
      <c r="K7" s="982">
        <v>23983.05</v>
      </c>
      <c r="L7" s="982">
        <v>892</v>
      </c>
      <c r="M7" s="982">
        <v>0</v>
      </c>
      <c r="N7" s="982">
        <v>11279.34</v>
      </c>
      <c r="O7" s="982">
        <v>4764</v>
      </c>
      <c r="P7" s="982">
        <v>906.25</v>
      </c>
      <c r="Q7" s="982">
        <v>27.8</v>
      </c>
      <c r="R7" s="982">
        <f t="shared" si="0"/>
        <v>43906.9</v>
      </c>
      <c r="S7" s="975" t="s">
        <v>926</v>
      </c>
    </row>
    <row r="8" spans="1:20" s="981" customFormat="1" ht="19.5" customHeight="1">
      <c r="A8" s="1583"/>
      <c r="B8" s="981" t="s">
        <v>757</v>
      </c>
      <c r="C8" s="981" t="s">
        <v>758</v>
      </c>
      <c r="D8" s="981" t="s">
        <v>596</v>
      </c>
      <c r="E8" s="981" t="s">
        <v>159</v>
      </c>
      <c r="F8" s="982">
        <v>1015.57</v>
      </c>
      <c r="G8" s="982">
        <v>0</v>
      </c>
      <c r="H8" s="982">
        <v>0</v>
      </c>
      <c r="I8" s="982">
        <v>13946.04</v>
      </c>
      <c r="J8" s="982">
        <v>-6096.06</v>
      </c>
      <c r="K8" s="982">
        <v>692.33</v>
      </c>
      <c r="L8" s="982">
        <v>82.44</v>
      </c>
      <c r="M8" s="982">
        <v>1593.36</v>
      </c>
      <c r="N8" s="982">
        <v>0</v>
      </c>
      <c r="O8" s="982">
        <v>0</v>
      </c>
      <c r="P8" s="982">
        <v>2483.19</v>
      </c>
      <c r="Q8" s="982">
        <v>2409.21</v>
      </c>
      <c r="R8" s="982">
        <f t="shared" si="0"/>
        <v>16126.080000000002</v>
      </c>
      <c r="S8" s="976"/>
    </row>
    <row r="9" spans="1:20" s="981" customFormat="1" ht="19.5" customHeight="1">
      <c r="A9" s="1583"/>
      <c r="B9" s="981" t="s">
        <v>759</v>
      </c>
      <c r="C9" s="981" t="s">
        <v>760</v>
      </c>
      <c r="D9" s="981" t="s">
        <v>608</v>
      </c>
      <c r="E9" s="981" t="s">
        <v>77</v>
      </c>
      <c r="F9" s="982">
        <v>0</v>
      </c>
      <c r="G9" s="982">
        <v>0</v>
      </c>
      <c r="H9" s="982">
        <v>0</v>
      </c>
      <c r="I9" s="982">
        <v>0</v>
      </c>
      <c r="J9" s="982">
        <v>0</v>
      </c>
      <c r="K9" s="982">
        <v>0</v>
      </c>
      <c r="L9" s="982">
        <v>0</v>
      </c>
      <c r="M9" s="982">
        <v>0</v>
      </c>
      <c r="N9" s="982">
        <v>0</v>
      </c>
      <c r="O9" s="982">
        <v>0</v>
      </c>
      <c r="P9" s="982">
        <v>12562.44</v>
      </c>
      <c r="Q9" s="982">
        <v>0</v>
      </c>
      <c r="R9" s="982">
        <f t="shared" si="0"/>
        <v>12562.44</v>
      </c>
      <c r="S9" s="975" t="s">
        <v>926</v>
      </c>
    </row>
    <row r="10" spans="1:20" s="981" customFormat="1" ht="19.5" customHeight="1">
      <c r="A10" s="1583"/>
      <c r="B10" s="981" t="s">
        <v>747</v>
      </c>
      <c r="C10" s="981" t="s">
        <v>748</v>
      </c>
      <c r="D10" s="981" t="s">
        <v>608</v>
      </c>
      <c r="E10" s="981" t="s">
        <v>77</v>
      </c>
      <c r="F10" s="982">
        <v>689906.78</v>
      </c>
      <c r="G10" s="982">
        <v>617461.56999999995</v>
      </c>
      <c r="H10" s="982">
        <v>663082.44999999995</v>
      </c>
      <c r="I10" s="982">
        <v>710786.89</v>
      </c>
      <c r="J10" s="982">
        <v>643388.6</v>
      </c>
      <c r="K10" s="982">
        <v>692173.79</v>
      </c>
      <c r="L10" s="982">
        <v>671647.68</v>
      </c>
      <c r="M10" s="982">
        <v>726971.25</v>
      </c>
      <c r="N10" s="982">
        <v>679835.04</v>
      </c>
      <c r="O10" s="982">
        <v>581798.56999999995</v>
      </c>
      <c r="P10" s="982">
        <f>754419.55+218057.42</f>
        <v>972476.97000000009</v>
      </c>
      <c r="Q10" s="982">
        <v>591089.06999999995</v>
      </c>
      <c r="R10" s="982">
        <f t="shared" si="0"/>
        <v>8240618.6600000001</v>
      </c>
      <c r="S10" s="975" t="s">
        <v>926</v>
      </c>
    </row>
    <row r="11" spans="1:20" s="981" customFormat="1" ht="19.5" customHeight="1">
      <c r="A11" s="1583"/>
      <c r="B11" s="981" t="s">
        <v>753</v>
      </c>
      <c r="C11" s="981" t="s">
        <v>754</v>
      </c>
      <c r="D11" s="981" t="s">
        <v>608</v>
      </c>
      <c r="E11" s="985" t="s">
        <v>77</v>
      </c>
      <c r="F11" s="986">
        <v>0</v>
      </c>
      <c r="G11" s="986">
        <v>4982.46</v>
      </c>
      <c r="H11" s="986">
        <v>1154.04</v>
      </c>
      <c r="I11" s="986">
        <v>1554.97</v>
      </c>
      <c r="J11" s="986">
        <v>4250.1899999999996</v>
      </c>
      <c r="K11" s="986">
        <v>6103.2</v>
      </c>
      <c r="L11" s="986">
        <v>3538.73</v>
      </c>
      <c r="M11" s="986">
        <v>5553.94</v>
      </c>
      <c r="N11" s="986">
        <v>4464.1400000000003</v>
      </c>
      <c r="O11" s="986">
        <v>13250.78</v>
      </c>
      <c r="P11" s="986">
        <v>7521.25</v>
      </c>
      <c r="Q11" s="986">
        <v>3079.29</v>
      </c>
      <c r="R11" s="986">
        <f t="shared" si="0"/>
        <v>55452.99</v>
      </c>
      <c r="S11" s="975" t="s">
        <v>926</v>
      </c>
    </row>
    <row r="12" spans="1:20" s="981" customFormat="1" ht="19.5" customHeight="1">
      <c r="A12" s="1583"/>
      <c r="B12" s="981" t="s">
        <v>127</v>
      </c>
      <c r="C12" s="981" t="s">
        <v>128</v>
      </c>
      <c r="D12" s="981" t="s">
        <v>608</v>
      </c>
      <c r="E12" s="985" t="s">
        <v>77</v>
      </c>
      <c r="F12" s="987">
        <v>414.08</v>
      </c>
      <c r="G12" s="987">
        <v>0</v>
      </c>
      <c r="H12" s="987">
        <v>256.11</v>
      </c>
      <c r="I12" s="987">
        <v>1806.2</v>
      </c>
      <c r="J12" s="987">
        <v>-89.76</v>
      </c>
      <c r="K12" s="987">
        <v>-23.97</v>
      </c>
      <c r="L12" s="987">
        <v>0</v>
      </c>
      <c r="M12" s="987">
        <v>0</v>
      </c>
      <c r="N12" s="987">
        <v>0</v>
      </c>
      <c r="O12" s="987">
        <v>-1.43</v>
      </c>
      <c r="P12" s="987">
        <v>-134.69</v>
      </c>
      <c r="Q12" s="987">
        <v>0</v>
      </c>
      <c r="R12" s="987">
        <f t="shared" si="0"/>
        <v>2226.5400000000004</v>
      </c>
      <c r="S12" s="975" t="s">
        <v>926</v>
      </c>
    </row>
    <row r="13" spans="1:20" ht="26.25" customHeight="1">
      <c r="E13" s="1079" t="s">
        <v>832</v>
      </c>
      <c r="F13" s="989">
        <f>SUM(F3:F12)</f>
        <v>1405527.4</v>
      </c>
      <c r="G13" s="989">
        <f t="shared" ref="G13:Q13" si="1">SUM(G3:G12)</f>
        <v>1504933.9699999997</v>
      </c>
      <c r="H13" s="989">
        <f t="shared" si="1"/>
        <v>1489164.89</v>
      </c>
      <c r="I13" s="989">
        <f t="shared" si="1"/>
        <v>1600920.04</v>
      </c>
      <c r="J13" s="989">
        <f t="shared" si="1"/>
        <v>1749299.4399999997</v>
      </c>
      <c r="K13" s="989">
        <f t="shared" si="1"/>
        <v>2079270.5100000002</v>
      </c>
      <c r="L13" s="989">
        <f t="shared" si="1"/>
        <v>1600623.31</v>
      </c>
      <c r="M13" s="989">
        <f t="shared" si="1"/>
        <v>1751923.67</v>
      </c>
      <c r="N13" s="989">
        <f t="shared" si="1"/>
        <v>1603346.13</v>
      </c>
      <c r="O13" s="989">
        <f t="shared" si="1"/>
        <v>1796277.8199999998</v>
      </c>
      <c r="P13" s="989">
        <f t="shared" si="1"/>
        <v>2148083.42</v>
      </c>
      <c r="Q13" s="989">
        <f t="shared" si="1"/>
        <v>1550754.28</v>
      </c>
      <c r="R13" s="989">
        <f>SUM(F13:Q13)</f>
        <v>20280124.880000003</v>
      </c>
      <c r="S13" s="990"/>
    </row>
    <row r="14" spans="1:20" ht="21" customHeight="1">
      <c r="E14" s="991" t="s">
        <v>159</v>
      </c>
      <c r="F14" s="992">
        <f>SUMIF($E$3:$E$12,$E14,F$3:F$12)</f>
        <v>715206.53999999992</v>
      </c>
      <c r="G14" s="992">
        <f t="shared" ref="G14:Q15" si="2">SUMIF($E$3:$E$12,$E14,G$3:G$12)</f>
        <v>882489.94</v>
      </c>
      <c r="H14" s="992">
        <f t="shared" si="2"/>
        <v>824672.28999999992</v>
      </c>
      <c r="I14" s="992">
        <f t="shared" si="2"/>
        <v>886771.98</v>
      </c>
      <c r="J14" s="992">
        <f t="shared" si="2"/>
        <v>1101750.4099999999</v>
      </c>
      <c r="K14" s="992">
        <f t="shared" si="2"/>
        <v>1381017.4900000002</v>
      </c>
      <c r="L14" s="992">
        <f t="shared" si="2"/>
        <v>925436.9</v>
      </c>
      <c r="M14" s="992">
        <f t="shared" si="2"/>
        <v>1019398.48</v>
      </c>
      <c r="N14" s="992">
        <f t="shared" si="2"/>
        <v>919046.95</v>
      </c>
      <c r="O14" s="992">
        <f t="shared" si="2"/>
        <v>1201229.8999999999</v>
      </c>
      <c r="P14" s="992">
        <f t="shared" si="2"/>
        <v>1155657.45</v>
      </c>
      <c r="Q14" s="992">
        <f t="shared" si="2"/>
        <v>956585.92</v>
      </c>
      <c r="R14" s="992">
        <f t="shared" si="0"/>
        <v>11969264.25</v>
      </c>
      <c r="S14" s="990"/>
    </row>
    <row r="15" spans="1:20" ht="21" customHeight="1">
      <c r="E15" s="991" t="s">
        <v>77</v>
      </c>
      <c r="F15" s="992">
        <f>SUMIF($E$3:$E$12,$E15,F$3:F$12)</f>
        <v>690320.86</v>
      </c>
      <c r="G15" s="992">
        <f t="shared" si="2"/>
        <v>622444.02999999991</v>
      </c>
      <c r="H15" s="992">
        <f t="shared" si="2"/>
        <v>664492.6</v>
      </c>
      <c r="I15" s="992">
        <f t="shared" si="2"/>
        <v>714148.05999999994</v>
      </c>
      <c r="J15" s="992">
        <f t="shared" si="2"/>
        <v>647549.02999999991</v>
      </c>
      <c r="K15" s="992">
        <f t="shared" si="2"/>
        <v>698253.02</v>
      </c>
      <c r="L15" s="992">
        <f t="shared" si="2"/>
        <v>675186.41</v>
      </c>
      <c r="M15" s="992">
        <f t="shared" si="2"/>
        <v>732525.19</v>
      </c>
      <c r="N15" s="992">
        <f t="shared" si="2"/>
        <v>684299.18</v>
      </c>
      <c r="O15" s="992">
        <f t="shared" si="2"/>
        <v>595047.91999999993</v>
      </c>
      <c r="P15" s="992">
        <f>SUMIF($E$3:$E$12,$E15,P$3:P$12)</f>
        <v>992425.97000000009</v>
      </c>
      <c r="Q15" s="992">
        <f t="shared" si="2"/>
        <v>594168.36</v>
      </c>
      <c r="R15" s="993">
        <f t="shared" si="0"/>
        <v>8310860.629999999</v>
      </c>
      <c r="S15" s="990"/>
    </row>
    <row r="16" spans="1:20" ht="22.5" customHeight="1">
      <c r="E16" s="973" t="s">
        <v>959</v>
      </c>
      <c r="F16" s="974">
        <f>SUMIF($S$3:$S$12,"",F3:F12)</f>
        <v>459982.85</v>
      </c>
      <c r="G16" s="974">
        <f>SUMIF($S$3:$S$12,"",G3:G12)</f>
        <v>465127.96</v>
      </c>
      <c r="H16" s="974">
        <f t="shared" ref="H16:Q16" si="3">SUMIF($S$3:$S$12,"",H3:H12)</f>
        <v>467152.26999999996</v>
      </c>
      <c r="I16" s="974">
        <f t="shared" si="3"/>
        <v>385589.25</v>
      </c>
      <c r="J16" s="974">
        <f t="shared" si="3"/>
        <v>489141.04</v>
      </c>
      <c r="K16" s="974">
        <f t="shared" si="3"/>
        <v>584184.91</v>
      </c>
      <c r="L16" s="974">
        <f t="shared" si="3"/>
        <v>379430.15</v>
      </c>
      <c r="M16" s="974">
        <f t="shared" si="3"/>
        <v>429787.64999999997</v>
      </c>
      <c r="N16" s="974">
        <f t="shared" si="3"/>
        <v>428070.33</v>
      </c>
      <c r="O16" s="974">
        <f t="shared" si="3"/>
        <v>626777.54</v>
      </c>
      <c r="P16" s="974">
        <f t="shared" si="3"/>
        <v>575193.87</v>
      </c>
      <c r="Q16" s="974">
        <f t="shared" si="3"/>
        <v>579057.05000000005</v>
      </c>
      <c r="R16" s="974">
        <f t="shared" si="0"/>
        <v>5869494.8700000001</v>
      </c>
      <c r="S16" s="995"/>
      <c r="T16" s="996"/>
    </row>
    <row r="17" spans="1:21" ht="21" customHeight="1">
      <c r="E17" s="973" t="s">
        <v>950</v>
      </c>
      <c r="F17" s="974">
        <f>SUMIF($S$3:$S$12,$E$17,F3:F12)</f>
        <v>945544.54999999993</v>
      </c>
      <c r="G17" s="974">
        <f>SUMIF($S$3:$S$12,$E$17,G3:G12)</f>
        <v>1039806.01</v>
      </c>
      <c r="H17" s="974">
        <f t="shared" ref="H17:Q17" si="4">SUMIF($S$3:$S$12,$E$17,H3:H12)</f>
        <v>1022012.62</v>
      </c>
      <c r="I17" s="974">
        <f t="shared" si="4"/>
        <v>1215330.79</v>
      </c>
      <c r="J17" s="974">
        <f t="shared" si="4"/>
        <v>1260158.3999999999</v>
      </c>
      <c r="K17" s="974">
        <f t="shared" si="4"/>
        <v>1495085.6</v>
      </c>
      <c r="L17" s="974">
        <f t="shared" si="4"/>
        <v>1221193.1600000001</v>
      </c>
      <c r="M17" s="974">
        <f t="shared" si="4"/>
        <v>1322136.02</v>
      </c>
      <c r="N17" s="974">
        <f t="shared" si="4"/>
        <v>1175275.8</v>
      </c>
      <c r="O17" s="974">
        <f t="shared" si="4"/>
        <v>1169500.28</v>
      </c>
      <c r="P17" s="974">
        <f t="shared" si="4"/>
        <v>1572889.5500000003</v>
      </c>
      <c r="Q17" s="974">
        <f t="shared" si="4"/>
        <v>971697.23</v>
      </c>
      <c r="R17" s="974">
        <f t="shared" si="0"/>
        <v>14410630.010000002</v>
      </c>
      <c r="S17" s="983"/>
      <c r="T17" s="996"/>
    </row>
    <row r="18" spans="1:21" ht="17.25" customHeight="1">
      <c r="A18" s="1083" t="s">
        <v>836</v>
      </c>
      <c r="B18" s="1084"/>
      <c r="C18" s="996"/>
      <c r="E18" s="991"/>
      <c r="F18" s="993"/>
      <c r="G18" s="993"/>
      <c r="H18" s="993"/>
      <c r="I18" s="993"/>
      <c r="J18" s="993"/>
      <c r="K18" s="993"/>
      <c r="L18" s="993"/>
      <c r="M18" s="993"/>
      <c r="N18" s="993"/>
      <c r="O18" s="993"/>
      <c r="P18" s="993"/>
      <c r="Q18" s="993"/>
      <c r="R18" s="993"/>
    </row>
    <row r="19" spans="1:21" s="981" customFormat="1" ht="21" customHeight="1">
      <c r="A19" s="978"/>
      <c r="B19" s="978" t="s">
        <v>106</v>
      </c>
      <c r="C19" s="978" t="s">
        <v>583</v>
      </c>
      <c r="D19" s="978" t="s">
        <v>581</v>
      </c>
      <c r="E19" s="978" t="s">
        <v>740</v>
      </c>
      <c r="F19" s="979" t="s">
        <v>584</v>
      </c>
      <c r="G19" s="979" t="s">
        <v>585</v>
      </c>
      <c r="H19" s="979" t="s">
        <v>586</v>
      </c>
      <c r="I19" s="979" t="s">
        <v>587</v>
      </c>
      <c r="J19" s="979" t="s">
        <v>588</v>
      </c>
      <c r="K19" s="979" t="s">
        <v>589</v>
      </c>
      <c r="L19" s="979" t="s">
        <v>590</v>
      </c>
      <c r="M19" s="979" t="s">
        <v>591</v>
      </c>
      <c r="N19" s="979" t="s">
        <v>592</v>
      </c>
      <c r="O19" s="979" t="s">
        <v>593</v>
      </c>
      <c r="P19" s="979" t="s">
        <v>594</v>
      </c>
      <c r="Q19" s="979" t="s">
        <v>595</v>
      </c>
      <c r="R19" s="1037" t="s">
        <v>954</v>
      </c>
    </row>
    <row r="20" spans="1:21" s="981" customFormat="1" ht="19.5" customHeight="1">
      <c r="A20" s="1583" t="s">
        <v>37</v>
      </c>
      <c r="B20" s="981" t="s">
        <v>749</v>
      </c>
      <c r="C20" s="981" t="s">
        <v>750</v>
      </c>
      <c r="D20" s="981" t="s">
        <v>596</v>
      </c>
      <c r="E20" s="981" t="s">
        <v>948</v>
      </c>
      <c r="F20" s="982">
        <v>10586.12</v>
      </c>
      <c r="G20" s="982">
        <v>8686.4</v>
      </c>
      <c r="H20" s="982">
        <v>10700.92</v>
      </c>
      <c r="I20" s="982">
        <v>11483.62</v>
      </c>
      <c r="J20" s="982">
        <v>4152.1099999999997</v>
      </c>
      <c r="K20" s="982">
        <v>5222.37</v>
      </c>
      <c r="L20" s="982">
        <v>2135.37</v>
      </c>
      <c r="M20" s="982">
        <v>0</v>
      </c>
      <c r="N20" s="982">
        <v>0</v>
      </c>
      <c r="O20" s="982">
        <v>197.73</v>
      </c>
      <c r="P20" s="982">
        <v>0</v>
      </c>
      <c r="Q20" s="982">
        <v>0</v>
      </c>
      <c r="R20" s="982">
        <f>SUM(F20:Q20)</f>
        <v>53164.640000000014</v>
      </c>
    </row>
    <row r="21" spans="1:21" s="981" customFormat="1" ht="19.5" customHeight="1">
      <c r="A21" s="1583"/>
      <c r="B21" s="981" t="s">
        <v>745</v>
      </c>
      <c r="C21" s="981" t="s">
        <v>746</v>
      </c>
      <c r="D21" s="981" t="s">
        <v>607</v>
      </c>
      <c r="E21" s="981" t="s">
        <v>948</v>
      </c>
      <c r="F21" s="986">
        <v>-1930.9</v>
      </c>
      <c r="G21" s="986">
        <v>0</v>
      </c>
      <c r="H21" s="986">
        <v>0</v>
      </c>
      <c r="I21" s="986">
        <v>0</v>
      </c>
      <c r="J21" s="986">
        <v>0</v>
      </c>
      <c r="K21" s="986">
        <v>0</v>
      </c>
      <c r="L21" s="986">
        <v>0</v>
      </c>
      <c r="M21" s="986">
        <v>0</v>
      </c>
      <c r="N21" s="986">
        <v>0</v>
      </c>
      <c r="O21" s="986">
        <v>0</v>
      </c>
      <c r="P21" s="986">
        <v>0</v>
      </c>
      <c r="Q21" s="986">
        <v>77.73</v>
      </c>
      <c r="R21" s="982">
        <f>SUM(F21:Q21)</f>
        <v>-1853.17</v>
      </c>
    </row>
    <row r="22" spans="1:21" s="981" customFormat="1" ht="19.5" customHeight="1">
      <c r="A22" s="1583"/>
      <c r="B22" s="981" t="s">
        <v>747</v>
      </c>
      <c r="C22" s="981" t="s">
        <v>748</v>
      </c>
      <c r="D22" s="981" t="s">
        <v>608</v>
      </c>
      <c r="E22" s="981" t="s">
        <v>949</v>
      </c>
      <c r="F22" s="986">
        <v>62237.64</v>
      </c>
      <c r="G22" s="986">
        <v>71785.929999999993</v>
      </c>
      <c r="H22" s="986">
        <v>62971.99</v>
      </c>
      <c r="I22" s="986">
        <v>42019.65</v>
      </c>
      <c r="J22" s="986">
        <v>59140.84</v>
      </c>
      <c r="K22" s="986">
        <v>98518.69</v>
      </c>
      <c r="L22" s="986">
        <v>202374.86</v>
      </c>
      <c r="M22" s="986">
        <v>77104.960000000006</v>
      </c>
      <c r="N22" s="986">
        <v>86106.33</v>
      </c>
      <c r="O22" s="986">
        <v>62687.23</v>
      </c>
      <c r="P22" s="986">
        <v>45470.28</v>
      </c>
      <c r="Q22" s="986">
        <v>31049.200000000001</v>
      </c>
      <c r="R22" s="986">
        <f t="shared" ref="R22:R29" si="5">SUM(F22:Q22)</f>
        <v>901467.59999999986</v>
      </c>
    </row>
    <row r="23" spans="1:21" s="981" customFormat="1" ht="19.5" customHeight="1">
      <c r="A23" s="1583"/>
      <c r="B23" s="981" t="s">
        <v>753</v>
      </c>
      <c r="C23" s="981" t="s">
        <v>754</v>
      </c>
      <c r="D23" s="981" t="s">
        <v>608</v>
      </c>
      <c r="E23" s="981" t="s">
        <v>949</v>
      </c>
      <c r="F23" s="982">
        <v>23095.55</v>
      </c>
      <c r="G23" s="982">
        <v>8625.5300000000007</v>
      </c>
      <c r="H23" s="982">
        <v>19600.55</v>
      </c>
      <c r="I23" s="982">
        <v>18092.29</v>
      </c>
      <c r="J23" s="982">
        <v>22156.02</v>
      </c>
      <c r="K23" s="982">
        <v>12684.4</v>
      </c>
      <c r="L23" s="982">
        <v>13772.55</v>
      </c>
      <c r="M23" s="982">
        <v>16213.27</v>
      </c>
      <c r="N23" s="982">
        <v>14027.09</v>
      </c>
      <c r="O23" s="982">
        <v>33542.33</v>
      </c>
      <c r="P23" s="982">
        <v>12968.93</v>
      </c>
      <c r="Q23" s="982">
        <v>5453.01</v>
      </c>
      <c r="R23" s="982">
        <f t="shared" si="5"/>
        <v>200231.52000000002</v>
      </c>
    </row>
    <row r="24" spans="1:21" s="981" customFormat="1" ht="19.5" customHeight="1">
      <c r="A24" s="1583"/>
      <c r="B24" s="981" t="s">
        <v>759</v>
      </c>
      <c r="C24" s="981" t="s">
        <v>760</v>
      </c>
      <c r="D24" s="981" t="s">
        <v>608</v>
      </c>
      <c r="E24" s="981" t="s">
        <v>949</v>
      </c>
      <c r="F24" s="987">
        <v>133.99</v>
      </c>
      <c r="G24" s="987">
        <v>110.55</v>
      </c>
      <c r="H24" s="987">
        <v>0</v>
      </c>
      <c r="I24" s="987">
        <v>0</v>
      </c>
      <c r="J24" s="987">
        <v>0</v>
      </c>
      <c r="K24" s="987">
        <v>0</v>
      </c>
      <c r="L24" s="987">
        <v>0</v>
      </c>
      <c r="M24" s="987">
        <v>0</v>
      </c>
      <c r="N24" s="987">
        <v>336.65</v>
      </c>
      <c r="O24" s="987">
        <v>0</v>
      </c>
      <c r="P24" s="987">
        <v>0</v>
      </c>
      <c r="Q24" s="987">
        <v>0</v>
      </c>
      <c r="R24" s="987">
        <f t="shared" si="5"/>
        <v>581.19000000000005</v>
      </c>
    </row>
    <row r="25" spans="1:21" ht="26.25" customHeight="1">
      <c r="E25" s="1079" t="s">
        <v>833</v>
      </c>
      <c r="F25" s="989">
        <f t="shared" ref="F25:Q25" si="6">SUM(F20:F24)</f>
        <v>94122.400000000009</v>
      </c>
      <c r="G25" s="989">
        <f t="shared" si="6"/>
        <v>89208.409999999989</v>
      </c>
      <c r="H25" s="989">
        <f t="shared" si="6"/>
        <v>93273.46</v>
      </c>
      <c r="I25" s="989">
        <f t="shared" si="6"/>
        <v>71595.56</v>
      </c>
      <c r="J25" s="989">
        <f t="shared" si="6"/>
        <v>85448.97</v>
      </c>
      <c r="K25" s="989">
        <f t="shared" si="6"/>
        <v>116425.45999999999</v>
      </c>
      <c r="L25" s="989">
        <f t="shared" si="6"/>
        <v>218282.77999999997</v>
      </c>
      <c r="M25" s="989">
        <f t="shared" si="6"/>
        <v>93318.23000000001</v>
      </c>
      <c r="N25" s="989">
        <f t="shared" si="6"/>
        <v>100470.06999999999</v>
      </c>
      <c r="O25" s="989">
        <f t="shared" si="6"/>
        <v>96427.290000000008</v>
      </c>
      <c r="P25" s="989">
        <f t="shared" si="6"/>
        <v>58439.21</v>
      </c>
      <c r="Q25" s="989">
        <f t="shared" si="6"/>
        <v>36579.94</v>
      </c>
      <c r="R25" s="989">
        <f t="shared" si="5"/>
        <v>1153591.7799999998</v>
      </c>
    </row>
    <row r="26" spans="1:21" ht="21" customHeight="1">
      <c r="E26" s="997" t="s">
        <v>948</v>
      </c>
      <c r="F26" s="992">
        <f>SUMIF($E$20:$E$24,$E26,F$20:F$24)</f>
        <v>8655.2200000000012</v>
      </c>
      <c r="G26" s="992">
        <f t="shared" ref="G26:Q27" si="7">SUMIF($E$20:$E$24,$E26,G$20:G$24)</f>
        <v>8686.4</v>
      </c>
      <c r="H26" s="992">
        <f t="shared" si="7"/>
        <v>10700.92</v>
      </c>
      <c r="I26" s="992">
        <f t="shared" si="7"/>
        <v>11483.62</v>
      </c>
      <c r="J26" s="992">
        <f t="shared" si="7"/>
        <v>4152.1099999999997</v>
      </c>
      <c r="K26" s="992">
        <f t="shared" si="7"/>
        <v>5222.37</v>
      </c>
      <c r="L26" s="992">
        <f t="shared" si="7"/>
        <v>2135.37</v>
      </c>
      <c r="M26" s="992">
        <f t="shared" si="7"/>
        <v>0</v>
      </c>
      <c r="N26" s="992">
        <f t="shared" si="7"/>
        <v>0</v>
      </c>
      <c r="O26" s="992">
        <f t="shared" si="7"/>
        <v>197.73</v>
      </c>
      <c r="P26" s="992">
        <f t="shared" si="7"/>
        <v>0</v>
      </c>
      <c r="Q26" s="992">
        <f t="shared" si="7"/>
        <v>77.73</v>
      </c>
      <c r="R26" s="992">
        <f t="shared" si="5"/>
        <v>51311.470000000016</v>
      </c>
    </row>
    <row r="27" spans="1:21" ht="21" customHeight="1">
      <c r="E27" s="997" t="s">
        <v>949</v>
      </c>
      <c r="F27" s="992">
        <f>SUMIF($E$20:$E$24,$E27,F$20:F$24)</f>
        <v>85467.180000000008</v>
      </c>
      <c r="G27" s="992">
        <f t="shared" si="7"/>
        <v>80522.009999999995</v>
      </c>
      <c r="H27" s="992">
        <f t="shared" si="7"/>
        <v>82572.539999999994</v>
      </c>
      <c r="I27" s="992">
        <f t="shared" si="7"/>
        <v>60111.94</v>
      </c>
      <c r="J27" s="992">
        <f t="shared" si="7"/>
        <v>81296.86</v>
      </c>
      <c r="K27" s="992">
        <f t="shared" si="7"/>
        <v>111203.09</v>
      </c>
      <c r="L27" s="992">
        <f t="shared" si="7"/>
        <v>216147.40999999997</v>
      </c>
      <c r="M27" s="992">
        <f t="shared" si="7"/>
        <v>93318.23000000001</v>
      </c>
      <c r="N27" s="992">
        <f t="shared" si="7"/>
        <v>100470.06999999999</v>
      </c>
      <c r="O27" s="992">
        <f t="shared" si="7"/>
        <v>96229.56</v>
      </c>
      <c r="P27" s="992">
        <f t="shared" si="7"/>
        <v>58439.21</v>
      </c>
      <c r="Q27" s="992">
        <f t="shared" si="7"/>
        <v>36502.21</v>
      </c>
      <c r="R27" s="993">
        <f t="shared" si="5"/>
        <v>1102280.3099999998</v>
      </c>
    </row>
    <row r="28" spans="1:21" ht="18" customHeight="1">
      <c r="E28" s="998"/>
      <c r="F28" s="999"/>
      <c r="G28" s="999"/>
      <c r="H28" s="999"/>
      <c r="I28" s="999"/>
      <c r="J28" s="999"/>
      <c r="K28" s="999"/>
      <c r="L28" s="999"/>
      <c r="M28" s="999"/>
      <c r="N28" s="999"/>
      <c r="O28" s="999"/>
      <c r="P28" s="999"/>
      <c r="Q28" s="999"/>
      <c r="R28" s="999"/>
    </row>
    <row r="29" spans="1:21" s="981" customFormat="1" ht="26.25" customHeight="1" thickBot="1">
      <c r="E29" s="1079" t="s">
        <v>842</v>
      </c>
      <c r="F29" s="1000">
        <f t="shared" ref="F29:Q29" si="8">F13+F25</f>
        <v>1499649.7999999998</v>
      </c>
      <c r="G29" s="1000">
        <f t="shared" si="8"/>
        <v>1594142.3799999997</v>
      </c>
      <c r="H29" s="1000">
        <f t="shared" si="8"/>
        <v>1582438.3499999999</v>
      </c>
      <c r="I29" s="1000">
        <f t="shared" si="8"/>
        <v>1672515.6</v>
      </c>
      <c r="J29" s="1000">
        <f t="shared" si="8"/>
        <v>1834748.4099999997</v>
      </c>
      <c r="K29" s="1000">
        <f t="shared" si="8"/>
        <v>2195695.9700000002</v>
      </c>
      <c r="L29" s="1000">
        <f t="shared" si="8"/>
        <v>1818906.09</v>
      </c>
      <c r="M29" s="1000">
        <f t="shared" si="8"/>
        <v>1845241.9</v>
      </c>
      <c r="N29" s="1000">
        <f t="shared" si="8"/>
        <v>1703816.2</v>
      </c>
      <c r="O29" s="1000">
        <f t="shared" si="8"/>
        <v>1892705.1099999999</v>
      </c>
      <c r="P29" s="1000">
        <f t="shared" si="8"/>
        <v>2206522.63</v>
      </c>
      <c r="Q29" s="1000">
        <f t="shared" si="8"/>
        <v>1587334.22</v>
      </c>
      <c r="R29" s="1000">
        <f t="shared" si="5"/>
        <v>21433716.659999996</v>
      </c>
    </row>
    <row r="30" spans="1:21" ht="15" thickTop="1">
      <c r="E30" s="991"/>
      <c r="F30" s="993"/>
      <c r="G30" s="993"/>
      <c r="H30" s="993"/>
      <c r="I30" s="993"/>
      <c r="J30" s="993"/>
      <c r="K30" s="993"/>
      <c r="L30" s="993"/>
      <c r="M30" s="993"/>
      <c r="N30" s="993"/>
      <c r="O30" s="993"/>
      <c r="P30" s="993"/>
      <c r="Q30" s="993"/>
      <c r="R30" s="993"/>
    </row>
    <row r="31" spans="1:21" ht="15" thickBot="1">
      <c r="A31" s="1001"/>
      <c r="B31" s="1001"/>
      <c r="C31" s="1001"/>
      <c r="D31" s="1001"/>
      <c r="E31" s="1001"/>
      <c r="F31" s="1001"/>
      <c r="G31" s="1001"/>
      <c r="H31" s="1001"/>
      <c r="I31" s="1001"/>
      <c r="J31" s="1001"/>
      <c r="K31" s="1001"/>
      <c r="L31" s="1001"/>
      <c r="M31" s="1001"/>
      <c r="N31" s="1001"/>
      <c r="O31" s="1001"/>
      <c r="P31" s="1001"/>
      <c r="Q31" s="1001"/>
      <c r="R31" s="1001"/>
      <c r="S31" s="1001"/>
      <c r="T31" s="1001"/>
      <c r="U31" s="1001"/>
    </row>
    <row r="32" spans="1:21" ht="17.25" customHeight="1">
      <c r="A32" s="1581" t="s">
        <v>929</v>
      </c>
      <c r="B32" s="1581"/>
      <c r="C32" s="1582"/>
    </row>
    <row r="33" spans="1:20" ht="9" customHeight="1"/>
    <row r="34" spans="1:20" s="981" customFormat="1" ht="17.25" customHeight="1">
      <c r="A34" s="978"/>
      <c r="B34" s="978" t="s">
        <v>106</v>
      </c>
      <c r="C34" s="978" t="s">
        <v>583</v>
      </c>
      <c r="D34" s="978" t="s">
        <v>581</v>
      </c>
      <c r="E34" s="978" t="s">
        <v>740</v>
      </c>
      <c r="F34" s="979" t="s">
        <v>584</v>
      </c>
      <c r="G34" s="979" t="s">
        <v>585</v>
      </c>
      <c r="H34" s="979" t="s">
        <v>586</v>
      </c>
      <c r="I34" s="979" t="s">
        <v>587</v>
      </c>
      <c r="J34" s="979" t="s">
        <v>588</v>
      </c>
      <c r="K34" s="979" t="s">
        <v>589</v>
      </c>
      <c r="L34" s="979" t="s">
        <v>590</v>
      </c>
      <c r="M34" s="979" t="s">
        <v>591</v>
      </c>
      <c r="N34" s="979" t="s">
        <v>592</v>
      </c>
      <c r="O34" s="979" t="s">
        <v>593</v>
      </c>
      <c r="P34" s="979" t="s">
        <v>594</v>
      </c>
      <c r="Q34" s="979" t="s">
        <v>595</v>
      </c>
      <c r="R34" s="980" t="s">
        <v>3</v>
      </c>
    </row>
    <row r="35" spans="1:20" s="981" customFormat="1" ht="17.25" customHeight="1">
      <c r="A35" s="1580" t="s">
        <v>109</v>
      </c>
      <c r="B35" s="981" t="s">
        <v>743</v>
      </c>
      <c r="C35" s="981" t="s">
        <v>744</v>
      </c>
      <c r="D35" s="981" t="s">
        <v>596</v>
      </c>
      <c r="E35" s="981" t="s">
        <v>159</v>
      </c>
      <c r="F35" s="982">
        <v>239821</v>
      </c>
      <c r="G35" s="982">
        <v>239734</v>
      </c>
      <c r="H35" s="982">
        <v>248080</v>
      </c>
      <c r="I35" s="982">
        <v>243878</v>
      </c>
      <c r="J35" s="982">
        <v>239775</v>
      </c>
      <c r="K35" s="982">
        <v>244713</v>
      </c>
      <c r="L35" s="982">
        <v>243742</v>
      </c>
      <c r="M35" s="982">
        <v>248672</v>
      </c>
      <c r="N35" s="982">
        <v>247530</v>
      </c>
      <c r="O35" s="982">
        <v>245366</v>
      </c>
      <c r="P35" s="982">
        <v>243009</v>
      </c>
      <c r="Q35" s="982">
        <v>242505</v>
      </c>
      <c r="R35" s="982">
        <v>2926825</v>
      </c>
      <c r="S35" s="983" t="s">
        <v>926</v>
      </c>
    </row>
    <row r="36" spans="1:20" s="981" customFormat="1" ht="17.25" customHeight="1">
      <c r="A36" s="1580"/>
      <c r="B36" s="981" t="s">
        <v>745</v>
      </c>
      <c r="C36" s="981" t="s">
        <v>746</v>
      </c>
      <c r="D36" s="981" t="s">
        <v>596</v>
      </c>
      <c r="E36" s="981" t="s">
        <v>159</v>
      </c>
      <c r="F36" s="982">
        <v>325850</v>
      </c>
      <c r="G36" s="982">
        <v>325850</v>
      </c>
      <c r="H36" s="982">
        <v>325850</v>
      </c>
      <c r="I36" s="982">
        <v>325850</v>
      </c>
      <c r="J36" s="982">
        <v>325850</v>
      </c>
      <c r="K36" s="982">
        <v>322289</v>
      </c>
      <c r="L36" s="982">
        <v>316341</v>
      </c>
      <c r="M36" s="982">
        <v>316341</v>
      </c>
      <c r="N36" s="982">
        <v>316341</v>
      </c>
      <c r="O36" s="982">
        <v>316341</v>
      </c>
      <c r="P36" s="982">
        <v>316341</v>
      </c>
      <c r="Q36" s="982">
        <v>316341</v>
      </c>
      <c r="R36" s="982">
        <v>3849585</v>
      </c>
      <c r="S36" s="984"/>
    </row>
    <row r="37" spans="1:20" s="981" customFormat="1" ht="17.25" customHeight="1">
      <c r="A37" s="1580"/>
      <c r="B37" s="981" t="s">
        <v>749</v>
      </c>
      <c r="C37" s="981" t="s">
        <v>750</v>
      </c>
      <c r="D37" s="981" t="s">
        <v>596</v>
      </c>
      <c r="E37" s="981" t="s">
        <v>159</v>
      </c>
      <c r="F37" s="982">
        <v>2392</v>
      </c>
      <c r="G37" s="982">
        <v>3503</v>
      </c>
      <c r="H37" s="982">
        <v>2392</v>
      </c>
      <c r="I37" s="982">
        <v>3503</v>
      </c>
      <c r="J37" s="982">
        <v>2392</v>
      </c>
      <c r="K37" s="982">
        <v>3503</v>
      </c>
      <c r="L37" s="982">
        <v>2392</v>
      </c>
      <c r="M37" s="982">
        <v>3503</v>
      </c>
      <c r="N37" s="982">
        <v>2392</v>
      </c>
      <c r="O37" s="982">
        <v>3503</v>
      </c>
      <c r="P37" s="982">
        <v>2392</v>
      </c>
      <c r="Q37" s="982">
        <v>3439</v>
      </c>
      <c r="R37" s="982">
        <v>35306</v>
      </c>
      <c r="S37" s="983" t="s">
        <v>926</v>
      </c>
    </row>
    <row r="38" spans="1:20" s="981" customFormat="1" ht="17.25" customHeight="1">
      <c r="A38" s="1580"/>
      <c r="B38" s="981" t="s">
        <v>751</v>
      </c>
      <c r="C38" s="981" t="s">
        <v>752</v>
      </c>
      <c r="D38" s="981" t="s">
        <v>596</v>
      </c>
      <c r="E38" s="981" t="s">
        <v>159</v>
      </c>
      <c r="F38" s="982">
        <v>6905</v>
      </c>
      <c r="G38" s="982">
        <v>7457</v>
      </c>
      <c r="H38" s="982">
        <v>6905</v>
      </c>
      <c r="I38" s="982">
        <v>6905</v>
      </c>
      <c r="J38" s="982">
        <v>7457</v>
      </c>
      <c r="K38" s="982">
        <v>6905</v>
      </c>
      <c r="L38" s="982">
        <v>7496</v>
      </c>
      <c r="M38" s="982">
        <v>6905</v>
      </c>
      <c r="N38" s="982">
        <v>6905</v>
      </c>
      <c r="O38" s="982">
        <v>7457</v>
      </c>
      <c r="P38" s="982">
        <v>6905</v>
      </c>
      <c r="Q38" s="982">
        <v>7108</v>
      </c>
      <c r="R38" s="982">
        <v>85310</v>
      </c>
      <c r="S38" s="984"/>
    </row>
    <row r="39" spans="1:20" s="981" customFormat="1" ht="17.25" customHeight="1">
      <c r="A39" s="1580"/>
      <c r="B39" s="981" t="s">
        <v>755</v>
      </c>
      <c r="C39" s="981" t="s">
        <v>756</v>
      </c>
      <c r="D39" s="981" t="s">
        <v>596</v>
      </c>
      <c r="E39" s="981" t="s">
        <v>159</v>
      </c>
      <c r="F39" s="982">
        <v>7744</v>
      </c>
      <c r="G39" s="982">
        <v>7744</v>
      </c>
      <c r="H39" s="982">
        <v>7744</v>
      </c>
      <c r="I39" s="982">
        <v>7744</v>
      </c>
      <c r="J39" s="982">
        <v>7744</v>
      </c>
      <c r="K39" s="982">
        <v>7744</v>
      </c>
      <c r="L39" s="982">
        <v>7744</v>
      </c>
      <c r="M39" s="982">
        <v>7744</v>
      </c>
      <c r="N39" s="982">
        <v>7744</v>
      </c>
      <c r="O39" s="982">
        <v>7744</v>
      </c>
      <c r="P39" s="982">
        <v>7744</v>
      </c>
      <c r="Q39" s="982">
        <v>5760</v>
      </c>
      <c r="R39" s="982">
        <v>90944</v>
      </c>
      <c r="S39" s="983" t="s">
        <v>926</v>
      </c>
    </row>
    <row r="40" spans="1:20" s="981" customFormat="1" ht="17.25" customHeight="1">
      <c r="A40" s="1580"/>
      <c r="B40" s="981" t="s">
        <v>757</v>
      </c>
      <c r="C40" s="981" t="s">
        <v>758</v>
      </c>
      <c r="D40" s="981" t="s">
        <v>596</v>
      </c>
      <c r="E40" s="981" t="s">
        <v>159</v>
      </c>
      <c r="F40" s="982">
        <v>1986</v>
      </c>
      <c r="G40" s="982">
        <v>2264</v>
      </c>
      <c r="H40" s="982">
        <v>1986</v>
      </c>
      <c r="I40" s="982">
        <v>2264</v>
      </c>
      <c r="J40" s="982">
        <v>1986</v>
      </c>
      <c r="K40" s="982">
        <v>2264</v>
      </c>
      <c r="L40" s="982">
        <v>1986</v>
      </c>
      <c r="M40" s="982">
        <v>2264</v>
      </c>
      <c r="N40" s="982">
        <v>1986</v>
      </c>
      <c r="O40" s="982">
        <v>2264</v>
      </c>
      <c r="P40" s="982">
        <v>1663</v>
      </c>
      <c r="Q40" s="982">
        <v>278</v>
      </c>
      <c r="R40" s="982">
        <v>23191</v>
      </c>
      <c r="S40" s="984"/>
    </row>
    <row r="41" spans="1:20" s="981" customFormat="1" ht="17.25" customHeight="1">
      <c r="A41" s="1580"/>
      <c r="B41" s="981" t="s">
        <v>747</v>
      </c>
      <c r="C41" s="981" t="s">
        <v>748</v>
      </c>
      <c r="D41" s="981" t="s">
        <v>608</v>
      </c>
      <c r="E41" s="981" t="s">
        <v>77</v>
      </c>
      <c r="F41" s="982">
        <v>281501</v>
      </c>
      <c r="G41" s="982">
        <v>281501</v>
      </c>
      <c r="H41" s="982">
        <v>281501</v>
      </c>
      <c r="I41" s="982">
        <v>281501</v>
      </c>
      <c r="J41" s="982">
        <v>281501</v>
      </c>
      <c r="K41" s="982">
        <v>281501</v>
      </c>
      <c r="L41" s="982">
        <v>281501</v>
      </c>
      <c r="M41" s="982">
        <v>281501</v>
      </c>
      <c r="N41" s="982">
        <v>281501</v>
      </c>
      <c r="O41" s="982">
        <v>281501</v>
      </c>
      <c r="P41" s="982">
        <v>281501</v>
      </c>
      <c r="Q41" s="982">
        <v>281501</v>
      </c>
      <c r="R41" s="982">
        <v>3378012</v>
      </c>
      <c r="S41" s="983" t="s">
        <v>926</v>
      </c>
    </row>
    <row r="42" spans="1:20" s="981" customFormat="1" ht="17.25" customHeight="1">
      <c r="A42" s="1580"/>
      <c r="B42" s="981" t="s">
        <v>753</v>
      </c>
      <c r="C42" s="981" t="s">
        <v>754</v>
      </c>
      <c r="D42" s="981" t="s">
        <v>608</v>
      </c>
      <c r="E42" s="985" t="s">
        <v>77</v>
      </c>
      <c r="F42" s="987">
        <v>16845</v>
      </c>
      <c r="G42" s="987">
        <v>16648</v>
      </c>
      <c r="H42" s="987">
        <v>20550</v>
      </c>
      <c r="I42" s="987">
        <v>17043</v>
      </c>
      <c r="J42" s="987">
        <v>16845</v>
      </c>
      <c r="K42" s="987">
        <v>20353</v>
      </c>
      <c r="L42" s="987">
        <v>17043</v>
      </c>
      <c r="M42" s="987">
        <v>17043</v>
      </c>
      <c r="N42" s="987">
        <v>20353</v>
      </c>
      <c r="O42" s="987">
        <v>16845</v>
      </c>
      <c r="P42" s="987">
        <v>17043</v>
      </c>
      <c r="Q42" s="987">
        <v>19022</v>
      </c>
      <c r="R42" s="987">
        <v>215633</v>
      </c>
      <c r="S42" s="983" t="s">
        <v>926</v>
      </c>
    </row>
    <row r="43" spans="1:20" ht="18.75" customHeight="1">
      <c r="A43" s="1002"/>
      <c r="E43" s="998" t="s">
        <v>832</v>
      </c>
      <c r="F43" s="999">
        <v>883044</v>
      </c>
      <c r="G43" s="999">
        <v>884701</v>
      </c>
      <c r="H43" s="999">
        <v>895008</v>
      </c>
      <c r="I43" s="999">
        <v>888688</v>
      </c>
      <c r="J43" s="999">
        <v>883550</v>
      </c>
      <c r="K43" s="999">
        <v>889272</v>
      </c>
      <c r="L43" s="999">
        <v>878245</v>
      </c>
      <c r="M43" s="999">
        <v>883973</v>
      </c>
      <c r="N43" s="999">
        <v>884752</v>
      </c>
      <c r="O43" s="999">
        <v>881021</v>
      </c>
      <c r="P43" s="999">
        <v>876598</v>
      </c>
      <c r="Q43" s="999">
        <v>875954</v>
      </c>
      <c r="R43" s="999">
        <v>10604806</v>
      </c>
      <c r="S43" s="990"/>
    </row>
    <row r="44" spans="1:20" ht="18.75" customHeight="1">
      <c r="E44" s="991" t="s">
        <v>830</v>
      </c>
      <c r="F44" s="993">
        <v>584698</v>
      </c>
      <c r="G44" s="993">
        <v>586552</v>
      </c>
      <c r="H44" s="993">
        <v>592957</v>
      </c>
      <c r="I44" s="993">
        <v>590144</v>
      </c>
      <c r="J44" s="993">
        <v>585204</v>
      </c>
      <c r="K44" s="993">
        <v>587418</v>
      </c>
      <c r="L44" s="993">
        <v>579701</v>
      </c>
      <c r="M44" s="993">
        <v>585429</v>
      </c>
      <c r="N44" s="993">
        <v>582898</v>
      </c>
      <c r="O44" s="993">
        <v>582675</v>
      </c>
      <c r="P44" s="993">
        <v>578054</v>
      </c>
      <c r="Q44" s="993">
        <v>575431</v>
      </c>
      <c r="R44" s="993">
        <v>7011161</v>
      </c>
      <c r="S44" s="990"/>
    </row>
    <row r="45" spans="1:20" ht="18.75" customHeight="1">
      <c r="E45" s="991" t="s">
        <v>831</v>
      </c>
      <c r="F45" s="993">
        <v>298346</v>
      </c>
      <c r="G45" s="993">
        <v>298149</v>
      </c>
      <c r="H45" s="993">
        <v>302051</v>
      </c>
      <c r="I45" s="993">
        <v>298544</v>
      </c>
      <c r="J45" s="993">
        <v>298346</v>
      </c>
      <c r="K45" s="993">
        <v>301854</v>
      </c>
      <c r="L45" s="993">
        <v>298544</v>
      </c>
      <c r="M45" s="993">
        <v>298544</v>
      </c>
      <c r="N45" s="993">
        <v>301854</v>
      </c>
      <c r="O45" s="993">
        <v>298346</v>
      </c>
      <c r="P45" s="993">
        <v>298544</v>
      </c>
      <c r="Q45" s="993">
        <v>300523</v>
      </c>
      <c r="R45" s="993">
        <v>3593645</v>
      </c>
      <c r="S45" s="990"/>
    </row>
    <row r="46" spans="1:20" ht="18.75" customHeight="1">
      <c r="E46" s="994"/>
      <c r="F46" s="1003">
        <v>334741</v>
      </c>
      <c r="G46" s="1003">
        <v>335571</v>
      </c>
      <c r="H46" s="1003">
        <v>334741</v>
      </c>
      <c r="I46" s="1003">
        <v>335019</v>
      </c>
      <c r="J46" s="1003">
        <v>335293</v>
      </c>
      <c r="K46" s="1003">
        <v>331458</v>
      </c>
      <c r="L46" s="1003">
        <v>325823</v>
      </c>
      <c r="M46" s="1003">
        <v>325510</v>
      </c>
      <c r="N46" s="1003">
        <v>325232</v>
      </c>
      <c r="O46" s="1003">
        <v>326062</v>
      </c>
      <c r="P46" s="1003">
        <v>324909</v>
      </c>
      <c r="Q46" s="1003">
        <v>323727</v>
      </c>
      <c r="R46" s="1003">
        <v>3958086</v>
      </c>
      <c r="S46" s="995" t="s">
        <v>850</v>
      </c>
      <c r="T46" s="996"/>
    </row>
    <row r="47" spans="1:20" ht="18.75" customHeight="1">
      <c r="F47" s="1003">
        <v>548303</v>
      </c>
      <c r="G47" s="1003">
        <v>549130</v>
      </c>
      <c r="H47" s="1003">
        <v>560267</v>
      </c>
      <c r="I47" s="1003">
        <v>553669</v>
      </c>
      <c r="J47" s="1003">
        <v>548257</v>
      </c>
      <c r="K47" s="1003">
        <v>557814</v>
      </c>
      <c r="L47" s="1003">
        <v>552422</v>
      </c>
      <c r="M47" s="1003">
        <v>558463</v>
      </c>
      <c r="N47" s="1003">
        <v>559520</v>
      </c>
      <c r="O47" s="1003">
        <v>554959</v>
      </c>
      <c r="P47" s="1003">
        <v>551689</v>
      </c>
      <c r="Q47" s="1003">
        <v>552227</v>
      </c>
      <c r="R47" s="1003">
        <v>6646720</v>
      </c>
      <c r="S47" s="995" t="s">
        <v>851</v>
      </c>
      <c r="T47" s="996"/>
    </row>
    <row r="48" spans="1:20" ht="17.25" customHeight="1">
      <c r="E48" s="991"/>
      <c r="F48" s="993"/>
      <c r="G48" s="993"/>
      <c r="H48" s="993"/>
      <c r="I48" s="993"/>
      <c r="J48" s="993"/>
      <c r="K48" s="993"/>
      <c r="L48" s="993"/>
      <c r="M48" s="993"/>
      <c r="N48" s="993"/>
      <c r="O48" s="993"/>
      <c r="P48" s="993"/>
      <c r="Q48" s="993"/>
      <c r="R48" s="993"/>
    </row>
    <row r="49" spans="1:18" s="981" customFormat="1" ht="17.25" customHeight="1">
      <c r="A49" s="978"/>
      <c r="B49" s="978" t="s">
        <v>106</v>
      </c>
      <c r="C49" s="978" t="s">
        <v>583</v>
      </c>
      <c r="D49" s="978" t="s">
        <v>581</v>
      </c>
      <c r="E49" s="978" t="s">
        <v>740</v>
      </c>
      <c r="F49" s="979" t="s">
        <v>584</v>
      </c>
      <c r="G49" s="979" t="s">
        <v>585</v>
      </c>
      <c r="H49" s="979" t="s">
        <v>586</v>
      </c>
      <c r="I49" s="979" t="s">
        <v>587</v>
      </c>
      <c r="J49" s="979" t="s">
        <v>588</v>
      </c>
      <c r="K49" s="979" t="s">
        <v>589</v>
      </c>
      <c r="L49" s="979" t="s">
        <v>590</v>
      </c>
      <c r="M49" s="979" t="s">
        <v>591</v>
      </c>
      <c r="N49" s="979" t="s">
        <v>592</v>
      </c>
      <c r="O49" s="979" t="s">
        <v>593</v>
      </c>
      <c r="P49" s="979" t="s">
        <v>594</v>
      </c>
      <c r="Q49" s="979" t="s">
        <v>595</v>
      </c>
      <c r="R49" s="980" t="s">
        <v>3</v>
      </c>
    </row>
    <row r="50" spans="1:18" s="981" customFormat="1" ht="17.25" customHeight="1">
      <c r="A50" s="1580" t="s">
        <v>37</v>
      </c>
      <c r="B50" s="981" t="s">
        <v>749</v>
      </c>
      <c r="C50" s="981" t="s">
        <v>750</v>
      </c>
      <c r="D50" s="981" t="s">
        <v>596</v>
      </c>
      <c r="E50" s="981" t="s">
        <v>948</v>
      </c>
      <c r="F50" s="982">
        <v>1472</v>
      </c>
      <c r="G50" s="982">
        <v>1472</v>
      </c>
      <c r="H50" s="982">
        <v>1472</v>
      </c>
      <c r="I50" s="982">
        <v>1472</v>
      </c>
      <c r="J50" s="982">
        <v>1472</v>
      </c>
      <c r="K50" s="982">
        <v>1472</v>
      </c>
      <c r="L50" s="982">
        <v>1472</v>
      </c>
      <c r="M50" s="982">
        <v>1472</v>
      </c>
      <c r="N50" s="982">
        <v>1472</v>
      </c>
      <c r="O50" s="982">
        <v>1472</v>
      </c>
      <c r="P50" s="982">
        <v>1472</v>
      </c>
      <c r="Q50" s="982">
        <v>1472</v>
      </c>
      <c r="R50" s="982">
        <v>17664</v>
      </c>
    </row>
    <row r="51" spans="1:18" s="981" customFormat="1" ht="17.25" customHeight="1">
      <c r="A51" s="1580"/>
      <c r="B51" s="981" t="s">
        <v>747</v>
      </c>
      <c r="C51" s="981" t="s">
        <v>748</v>
      </c>
      <c r="D51" s="981" t="s">
        <v>608</v>
      </c>
      <c r="E51" s="981" t="s">
        <v>949</v>
      </c>
      <c r="F51" s="986">
        <v>25946</v>
      </c>
      <c r="G51" s="986">
        <v>25946</v>
      </c>
      <c r="H51" s="986">
        <v>25946</v>
      </c>
      <c r="I51" s="986">
        <v>25946</v>
      </c>
      <c r="J51" s="986">
        <v>25946</v>
      </c>
      <c r="K51" s="986">
        <v>25946</v>
      </c>
      <c r="L51" s="986">
        <v>24583</v>
      </c>
      <c r="M51" s="986">
        <v>25946</v>
      </c>
      <c r="N51" s="986">
        <v>25946</v>
      </c>
      <c r="O51" s="986">
        <v>25946</v>
      </c>
      <c r="P51" s="986">
        <v>25946</v>
      </c>
      <c r="Q51" s="986">
        <v>25946</v>
      </c>
      <c r="R51" s="986">
        <v>309989</v>
      </c>
    </row>
    <row r="52" spans="1:18" s="981" customFormat="1" ht="17.25" customHeight="1">
      <c r="A52" s="1580"/>
      <c r="B52" s="981" t="s">
        <v>753</v>
      </c>
      <c r="C52" s="981" t="s">
        <v>754</v>
      </c>
      <c r="D52" s="981" t="s">
        <v>608</v>
      </c>
      <c r="E52" s="981" t="s">
        <v>949</v>
      </c>
      <c r="F52" s="982">
        <v>4417</v>
      </c>
      <c r="G52" s="982">
        <v>4417</v>
      </c>
      <c r="H52" s="982">
        <v>4417</v>
      </c>
      <c r="I52" s="982">
        <v>4417</v>
      </c>
      <c r="J52" s="982">
        <v>4417</v>
      </c>
      <c r="K52" s="982">
        <v>4417</v>
      </c>
      <c r="L52" s="982">
        <v>4417</v>
      </c>
      <c r="M52" s="982">
        <v>4418</v>
      </c>
      <c r="N52" s="982">
        <v>4417</v>
      </c>
      <c r="O52" s="982">
        <v>4417</v>
      </c>
      <c r="P52" s="982">
        <v>4417</v>
      </c>
      <c r="Q52" s="982">
        <v>4417</v>
      </c>
      <c r="R52" s="982">
        <v>53005</v>
      </c>
    </row>
    <row r="53" spans="1:18" s="981" customFormat="1" ht="17.25" customHeight="1">
      <c r="A53" s="1580"/>
      <c r="B53" s="981" t="s">
        <v>759</v>
      </c>
      <c r="C53" s="981" t="s">
        <v>760</v>
      </c>
      <c r="D53" s="981" t="s">
        <v>608</v>
      </c>
      <c r="E53" s="981" t="s">
        <v>949</v>
      </c>
      <c r="F53" s="987">
        <v>7737</v>
      </c>
      <c r="G53" s="987">
        <v>0</v>
      </c>
      <c r="H53" s="987">
        <v>0</v>
      </c>
      <c r="I53" s="987">
        <v>0</v>
      </c>
      <c r="J53" s="987">
        <v>0</v>
      </c>
      <c r="K53" s="987">
        <v>0</v>
      </c>
      <c r="L53" s="987">
        <v>3310</v>
      </c>
      <c r="M53" s="987">
        <v>0</v>
      </c>
      <c r="N53" s="987">
        <v>0</v>
      </c>
      <c r="O53" s="987">
        <v>0</v>
      </c>
      <c r="P53" s="987">
        <v>0</v>
      </c>
      <c r="Q53" s="987">
        <v>7427</v>
      </c>
      <c r="R53" s="987">
        <v>18474</v>
      </c>
    </row>
    <row r="54" spans="1:18" ht="18.75" customHeight="1">
      <c r="A54" s="1002"/>
      <c r="E54" s="998" t="s">
        <v>833</v>
      </c>
      <c r="F54" s="999">
        <v>39572</v>
      </c>
      <c r="G54" s="999">
        <v>31835</v>
      </c>
      <c r="H54" s="999">
        <v>31835</v>
      </c>
      <c r="I54" s="999">
        <v>31835</v>
      </c>
      <c r="J54" s="999">
        <v>31835</v>
      </c>
      <c r="K54" s="999">
        <v>31835</v>
      </c>
      <c r="L54" s="999">
        <v>33782</v>
      </c>
      <c r="M54" s="999">
        <v>31836</v>
      </c>
      <c r="N54" s="999">
        <v>31835</v>
      </c>
      <c r="O54" s="999">
        <v>31835</v>
      </c>
      <c r="P54" s="999">
        <v>31835</v>
      </c>
      <c r="Q54" s="999">
        <v>39262</v>
      </c>
      <c r="R54" s="999">
        <v>399132</v>
      </c>
    </row>
    <row r="55" spans="1:18" ht="18.75" customHeight="1">
      <c r="E55" s="991" t="s">
        <v>830</v>
      </c>
      <c r="F55" s="993">
        <v>1472</v>
      </c>
      <c r="G55" s="993">
        <v>1472</v>
      </c>
      <c r="H55" s="993">
        <v>1472</v>
      </c>
      <c r="I55" s="993">
        <v>1472</v>
      </c>
      <c r="J55" s="993">
        <v>1472</v>
      </c>
      <c r="K55" s="993">
        <v>1472</v>
      </c>
      <c r="L55" s="993">
        <v>1472</v>
      </c>
      <c r="M55" s="993">
        <v>1472</v>
      </c>
      <c r="N55" s="993">
        <v>1472</v>
      </c>
      <c r="O55" s="993">
        <v>1472</v>
      </c>
      <c r="P55" s="993">
        <v>1472</v>
      </c>
      <c r="Q55" s="993">
        <v>1472</v>
      </c>
      <c r="R55" s="993">
        <v>17664</v>
      </c>
    </row>
    <row r="56" spans="1:18" ht="18.75" customHeight="1">
      <c r="E56" s="991" t="s">
        <v>831</v>
      </c>
      <c r="F56" s="993">
        <v>38100</v>
      </c>
      <c r="G56" s="993">
        <v>30363</v>
      </c>
      <c r="H56" s="993">
        <v>30363</v>
      </c>
      <c r="I56" s="993">
        <v>30363</v>
      </c>
      <c r="J56" s="993">
        <v>30363</v>
      </c>
      <c r="K56" s="993">
        <v>30363</v>
      </c>
      <c r="L56" s="993">
        <v>32310</v>
      </c>
      <c r="M56" s="993">
        <v>30364</v>
      </c>
      <c r="N56" s="993">
        <v>30363</v>
      </c>
      <c r="O56" s="993">
        <v>30363</v>
      </c>
      <c r="P56" s="993">
        <v>30363</v>
      </c>
      <c r="Q56" s="993">
        <v>37790</v>
      </c>
      <c r="R56" s="993">
        <v>381468</v>
      </c>
    </row>
    <row r="57" spans="1:18" ht="12" customHeight="1">
      <c r="E57" s="998"/>
      <c r="F57" s="999"/>
      <c r="G57" s="999"/>
      <c r="H57" s="999"/>
      <c r="I57" s="999"/>
      <c r="J57" s="999"/>
      <c r="K57" s="999"/>
      <c r="L57" s="999"/>
      <c r="M57" s="999"/>
      <c r="N57" s="999"/>
      <c r="O57" s="999"/>
      <c r="P57" s="999"/>
      <c r="Q57" s="999"/>
      <c r="R57" s="999"/>
    </row>
    <row r="58" spans="1:18" s="981" customFormat="1" ht="18.75" customHeight="1">
      <c r="E58" s="988" t="s">
        <v>842</v>
      </c>
      <c r="F58" s="1004">
        <v>922616</v>
      </c>
      <c r="G58" s="1004">
        <v>916536</v>
      </c>
      <c r="H58" s="1004">
        <v>926843</v>
      </c>
      <c r="I58" s="1004">
        <v>920523</v>
      </c>
      <c r="J58" s="1004">
        <v>915385</v>
      </c>
      <c r="K58" s="1004">
        <v>921107</v>
      </c>
      <c r="L58" s="1004">
        <v>912027</v>
      </c>
      <c r="M58" s="1004">
        <v>915809</v>
      </c>
      <c r="N58" s="1004">
        <v>916587</v>
      </c>
      <c r="O58" s="1004">
        <v>912856</v>
      </c>
      <c r="P58" s="1004">
        <v>908433</v>
      </c>
      <c r="Q58" s="1004">
        <v>915216</v>
      </c>
      <c r="R58" s="1004">
        <v>11003938</v>
      </c>
    </row>
  </sheetData>
  <sortState xmlns:xlrd2="http://schemas.microsoft.com/office/spreadsheetml/2017/richdata2" ref="A20:R24">
    <sortCondition ref="E20:E24"/>
    <sortCondition ref="B20:B24"/>
  </sortState>
  <mergeCells count="5">
    <mergeCell ref="A50:A53"/>
    <mergeCell ref="A32:C32"/>
    <mergeCell ref="A3:A12"/>
    <mergeCell ref="A20:A24"/>
    <mergeCell ref="A35:A42"/>
  </mergeCells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419D-C146-4C56-952D-8D58D5B8C6E0}">
  <sheetPr>
    <tabColor theme="2" tint="-0.249977111117893"/>
  </sheetPr>
  <dimension ref="A1:R31"/>
  <sheetViews>
    <sheetView showGridLines="0" workbookViewId="0"/>
  </sheetViews>
  <sheetFormatPr defaultColWidth="9.140625" defaultRowHeight="14.25"/>
  <cols>
    <col min="1" max="1" width="8.85546875" style="996" customWidth="1"/>
    <col min="2" max="2" width="13.7109375" style="996" customWidth="1"/>
    <col min="3" max="3" width="26" style="996" customWidth="1"/>
    <col min="4" max="4" width="23.28515625" style="996" bestFit="1" customWidth="1"/>
    <col min="5" max="5" width="17.85546875" style="996" customWidth="1"/>
    <col min="6" max="18" width="11.140625" style="996" customWidth="1"/>
    <col min="19" max="16384" width="9.140625" style="996"/>
  </cols>
  <sheetData>
    <row r="1" spans="1:18">
      <c r="A1" s="1052"/>
      <c r="B1" s="1052"/>
      <c r="C1" s="1052"/>
      <c r="D1" s="1052"/>
      <c r="E1" s="1052"/>
    </row>
    <row r="2" spans="1:18" ht="15.75">
      <c r="A2" s="1080" t="s">
        <v>1021</v>
      </c>
      <c r="B2" s="1053"/>
      <c r="C2" s="1052"/>
      <c r="D2" s="1052"/>
      <c r="E2" s="1052"/>
    </row>
    <row r="3" spans="1:18">
      <c r="A3" s="1052"/>
      <c r="B3" s="1052"/>
      <c r="C3" s="1052"/>
      <c r="D3" s="1052"/>
      <c r="E3" s="1052"/>
    </row>
    <row r="4" spans="1:18">
      <c r="A4" s="1054"/>
      <c r="B4" s="1054" t="s">
        <v>106</v>
      </c>
      <c r="C4" s="1054" t="s">
        <v>583</v>
      </c>
      <c r="D4" s="1054" t="s">
        <v>581</v>
      </c>
      <c r="E4" s="1054" t="s">
        <v>740</v>
      </c>
      <c r="F4" s="1055" t="s">
        <v>584</v>
      </c>
      <c r="G4" s="1055" t="s">
        <v>585</v>
      </c>
      <c r="H4" s="1055" t="s">
        <v>586</v>
      </c>
      <c r="I4" s="1055" t="s">
        <v>587</v>
      </c>
      <c r="J4" s="1055" t="s">
        <v>588</v>
      </c>
      <c r="K4" s="1055" t="s">
        <v>589</v>
      </c>
      <c r="L4" s="1055" t="s">
        <v>590</v>
      </c>
      <c r="M4" s="1055" t="s">
        <v>591</v>
      </c>
      <c r="N4" s="1055" t="s">
        <v>592</v>
      </c>
      <c r="O4" s="1055" t="s">
        <v>593</v>
      </c>
      <c r="P4" s="1055" t="s">
        <v>594</v>
      </c>
      <c r="Q4" s="1055" t="s">
        <v>595</v>
      </c>
      <c r="R4" s="1056" t="s">
        <v>3</v>
      </c>
    </row>
    <row r="5" spans="1:18" s="1059" customFormat="1" ht="16.5" customHeight="1">
      <c r="A5" s="1081" t="s">
        <v>405</v>
      </c>
      <c r="B5" s="1057" t="s">
        <v>145</v>
      </c>
      <c r="C5" s="1057" t="s">
        <v>956</v>
      </c>
      <c r="D5" s="1057" t="s">
        <v>596</v>
      </c>
      <c r="E5" s="1057" t="s">
        <v>861</v>
      </c>
      <c r="F5" s="1058">
        <v>6847.61</v>
      </c>
      <c r="G5" s="1058">
        <v>8278.1299999999992</v>
      </c>
      <c r="H5" s="1058">
        <v>-266.60999999999967</v>
      </c>
      <c r="I5" s="1058">
        <v>508.15999999999985</v>
      </c>
      <c r="J5" s="1058">
        <v>-193.59999999999991</v>
      </c>
      <c r="K5" s="1058">
        <v>10226.08</v>
      </c>
      <c r="L5" s="1058">
        <v>12841.970000000001</v>
      </c>
      <c r="M5" s="1058">
        <v>4783</v>
      </c>
      <c r="N5" s="1058">
        <v>12831.6</v>
      </c>
      <c r="O5" s="1058">
        <v>12635.279999999999</v>
      </c>
      <c r="P5" s="1058">
        <v>-1770.6099999999997</v>
      </c>
      <c r="Q5" s="1058">
        <v>10927.830000000002</v>
      </c>
      <c r="R5" s="1058">
        <f t="shared" ref="R5:R7" si="0">SUM(F5:Q5)</f>
        <v>77648.84</v>
      </c>
    </row>
    <row r="6" spans="1:18" s="1059" customFormat="1" ht="16.5" customHeight="1">
      <c r="A6" s="1081" t="s">
        <v>405</v>
      </c>
      <c r="B6" s="1057" t="s">
        <v>149</v>
      </c>
      <c r="C6" s="1057" t="s">
        <v>598</v>
      </c>
      <c r="D6" s="1057" t="s">
        <v>596</v>
      </c>
      <c r="E6" s="1057" t="s">
        <v>861</v>
      </c>
      <c r="F6" s="1058">
        <v>97828.92</v>
      </c>
      <c r="G6" s="1058">
        <v>138441.25000000006</v>
      </c>
      <c r="H6" s="1058">
        <v>118785.01000000007</v>
      </c>
      <c r="I6" s="1058">
        <v>144220.27999999991</v>
      </c>
      <c r="J6" s="1058">
        <v>205494.39000000031</v>
      </c>
      <c r="K6" s="1058">
        <v>224433.84000000011</v>
      </c>
      <c r="L6" s="1058">
        <v>212714.7800000002</v>
      </c>
      <c r="M6" s="1058">
        <v>234731.6200000004</v>
      </c>
      <c r="N6" s="1058">
        <v>208847.96000000031</v>
      </c>
      <c r="O6" s="1058">
        <v>198545.93999999989</v>
      </c>
      <c r="P6" s="1058">
        <v>199418.27000000002</v>
      </c>
      <c r="Q6" s="1058">
        <v>220515.05000000005</v>
      </c>
      <c r="R6" s="1058">
        <f t="shared" si="0"/>
        <v>2203977.3100000015</v>
      </c>
    </row>
    <row r="7" spans="1:18" s="1059" customFormat="1" ht="16.5" customHeight="1">
      <c r="A7" s="1081" t="s">
        <v>405</v>
      </c>
      <c r="B7" s="1057" t="s">
        <v>152</v>
      </c>
      <c r="C7" s="1057" t="s">
        <v>940</v>
      </c>
      <c r="D7" s="1057" t="s">
        <v>596</v>
      </c>
      <c r="E7" s="1057" t="s">
        <v>861</v>
      </c>
      <c r="F7" s="1058">
        <v>246.48999999999998</v>
      </c>
      <c r="G7" s="1058">
        <v>0</v>
      </c>
      <c r="H7" s="1058">
        <v>2.44</v>
      </c>
      <c r="I7" s="1058">
        <v>0</v>
      </c>
      <c r="J7" s="1058">
        <v>0</v>
      </c>
      <c r="K7" s="1058">
        <v>0</v>
      </c>
      <c r="L7" s="1058">
        <v>0</v>
      </c>
      <c r="M7" s="1058">
        <v>0</v>
      </c>
      <c r="N7" s="1058">
        <v>209.51</v>
      </c>
      <c r="O7" s="1058">
        <v>0</v>
      </c>
      <c r="P7" s="1058">
        <v>0</v>
      </c>
      <c r="Q7" s="1058"/>
      <c r="R7" s="1058">
        <f t="shared" si="0"/>
        <v>458.43999999999994</v>
      </c>
    </row>
    <row r="8" spans="1:18" s="1059" customFormat="1" ht="16.5" customHeight="1">
      <c r="A8" s="1081" t="s">
        <v>405</v>
      </c>
      <c r="B8" s="1057" t="s">
        <v>154</v>
      </c>
      <c r="C8" s="1057" t="s">
        <v>599</v>
      </c>
      <c r="D8" s="1057" t="s">
        <v>596</v>
      </c>
      <c r="E8" s="1057" t="s">
        <v>861</v>
      </c>
      <c r="F8" s="1058">
        <v>12380.150000000001</v>
      </c>
      <c r="G8" s="1058">
        <v>39565.549999999996</v>
      </c>
      <c r="H8" s="1058">
        <v>21948.289999999997</v>
      </c>
      <c r="I8" s="1058">
        <v>16469.459999999995</v>
      </c>
      <c r="J8" s="1058">
        <v>24634.729999999989</v>
      </c>
      <c r="K8" s="1058">
        <v>23057.31</v>
      </c>
      <c r="L8" s="1058">
        <v>46459.880000000012</v>
      </c>
      <c r="M8" s="1058">
        <v>12771.300000000003</v>
      </c>
      <c r="N8" s="1058">
        <v>19935.559999999979</v>
      </c>
      <c r="O8" s="1058">
        <v>16034.49</v>
      </c>
      <c r="P8" s="1058">
        <v>43572.19999999999</v>
      </c>
      <c r="Q8" s="1058">
        <v>11059.989999999987</v>
      </c>
      <c r="R8" s="1058">
        <f>SUM(F8:Q8)</f>
        <v>287888.90999999992</v>
      </c>
    </row>
    <row r="9" spans="1:18" s="1059" customFormat="1" ht="16.5" customHeight="1">
      <c r="A9" s="1081" t="s">
        <v>405</v>
      </c>
      <c r="B9" s="1057" t="s">
        <v>448</v>
      </c>
      <c r="C9" s="1057" t="s">
        <v>600</v>
      </c>
      <c r="D9" s="1057" t="s">
        <v>596</v>
      </c>
      <c r="E9" s="1057" t="s">
        <v>861</v>
      </c>
      <c r="F9" s="1058">
        <v>2773.7700000000004</v>
      </c>
      <c r="G9" s="1058">
        <v>1222.8599999999999</v>
      </c>
      <c r="H9" s="1058">
        <v>1136.42</v>
      </c>
      <c r="I9" s="1058">
        <v>685.01</v>
      </c>
      <c r="J9" s="1058">
        <v>1338.89</v>
      </c>
      <c r="K9" s="1058">
        <v>2411.39</v>
      </c>
      <c r="L9" s="1058">
        <v>912.74</v>
      </c>
      <c r="M9" s="1058">
        <v>2164.7600000000002</v>
      </c>
      <c r="N9" s="1058">
        <v>632.50999999999988</v>
      </c>
      <c r="O9" s="1058">
        <v>4351.3999999999996</v>
      </c>
      <c r="P9" s="1058">
        <v>2505.17</v>
      </c>
      <c r="Q9" s="1058">
        <v>112.18</v>
      </c>
      <c r="R9" s="1058">
        <f t="shared" ref="R9:R10" si="1">SUM(F9:Q9)</f>
        <v>20247.099999999999</v>
      </c>
    </row>
    <row r="10" spans="1:18" s="1059" customFormat="1" ht="16.5" customHeight="1">
      <c r="A10" s="1081" t="s">
        <v>405</v>
      </c>
      <c r="B10" s="1057" t="s">
        <v>450</v>
      </c>
      <c r="C10" s="1057" t="s">
        <v>601</v>
      </c>
      <c r="D10" s="1057" t="s">
        <v>596</v>
      </c>
      <c r="E10" s="1057" t="s">
        <v>861</v>
      </c>
      <c r="F10" s="1058">
        <v>269.81</v>
      </c>
      <c r="G10" s="1058">
        <v>-2.4800000000000004</v>
      </c>
      <c r="H10" s="1058">
        <v>0</v>
      </c>
      <c r="I10" s="1058">
        <v>0</v>
      </c>
      <c r="J10" s="1058">
        <v>2479.54</v>
      </c>
      <c r="K10" s="1058">
        <v>0</v>
      </c>
      <c r="L10" s="1058">
        <v>0</v>
      </c>
      <c r="M10" s="1058">
        <v>0</v>
      </c>
      <c r="N10" s="1058">
        <v>0</v>
      </c>
      <c r="O10" s="1058">
        <v>0</v>
      </c>
      <c r="P10" s="1058">
        <v>0</v>
      </c>
      <c r="Q10" s="1058"/>
      <c r="R10" s="1058">
        <f t="shared" si="1"/>
        <v>2746.87</v>
      </c>
    </row>
    <row r="11" spans="1:18" s="1059" customFormat="1" ht="16.5" customHeight="1">
      <c r="A11" s="1081" t="s">
        <v>405</v>
      </c>
      <c r="B11" s="1057" t="s">
        <v>838</v>
      </c>
      <c r="C11" s="1057" t="s">
        <v>941</v>
      </c>
      <c r="D11" s="1057" t="s">
        <v>596</v>
      </c>
      <c r="E11" s="1057" t="s">
        <v>861</v>
      </c>
      <c r="F11" s="1060">
        <v>1710.6899999999998</v>
      </c>
      <c r="G11" s="1060">
        <v>1093.2400000000002</v>
      </c>
      <c r="H11" s="1060">
        <v>403.85999999999996</v>
      </c>
      <c r="I11" s="1060">
        <v>5819.91</v>
      </c>
      <c r="J11" s="1060">
        <v>-595.09999999999957</v>
      </c>
      <c r="K11" s="1060">
        <v>1625.4300000000003</v>
      </c>
      <c r="L11" s="1060">
        <v>1333.5</v>
      </c>
      <c r="M11" s="1060">
        <v>0</v>
      </c>
      <c r="N11" s="1060">
        <v>1538.0000000000002</v>
      </c>
      <c r="O11" s="1060">
        <v>3500.18</v>
      </c>
      <c r="P11" s="1060">
        <v>5223.78</v>
      </c>
      <c r="Q11" s="1060">
        <v>886.63999999999919</v>
      </c>
      <c r="R11" s="1060">
        <f>SUM(F11:Q11)</f>
        <v>22540.129999999997</v>
      </c>
    </row>
    <row r="12" spans="1:18" s="1059" customFormat="1" ht="21.75" customHeight="1">
      <c r="A12" s="1061"/>
      <c r="B12" s="1061"/>
      <c r="C12" s="1061"/>
      <c r="D12" s="1061"/>
      <c r="E12" s="1067" t="s">
        <v>843</v>
      </c>
      <c r="F12" s="1058">
        <f t="shared" ref="F12:R12" si="2">SUM(F5:F11)</f>
        <v>122057.44000000002</v>
      </c>
      <c r="G12" s="1058">
        <f t="shared" si="2"/>
        <v>188598.55000000002</v>
      </c>
      <c r="H12" s="1058">
        <f t="shared" si="2"/>
        <v>142009.41000000006</v>
      </c>
      <c r="I12" s="1058">
        <f t="shared" si="2"/>
        <v>167702.81999999992</v>
      </c>
      <c r="J12" s="1058">
        <f t="shared" si="2"/>
        <v>233158.8500000003</v>
      </c>
      <c r="K12" s="1058">
        <f t="shared" si="2"/>
        <v>261754.0500000001</v>
      </c>
      <c r="L12" s="1058">
        <f t="shared" si="2"/>
        <v>274262.87000000023</v>
      </c>
      <c r="M12" s="1058">
        <f t="shared" si="2"/>
        <v>254450.6800000004</v>
      </c>
      <c r="N12" s="1058">
        <f t="shared" si="2"/>
        <v>243995.14000000031</v>
      </c>
      <c r="O12" s="1058">
        <f t="shared" si="2"/>
        <v>235067.28999999986</v>
      </c>
      <c r="P12" s="1058">
        <f t="shared" si="2"/>
        <v>248948.81000000003</v>
      </c>
      <c r="Q12" s="1058">
        <f t="shared" si="2"/>
        <v>243501.69000000003</v>
      </c>
      <c r="R12" s="1062">
        <f t="shared" si="2"/>
        <v>2615507.600000001</v>
      </c>
    </row>
    <row r="13" spans="1:18" s="1059" customFormat="1" ht="16.5" customHeight="1">
      <c r="A13" s="1063"/>
      <c r="B13" s="1063"/>
      <c r="C13" s="1063"/>
      <c r="D13" s="1063"/>
      <c r="E13" s="1068"/>
      <c r="F13" s="1063"/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</row>
    <row r="14" spans="1:18" s="1059" customFormat="1" ht="21.75" customHeight="1">
      <c r="A14" s="1063"/>
      <c r="B14" s="1063"/>
      <c r="C14" s="1063"/>
      <c r="D14" s="1063"/>
      <c r="E14" s="1069"/>
      <c r="F14" s="1055" t="s">
        <v>584</v>
      </c>
      <c r="G14" s="1055" t="s">
        <v>585</v>
      </c>
      <c r="H14" s="1055" t="s">
        <v>586</v>
      </c>
      <c r="I14" s="1055" t="s">
        <v>587</v>
      </c>
      <c r="J14" s="1055" t="s">
        <v>588</v>
      </c>
      <c r="K14" s="1055" t="s">
        <v>589</v>
      </c>
      <c r="L14" s="1055" t="s">
        <v>590</v>
      </c>
      <c r="M14" s="1055" t="s">
        <v>591</v>
      </c>
      <c r="N14" s="1055" t="s">
        <v>592</v>
      </c>
      <c r="O14" s="1055" t="s">
        <v>593</v>
      </c>
      <c r="P14" s="1055" t="s">
        <v>594</v>
      </c>
      <c r="Q14" s="1055" t="s">
        <v>595</v>
      </c>
      <c r="R14" s="1056" t="s">
        <v>3</v>
      </c>
    </row>
    <row r="15" spans="1:18" s="1059" customFormat="1" ht="21.75" customHeight="1">
      <c r="A15" s="1063"/>
      <c r="B15" s="1063"/>
      <c r="C15" s="1063"/>
      <c r="D15" s="1063"/>
      <c r="E15" s="1175" t="s">
        <v>175</v>
      </c>
      <c r="F15" s="1174">
        <v>64199.040000000001</v>
      </c>
      <c r="G15" s="1174">
        <v>64199.040000000001</v>
      </c>
      <c r="H15" s="1174">
        <v>64199.040000000001</v>
      </c>
      <c r="I15" s="1174">
        <v>64199.040000000001</v>
      </c>
      <c r="J15" s="1174">
        <v>64199.040000000001</v>
      </c>
      <c r="K15" s="1174">
        <v>64199.040000000001</v>
      </c>
      <c r="L15" s="1174">
        <v>64199.040000000001</v>
      </c>
      <c r="M15" s="1174">
        <v>64199.040000000001</v>
      </c>
      <c r="N15" s="1174">
        <v>64199.040000000001</v>
      </c>
      <c r="O15" s="1174">
        <v>64199.040000000001</v>
      </c>
      <c r="P15" s="1174">
        <v>64199.040000000001</v>
      </c>
      <c r="Q15" s="1174">
        <v>64199.040000000001</v>
      </c>
      <c r="R15" s="1176">
        <f>SUM(F15:Q15)</f>
        <v>770388.4800000001</v>
      </c>
    </row>
    <row r="16" spans="1:18" s="1059" customFormat="1" ht="16.5" customHeight="1">
      <c r="E16" s="1065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  <c r="Q16" s="1066"/>
      <c r="R16" s="1066"/>
    </row>
    <row r="17" spans="1:18" s="1059" customFormat="1" ht="16.5" customHeight="1">
      <c r="E17" s="1065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  <c r="Q17" s="1066"/>
      <c r="R17" s="1066"/>
    </row>
    <row r="18" spans="1:18" s="1059" customFormat="1" ht="16.5" customHeight="1">
      <c r="E18" s="1065"/>
      <c r="F18" s="1066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  <c r="Q18" s="1066"/>
      <c r="R18" s="1066"/>
    </row>
    <row r="19" spans="1:18" s="1059" customFormat="1" ht="16.5" customHeight="1">
      <c r="E19" s="1065"/>
      <c r="F19" s="1066"/>
      <c r="G19" s="1066"/>
      <c r="H19" s="1066"/>
      <c r="I19" s="1066"/>
      <c r="J19" s="1066"/>
      <c r="K19" s="1066"/>
      <c r="L19" s="1066"/>
      <c r="M19" s="1066"/>
      <c r="N19" s="1066"/>
      <c r="O19" s="1066"/>
      <c r="P19" s="1066"/>
      <c r="Q19" s="1066"/>
      <c r="R19" s="1066"/>
    </row>
    <row r="20" spans="1:18">
      <c r="A20" s="1053" t="s">
        <v>955</v>
      </c>
      <c r="B20" s="1053"/>
      <c r="C20" s="1052"/>
      <c r="D20" s="1052"/>
      <c r="E20" s="1052"/>
    </row>
    <row r="21" spans="1:18">
      <c r="A21" s="1052"/>
      <c r="B21" s="1052"/>
      <c r="C21" s="1052"/>
      <c r="D21" s="1052"/>
      <c r="E21" s="1052"/>
    </row>
    <row r="22" spans="1:18">
      <c r="A22" s="1082"/>
      <c r="B22" s="1054" t="s">
        <v>106</v>
      </c>
      <c r="C22" s="1054" t="s">
        <v>583</v>
      </c>
      <c r="D22" s="1054" t="s">
        <v>581</v>
      </c>
      <c r="E22" s="1054" t="s">
        <v>740</v>
      </c>
      <c r="F22" s="1055" t="s">
        <v>584</v>
      </c>
      <c r="G22" s="1055" t="s">
        <v>585</v>
      </c>
      <c r="H22" s="1055" t="s">
        <v>586</v>
      </c>
      <c r="I22" s="1055" t="s">
        <v>587</v>
      </c>
      <c r="J22" s="1055" t="s">
        <v>588</v>
      </c>
      <c r="K22" s="1055" t="s">
        <v>589</v>
      </c>
      <c r="L22" s="1055" t="s">
        <v>590</v>
      </c>
      <c r="M22" s="1055" t="s">
        <v>591</v>
      </c>
      <c r="N22" s="1055" t="s">
        <v>592</v>
      </c>
      <c r="O22" s="1055" t="s">
        <v>593</v>
      </c>
      <c r="P22" s="1055" t="s">
        <v>594</v>
      </c>
      <c r="Q22" s="1055" t="s">
        <v>595</v>
      </c>
      <c r="R22" s="1056" t="s">
        <v>3</v>
      </c>
    </row>
    <row r="23" spans="1:18" s="1059" customFormat="1" ht="16.5" customHeight="1">
      <c r="A23" s="1081" t="s">
        <v>405</v>
      </c>
      <c r="B23" s="1057" t="s">
        <v>145</v>
      </c>
      <c r="C23" s="1057" t="s">
        <v>956</v>
      </c>
      <c r="D23" s="1057" t="s">
        <v>596</v>
      </c>
      <c r="E23" s="1057" t="s">
        <v>861</v>
      </c>
      <c r="F23" s="1058">
        <v>12337</v>
      </c>
      <c r="G23" s="1058">
        <v>12333</v>
      </c>
      <c r="H23" s="1058">
        <v>12333</v>
      </c>
      <c r="I23" s="1058">
        <v>12333</v>
      </c>
      <c r="J23" s="1058">
        <v>12333</v>
      </c>
      <c r="K23" s="1058">
        <v>12333</v>
      </c>
      <c r="L23" s="1058">
        <v>12333</v>
      </c>
      <c r="M23" s="1058">
        <v>12333</v>
      </c>
      <c r="N23" s="1058">
        <v>12333</v>
      </c>
      <c r="O23" s="1058">
        <v>12333</v>
      </c>
      <c r="P23" s="1058">
        <v>12333</v>
      </c>
      <c r="Q23" s="1058">
        <v>12333</v>
      </c>
      <c r="R23" s="1058">
        <v>148000</v>
      </c>
    </row>
    <row r="24" spans="1:18" s="1059" customFormat="1" ht="16.5" customHeight="1">
      <c r="A24" s="1081" t="s">
        <v>405</v>
      </c>
      <c r="B24" s="1057" t="s">
        <v>149</v>
      </c>
      <c r="C24" s="1057" t="s">
        <v>598</v>
      </c>
      <c r="D24" s="1057" t="s">
        <v>596</v>
      </c>
      <c r="E24" s="1057" t="s">
        <v>861</v>
      </c>
      <c r="F24" s="1058">
        <v>35632</v>
      </c>
      <c r="G24" s="1058">
        <v>33760</v>
      </c>
      <c r="H24" s="1058">
        <v>39283</v>
      </c>
      <c r="I24" s="1058">
        <v>33466</v>
      </c>
      <c r="J24" s="1058">
        <v>37107</v>
      </c>
      <c r="K24" s="1058">
        <v>35404</v>
      </c>
      <c r="L24" s="1058">
        <v>33559</v>
      </c>
      <c r="M24" s="1058">
        <v>39162</v>
      </c>
      <c r="N24" s="1058">
        <v>34363</v>
      </c>
      <c r="O24" s="1058">
        <v>36707</v>
      </c>
      <c r="P24" s="1058">
        <v>33847</v>
      </c>
      <c r="Q24" s="1058">
        <v>28686</v>
      </c>
      <c r="R24" s="1058">
        <v>420976</v>
      </c>
    </row>
    <row r="25" spans="1:18" s="1059" customFormat="1" ht="16.5" customHeight="1">
      <c r="A25" s="1081" t="s">
        <v>405</v>
      </c>
      <c r="B25" s="1057" t="s">
        <v>154</v>
      </c>
      <c r="C25" s="1057" t="s">
        <v>599</v>
      </c>
      <c r="D25" s="1057" t="s">
        <v>596</v>
      </c>
      <c r="E25" s="1057" t="s">
        <v>861</v>
      </c>
      <c r="F25" s="1058">
        <v>32429</v>
      </c>
      <c r="G25" s="1058">
        <v>30964</v>
      </c>
      <c r="H25" s="1058">
        <v>35676</v>
      </c>
      <c r="I25" s="1058">
        <v>31012</v>
      </c>
      <c r="J25" s="1058">
        <v>33524</v>
      </c>
      <c r="K25" s="1058">
        <v>32464</v>
      </c>
      <c r="L25" s="1058">
        <v>30986</v>
      </c>
      <c r="M25" s="1058">
        <v>35477</v>
      </c>
      <c r="N25" s="1058">
        <v>31736</v>
      </c>
      <c r="O25" s="1058">
        <v>33354</v>
      </c>
      <c r="P25" s="1058">
        <v>31127</v>
      </c>
      <c r="Q25" s="1058">
        <v>27187</v>
      </c>
      <c r="R25" s="1058">
        <v>385936</v>
      </c>
    </row>
    <row r="26" spans="1:18" s="1059" customFormat="1" ht="16.5" customHeight="1">
      <c r="A26" s="1081" t="s">
        <v>405</v>
      </c>
      <c r="B26" s="1057" t="s">
        <v>448</v>
      </c>
      <c r="C26" s="1057" t="s">
        <v>600</v>
      </c>
      <c r="D26" s="1057" t="s">
        <v>596</v>
      </c>
      <c r="E26" s="1057" t="s">
        <v>861</v>
      </c>
      <c r="F26" s="1058">
        <v>1500</v>
      </c>
      <c r="G26" s="1058">
        <v>2507</v>
      </c>
      <c r="H26" s="1058">
        <v>2000</v>
      </c>
      <c r="I26" s="1058">
        <v>1500</v>
      </c>
      <c r="J26" s="1058">
        <v>1500</v>
      </c>
      <c r="K26" s="1058">
        <v>2004</v>
      </c>
      <c r="L26" s="1058">
        <v>2000</v>
      </c>
      <c r="M26" s="1058">
        <v>1500</v>
      </c>
      <c r="N26" s="1058">
        <v>2391</v>
      </c>
      <c r="O26" s="1058">
        <v>1500</v>
      </c>
      <c r="P26" s="1058">
        <v>1500</v>
      </c>
      <c r="Q26" s="1058">
        <v>2004</v>
      </c>
      <c r="R26" s="1058">
        <v>21906</v>
      </c>
    </row>
    <row r="27" spans="1:18" s="1059" customFormat="1" ht="16.5" customHeight="1">
      <c r="A27" s="1081" t="s">
        <v>405</v>
      </c>
      <c r="B27" s="1057" t="s">
        <v>450</v>
      </c>
      <c r="C27" s="1057" t="s">
        <v>601</v>
      </c>
      <c r="D27" s="1057" t="s">
        <v>596</v>
      </c>
      <c r="E27" s="1057" t="s">
        <v>861</v>
      </c>
      <c r="F27" s="1060">
        <v>11546</v>
      </c>
      <c r="G27" s="1060">
        <v>0</v>
      </c>
      <c r="H27" s="1060">
        <v>252</v>
      </c>
      <c r="I27" s="1060">
        <v>0</v>
      </c>
      <c r="J27" s="1060">
        <v>0</v>
      </c>
      <c r="K27" s="1060">
        <v>252</v>
      </c>
      <c r="L27" s="1060">
        <v>0</v>
      </c>
      <c r="M27" s="1060">
        <v>0</v>
      </c>
      <c r="N27" s="1060">
        <v>252</v>
      </c>
      <c r="O27" s="1060">
        <v>0</v>
      </c>
      <c r="P27" s="1060">
        <v>0</v>
      </c>
      <c r="Q27" s="1060">
        <v>252</v>
      </c>
      <c r="R27" s="1060">
        <v>12554</v>
      </c>
    </row>
    <row r="28" spans="1:18" s="1059" customFormat="1" ht="16.5" customHeight="1">
      <c r="A28" s="1061"/>
      <c r="B28" s="1061"/>
      <c r="C28" s="1061"/>
      <c r="D28" s="1061"/>
      <c r="E28" s="1067" t="s">
        <v>843</v>
      </c>
      <c r="F28" s="1088">
        <v>93444</v>
      </c>
      <c r="G28" s="1088">
        <v>79564</v>
      </c>
      <c r="H28" s="1088">
        <v>89544</v>
      </c>
      <c r="I28" s="1088">
        <v>78311</v>
      </c>
      <c r="J28" s="1088">
        <v>84464</v>
      </c>
      <c r="K28" s="1088">
        <v>82457</v>
      </c>
      <c r="L28" s="1088">
        <v>78878</v>
      </c>
      <c r="M28" s="1088">
        <v>88472</v>
      </c>
      <c r="N28" s="1088">
        <v>81075</v>
      </c>
      <c r="O28" s="1088">
        <v>83894</v>
      </c>
      <c r="P28" s="1088">
        <v>78807</v>
      </c>
      <c r="Q28" s="1088">
        <v>70462</v>
      </c>
      <c r="R28" s="1062">
        <v>989372</v>
      </c>
    </row>
    <row r="29" spans="1:18" s="1059" customFormat="1" ht="16.5" customHeight="1">
      <c r="A29" s="1063"/>
      <c r="B29" s="1063"/>
      <c r="C29" s="1063"/>
      <c r="D29" s="1063"/>
      <c r="E29" s="1068"/>
      <c r="F29" s="1063"/>
      <c r="G29" s="1063"/>
      <c r="H29" s="1063"/>
      <c r="I29" s="1063"/>
      <c r="J29" s="1063"/>
      <c r="K29" s="1063"/>
      <c r="L29" s="1063"/>
      <c r="M29" s="1063"/>
      <c r="N29" s="1063"/>
      <c r="O29" s="1063"/>
      <c r="P29" s="1063"/>
      <c r="Q29" s="1063"/>
      <c r="R29" s="1063"/>
    </row>
    <row r="30" spans="1:18" s="1059" customFormat="1" ht="16.5" customHeight="1">
      <c r="A30" s="1063"/>
      <c r="B30" s="1063"/>
      <c r="C30" s="1063"/>
      <c r="D30" s="1063"/>
      <c r="E30" s="1069"/>
      <c r="F30" s="1055" t="s">
        <v>584</v>
      </c>
      <c r="G30" s="1055" t="s">
        <v>585</v>
      </c>
      <c r="H30" s="1055" t="s">
        <v>586</v>
      </c>
      <c r="I30" s="1055" t="s">
        <v>587</v>
      </c>
      <c r="J30" s="1055" t="s">
        <v>588</v>
      </c>
      <c r="K30" s="1055" t="s">
        <v>589</v>
      </c>
      <c r="L30" s="1055" t="s">
        <v>590</v>
      </c>
      <c r="M30" s="1055" t="s">
        <v>591</v>
      </c>
      <c r="N30" s="1055" t="s">
        <v>592</v>
      </c>
      <c r="O30" s="1055" t="s">
        <v>593</v>
      </c>
      <c r="P30" s="1055" t="s">
        <v>594</v>
      </c>
      <c r="Q30" s="1055" t="s">
        <v>595</v>
      </c>
      <c r="R30" s="1056" t="s">
        <v>3</v>
      </c>
    </row>
    <row r="31" spans="1:18" s="1059" customFormat="1" ht="16.5" customHeight="1">
      <c r="A31" s="1063"/>
      <c r="B31" s="1063"/>
      <c r="C31" s="1063"/>
      <c r="D31" s="1063"/>
      <c r="E31" s="1067" t="s">
        <v>175</v>
      </c>
      <c r="F31" s="1064">
        <v>61988.94</v>
      </c>
      <c r="G31" s="1064">
        <v>61988.94</v>
      </c>
      <c r="H31" s="1064">
        <v>61988.94</v>
      </c>
      <c r="I31" s="1064">
        <v>61988.94</v>
      </c>
      <c r="J31" s="1064">
        <v>61988.94</v>
      </c>
      <c r="K31" s="1064">
        <v>61988.94</v>
      </c>
      <c r="L31" s="1064">
        <v>61988.94</v>
      </c>
      <c r="M31" s="1064">
        <v>61988.94</v>
      </c>
      <c r="N31" s="1064">
        <v>61988.94</v>
      </c>
      <c r="O31" s="1064">
        <v>61988.94</v>
      </c>
      <c r="P31" s="1064">
        <v>61988.94</v>
      </c>
      <c r="Q31" s="1064">
        <v>61988.94</v>
      </c>
      <c r="R31" s="1087">
        <v>743867.2799999998</v>
      </c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79FE0-9AF4-4418-9206-DEF01D57EEB8}">
  <sheetPr>
    <tabColor theme="2" tint="-0.249977111117893"/>
    <pageSetUpPr autoPageBreaks="0"/>
  </sheetPr>
  <dimension ref="A1:AJ90"/>
  <sheetViews>
    <sheetView showGridLines="0" zoomScaleNormal="100" zoomScaleSheetLayoutView="90" workbookViewId="0"/>
  </sheetViews>
  <sheetFormatPr defaultColWidth="9.140625" defaultRowHeight="12.75"/>
  <cols>
    <col min="1" max="1" width="4.5703125" style="52" bestFit="1" customWidth="1"/>
    <col min="2" max="2" width="3.140625" style="52" customWidth="1"/>
    <col min="3" max="3" width="11.570312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" style="52" bestFit="1" customWidth="1"/>
    <col min="8" max="15" width="11" style="52" customWidth="1"/>
    <col min="16" max="16" width="10.140625" style="52" customWidth="1"/>
    <col min="17" max="17" width="11" style="52" customWidth="1"/>
    <col min="18" max="18" width="10.7109375" style="52" customWidth="1"/>
    <col min="19" max="22" width="9.7109375" style="52" customWidth="1"/>
    <col min="23" max="23" width="9.140625" style="52" customWidth="1"/>
    <col min="24" max="24" width="10.7109375" style="52" bestFit="1" customWidth="1"/>
    <col min="25" max="25" width="11.140625" style="52" bestFit="1" customWidth="1"/>
    <col min="26" max="27" width="9.7109375" style="52" customWidth="1"/>
    <col min="28" max="28" width="11.7109375" style="52" customWidth="1"/>
    <col min="29" max="30" width="5.85546875" style="52" customWidth="1"/>
    <col min="31" max="34" width="10.140625" style="52" customWidth="1"/>
    <col min="35" max="35" width="9.140625" style="52"/>
    <col min="36" max="36" width="8.5703125" style="59" bestFit="1" customWidth="1"/>
    <col min="37" max="16384" width="9.140625" style="52"/>
  </cols>
  <sheetData>
    <row r="1" spans="1:36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</row>
    <row r="2" spans="1:3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36" ht="18.75">
      <c r="A3" s="191" t="s">
        <v>73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</row>
    <row r="4" spans="1:36">
      <c r="A4" s="53"/>
      <c r="M4" s="231"/>
      <c r="V4" s="403"/>
    </row>
    <row r="6" spans="1:36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N6" s="54"/>
      <c r="O6" s="155"/>
      <c r="P6" s="54"/>
      <c r="Q6" s="54"/>
      <c r="R6" s="54"/>
      <c r="S6" s="54"/>
      <c r="T6" s="54"/>
      <c r="U6" s="54"/>
      <c r="V6" s="54"/>
      <c r="W6" s="54"/>
      <c r="X6" s="54"/>
      <c r="Y6" s="54"/>
    </row>
    <row r="7" spans="1:36" ht="25.5">
      <c r="A7" s="54"/>
      <c r="B7" s="54"/>
      <c r="C7" s="55"/>
      <c r="D7" s="54" t="s">
        <v>25</v>
      </c>
      <c r="E7" s="55" t="s">
        <v>555</v>
      </c>
      <c r="F7" s="54"/>
      <c r="G7" s="54"/>
      <c r="H7" s="54"/>
      <c r="I7" s="54"/>
      <c r="J7" s="54"/>
      <c r="K7" s="54"/>
      <c r="L7" s="54"/>
      <c r="M7" s="54"/>
      <c r="N7" s="54"/>
      <c r="O7" s="54" t="s">
        <v>3</v>
      </c>
      <c r="P7" s="54" t="s">
        <v>35</v>
      </c>
      <c r="Q7" s="54"/>
      <c r="R7" s="54"/>
      <c r="S7" s="55" t="s">
        <v>178</v>
      </c>
      <c r="T7" s="55" t="s">
        <v>179</v>
      </c>
      <c r="U7" s="55" t="s">
        <v>184</v>
      </c>
      <c r="V7" s="55" t="s">
        <v>862</v>
      </c>
      <c r="W7" s="55" t="s">
        <v>847</v>
      </c>
      <c r="X7" s="55" t="s">
        <v>186</v>
      </c>
      <c r="Y7" s="54" t="s">
        <v>41</v>
      </c>
      <c r="Z7" s="55" t="s">
        <v>161</v>
      </c>
      <c r="AA7" s="55"/>
      <c r="AB7" s="55" t="s">
        <v>618</v>
      </c>
      <c r="AF7" s="1128"/>
      <c r="AG7" s="1128"/>
      <c r="AH7" s="1128"/>
    </row>
    <row r="8" spans="1:36">
      <c r="A8" s="54" t="s">
        <v>4</v>
      </c>
      <c r="B8" s="54"/>
      <c r="C8" s="54"/>
      <c r="D8" s="54" t="s">
        <v>26</v>
      </c>
      <c r="E8" s="54" t="s">
        <v>556</v>
      </c>
      <c r="F8" s="54"/>
      <c r="G8" s="54"/>
      <c r="H8" s="886">
        <v>2017</v>
      </c>
      <c r="I8" s="886">
        <v>2018</v>
      </c>
      <c r="J8" s="886">
        <v>2019</v>
      </c>
      <c r="K8" s="886">
        <v>2020</v>
      </c>
      <c r="L8" s="886">
        <v>2021</v>
      </c>
      <c r="M8" s="886">
        <v>2022</v>
      </c>
      <c r="N8" s="886">
        <v>2023</v>
      </c>
      <c r="O8" s="54" t="s">
        <v>34</v>
      </c>
      <c r="P8" s="54" t="s">
        <v>36</v>
      </c>
      <c r="Q8" s="54" t="s">
        <v>38</v>
      </c>
      <c r="R8" s="54"/>
      <c r="S8" s="54" t="s">
        <v>34</v>
      </c>
      <c r="T8" s="54" t="s">
        <v>34</v>
      </c>
      <c r="U8" s="54" t="s">
        <v>185</v>
      </c>
      <c r="V8" s="54" t="s">
        <v>844</v>
      </c>
      <c r="W8" s="54" t="s">
        <v>844</v>
      </c>
      <c r="X8" s="54" t="s">
        <v>187</v>
      </c>
      <c r="Y8" s="54" t="s">
        <v>40</v>
      </c>
      <c r="Z8" s="54" t="s">
        <v>234</v>
      </c>
      <c r="AA8" s="54" t="s">
        <v>161</v>
      </c>
      <c r="AB8" s="54" t="s">
        <v>40</v>
      </c>
      <c r="AE8" s="1130" t="s">
        <v>975</v>
      </c>
      <c r="AF8" s="1130" t="s">
        <v>975</v>
      </c>
      <c r="AG8" s="1130" t="s">
        <v>978</v>
      </c>
      <c r="AH8" s="1130" t="s">
        <v>636</v>
      </c>
      <c r="AJ8" s="895" t="s">
        <v>920</v>
      </c>
    </row>
    <row r="9" spans="1:36">
      <c r="A9" s="798" t="s">
        <v>5</v>
      </c>
      <c r="B9" s="798"/>
      <c r="C9" s="798"/>
      <c r="D9" s="798" t="s">
        <v>2</v>
      </c>
      <c r="E9" s="798" t="s">
        <v>557</v>
      </c>
      <c r="F9" s="798"/>
      <c r="G9" s="798" t="s">
        <v>105</v>
      </c>
      <c r="H9" s="885" t="s">
        <v>20</v>
      </c>
      <c r="I9" s="885" t="s">
        <v>20</v>
      </c>
      <c r="J9" s="885" t="s">
        <v>20</v>
      </c>
      <c r="K9" s="885" t="s">
        <v>20</v>
      </c>
      <c r="L9" s="885" t="s">
        <v>20</v>
      </c>
      <c r="M9" s="885" t="s">
        <v>1045</v>
      </c>
      <c r="N9" s="885" t="s">
        <v>20</v>
      </c>
      <c r="O9" s="798" t="s">
        <v>0</v>
      </c>
      <c r="P9" s="798" t="s">
        <v>37</v>
      </c>
      <c r="Q9" s="798" t="s">
        <v>0</v>
      </c>
      <c r="R9" s="798" t="s">
        <v>39</v>
      </c>
      <c r="S9" s="56" t="s">
        <v>340</v>
      </c>
      <c r="T9" s="56" t="s">
        <v>453</v>
      </c>
      <c r="U9" s="56" t="s">
        <v>340</v>
      </c>
      <c r="V9" s="56" t="s">
        <v>845</v>
      </c>
      <c r="W9" s="56" t="s">
        <v>845</v>
      </c>
      <c r="X9" s="56" t="s">
        <v>12</v>
      </c>
      <c r="Y9" s="798" t="s">
        <v>42</v>
      </c>
      <c r="Z9" s="56" t="s">
        <v>235</v>
      </c>
      <c r="AA9" s="56" t="s">
        <v>236</v>
      </c>
      <c r="AB9" s="798" t="s">
        <v>42</v>
      </c>
      <c r="AE9" s="1131" t="s">
        <v>976</v>
      </c>
      <c r="AF9" s="1131" t="s">
        <v>977</v>
      </c>
      <c r="AG9" s="1131" t="s">
        <v>10</v>
      </c>
      <c r="AH9" s="1131" t="s">
        <v>637</v>
      </c>
      <c r="AJ9" s="895" t="s">
        <v>921</v>
      </c>
    </row>
    <row r="10" spans="1:36">
      <c r="C10" s="57"/>
      <c r="D10" s="57" t="s">
        <v>69</v>
      </c>
      <c r="E10" s="881"/>
      <c r="F10" s="58"/>
      <c r="G10" s="58"/>
      <c r="H10" s="884" t="s">
        <v>163</v>
      </c>
      <c r="I10" s="884" t="s">
        <v>164</v>
      </c>
      <c r="J10" s="884" t="s">
        <v>165</v>
      </c>
      <c r="K10" s="884" t="s">
        <v>174</v>
      </c>
      <c r="L10" s="884" t="s">
        <v>210</v>
      </c>
      <c r="M10" s="884" t="s">
        <v>225</v>
      </c>
      <c r="N10" s="884" t="s">
        <v>848</v>
      </c>
    </row>
    <row r="11" spans="1:36">
      <c r="A11" s="52">
        <v>1</v>
      </c>
      <c r="C11" s="57" t="s">
        <v>68</v>
      </c>
      <c r="D11" s="59"/>
      <c r="E11" s="881"/>
      <c r="H11" s="793">
        <f>'Tax Depr 2022 - Dist'!H11</f>
        <v>1255457.3249999995</v>
      </c>
      <c r="I11" s="793">
        <f>'Tax Depr 2022 - Dist'!I11</f>
        <v>4755556.1999999983</v>
      </c>
      <c r="J11" s="793">
        <f>'Tax Depr 2022 - Dist'!J11</f>
        <v>4801920.54</v>
      </c>
      <c r="K11" s="793">
        <f>'Tax Depr 2022 - Dist'!K11</f>
        <v>4929518.1200000104</v>
      </c>
      <c r="L11" s="793">
        <f>'Tax Depr 2022 - Dist'!L11</f>
        <v>4803986.8599999901</v>
      </c>
      <c r="M11" s="793">
        <f>'Tax Depr 2022 - Dist'!M11</f>
        <v>6174770.9499999955</v>
      </c>
      <c r="N11" s="793">
        <f>'2023 Capital Budget'!R16</f>
        <v>5869494.8700000001</v>
      </c>
    </row>
    <row r="12" spans="1:36">
      <c r="A12" s="52">
        <v>2</v>
      </c>
      <c r="C12" s="57" t="s">
        <v>72</v>
      </c>
      <c r="D12" s="59"/>
      <c r="E12" s="881"/>
      <c r="H12" s="793">
        <f>'Tax Depr 2022 - Dist'!H12</f>
        <v>2278129.7400000002</v>
      </c>
      <c r="I12" s="793">
        <f>'Tax Depr 2022 - Dist'!I12</f>
        <v>5069750.870000002</v>
      </c>
      <c r="J12" s="793">
        <f>'Tax Depr 2022 - Dist'!J12</f>
        <v>6475425.9099999992</v>
      </c>
      <c r="K12" s="793">
        <f>'Tax Depr 2022 - Dist'!K12</f>
        <v>4720575.92</v>
      </c>
      <c r="L12" s="793">
        <f>'Tax Depr 2022 - Dist'!L12</f>
        <v>4028678.0700000003</v>
      </c>
      <c r="M12" s="793">
        <f>'Tax Depr 2022 - Dist'!M12</f>
        <v>8518992.4499999993</v>
      </c>
      <c r="N12" s="793">
        <f>'2023 Capital Budget'!R17</f>
        <v>14410630.010000002</v>
      </c>
    </row>
    <row r="13" spans="1:36">
      <c r="A13" s="52">
        <v>3</v>
      </c>
      <c r="C13" s="57" t="s">
        <v>182</v>
      </c>
      <c r="D13" s="59"/>
      <c r="E13" s="881"/>
      <c r="H13" s="793">
        <f>'Tax Depr 2022 - Dist'!H13</f>
        <v>1255457.325</v>
      </c>
      <c r="I13" s="793">
        <f>'Tax Depr 2022 - Dist'!I13</f>
        <v>0</v>
      </c>
      <c r="J13" s="793">
        <f>'Tax Depr 2022 - Dist'!J13</f>
        <v>0</v>
      </c>
      <c r="K13" s="793">
        <f>'Tax Depr 2022 - Dist'!K13</f>
        <v>0</v>
      </c>
      <c r="L13" s="793">
        <f>'Tax Depr 2022 - Dist'!L13</f>
        <v>0</v>
      </c>
      <c r="M13" s="793">
        <f>'Tax Depr 2022 - Dist'!M13</f>
        <v>0</v>
      </c>
      <c r="N13" s="793">
        <v>0</v>
      </c>
    </row>
    <row r="14" spans="1:36">
      <c r="C14" s="59"/>
      <c r="E14" s="571"/>
      <c r="H14" s="231"/>
      <c r="I14" s="231"/>
      <c r="J14" s="231"/>
      <c r="K14" s="231"/>
      <c r="AD14" s="50"/>
    </row>
    <row r="15" spans="1:36">
      <c r="C15" s="54" t="s">
        <v>561</v>
      </c>
      <c r="E15" s="571"/>
      <c r="H15" s="195"/>
      <c r="I15" s="195"/>
      <c r="J15" s="195"/>
      <c r="K15" s="195"/>
      <c r="L15" s="195"/>
      <c r="M15" s="195"/>
      <c r="N15" s="195"/>
      <c r="O15" s="195"/>
      <c r="P15" s="195"/>
      <c r="Q15" s="244"/>
      <c r="AD15" s="50"/>
    </row>
    <row r="16" spans="1:36">
      <c r="C16" s="54" t="s">
        <v>562</v>
      </c>
      <c r="E16" s="571"/>
      <c r="H16" s="883" t="s">
        <v>163</v>
      </c>
      <c r="I16" s="883" t="s">
        <v>164</v>
      </c>
      <c r="J16" s="883" t="s">
        <v>165</v>
      </c>
      <c r="K16" s="883" t="s">
        <v>174</v>
      </c>
      <c r="L16" s="883" t="s">
        <v>210</v>
      </c>
      <c r="M16" s="883" t="s">
        <v>225</v>
      </c>
      <c r="N16" s="883" t="s">
        <v>848</v>
      </c>
      <c r="X16" s="231"/>
      <c r="Y16" s="880">
        <f>'Tax Depr 2022 - Dist'!X28</f>
        <v>9549777.8457705304</v>
      </c>
      <c r="AB16" s="231">
        <f>Y16</f>
        <v>9549777.8457705304</v>
      </c>
      <c r="AD16" s="50"/>
      <c r="AI16" s="403"/>
      <c r="AJ16" s="460"/>
    </row>
    <row r="17" spans="1:36">
      <c r="A17" s="52">
        <f>A13+1</f>
        <v>4</v>
      </c>
      <c r="C17" s="1005">
        <v>3.7499999999999999E-2</v>
      </c>
      <c r="D17" s="1005">
        <v>0.05</v>
      </c>
      <c r="E17" s="59">
        <v>1</v>
      </c>
      <c r="F17" s="59"/>
      <c r="G17" s="59">
        <v>1</v>
      </c>
      <c r="H17" s="231">
        <f>$H$11*$C$23/12</f>
        <v>5113.8961704999974</v>
      </c>
      <c r="I17" s="231">
        <f>$I$11*$C$22/12</f>
        <v>20944.262097499992</v>
      </c>
      <c r="J17" s="231">
        <f>$J$11*$C$21/12</f>
        <v>22861.143370850001</v>
      </c>
      <c r="K17" s="27">
        <f>$K$11*$C$20/12</f>
        <v>25374.694522700054</v>
      </c>
      <c r="L17" s="27">
        <f>$L$11*$C$19/12</f>
        <v>26730.183553516606</v>
      </c>
      <c r="M17" s="27">
        <f>$M$11*$C$18/12</f>
        <v>37146.392906708308</v>
      </c>
      <c r="N17" s="27">
        <f>AH17</f>
        <v>80232.82557291667</v>
      </c>
      <c r="O17" s="231">
        <f>SUM(H17:N17)</f>
        <v>218403.39819469163</v>
      </c>
      <c r="P17" s="794">
        <f>'202301 Bk Depr'!L36</f>
        <v>94122.400000000009</v>
      </c>
      <c r="Q17" s="794">
        <f>'202301 Bk Depr'!P18</f>
        <v>161381.65674600002</v>
      </c>
      <c r="R17" s="231">
        <f>O17+P17-Q17</f>
        <v>151144.14144869163</v>
      </c>
      <c r="S17" s="231">
        <f>R17*0.21</f>
        <v>31740.26970422524</v>
      </c>
      <c r="T17" s="231">
        <f>S58</f>
        <v>7812.90188095958</v>
      </c>
      <c r="U17" s="231">
        <f>-T17*0.21</f>
        <v>-1640.7093950015117</v>
      </c>
      <c r="V17" s="231">
        <v>-1071.9812942225108</v>
      </c>
      <c r="W17" s="231">
        <v>-26.585764175692322</v>
      </c>
      <c r="X17" s="27"/>
      <c r="Y17" s="231">
        <f>Y16+S17+T17+U17+V17+W17+X17</f>
        <v>9586591.7409023158</v>
      </c>
      <c r="Z17" s="231">
        <f>Y17-Y16</f>
        <v>36813.895131785423</v>
      </c>
      <c r="AA17" s="801" t="s">
        <v>357</v>
      </c>
      <c r="AB17" s="231">
        <f>AB16+Z17*335/365</f>
        <v>9583565.9413024429</v>
      </c>
      <c r="AE17" s="156">
        <f>((('202301 Bk Depr'!$L$18-'2023 Capital Budget'!$F$17-(1/12*$N$13))*$C$17))/12</f>
        <v>1437.4464062499999</v>
      </c>
      <c r="AF17" s="156">
        <f>'2023 Capital Budget'!$F$17*1/12</f>
        <v>78795.379166666666</v>
      </c>
      <c r="AG17" s="156">
        <f>(1/12*$N$13)</f>
        <v>0</v>
      </c>
      <c r="AH17" s="156">
        <f>SUM(AE17:AG17)</f>
        <v>80232.82557291667</v>
      </c>
      <c r="AI17" s="576"/>
      <c r="AJ17" s="460"/>
    </row>
    <row r="18" spans="1:36">
      <c r="A18" s="52">
        <f>A17+1</f>
        <v>5</v>
      </c>
      <c r="C18" s="1005">
        <v>7.2190000000000004E-2</v>
      </c>
      <c r="D18" s="1005">
        <v>9.5000000000000001E-2</v>
      </c>
      <c r="E18" s="59">
        <v>2</v>
      </c>
      <c r="F18" s="59"/>
      <c r="G18" s="59">
        <v>2</v>
      </c>
      <c r="H18" s="231">
        <f t="shared" ref="H18:H28" si="0">$H$11*$C$23/12</f>
        <v>5113.8961704999974</v>
      </c>
      <c r="I18" s="231">
        <f t="shared" ref="I18:I28" si="1">$I$11*$C$22/12</f>
        <v>20944.262097499992</v>
      </c>
      <c r="J18" s="231">
        <f t="shared" ref="J18:J28" si="2">$J$11*$C$21/12</f>
        <v>22861.143370850001</v>
      </c>
      <c r="K18" s="27">
        <f t="shared" ref="K18:K28" si="3">$K$11*$C$20/12</f>
        <v>25374.694522700054</v>
      </c>
      <c r="L18" s="27">
        <f t="shared" ref="L18:L28" si="4">$L$11*$C$19/12</f>
        <v>26730.183553516606</v>
      </c>
      <c r="M18" s="27">
        <f t="shared" ref="M18:M28" si="5">$M$11*$C$18/12</f>
        <v>37146.392906708308</v>
      </c>
      <c r="N18" s="27">
        <f t="shared" ref="N18:N28" si="6">AH18</f>
        <v>256440.87698958337</v>
      </c>
      <c r="O18" s="231">
        <f t="shared" ref="O18:O28" si="7">SUM(H18:N18)</f>
        <v>394611.44961135834</v>
      </c>
      <c r="P18" s="794">
        <f>'202302 Bk Depr'!L36</f>
        <v>89208.409999999989</v>
      </c>
      <c r="Q18" s="794">
        <f>'202302 Bk Depr'!P18</f>
        <v>165310.77959550003</v>
      </c>
      <c r="R18" s="231">
        <f t="shared" ref="R18:R28" si="8">O18+P18-Q18</f>
        <v>318509.08001585829</v>
      </c>
      <c r="S18" s="231">
        <f t="shared" ref="S18:S28" si="9">R18*0.21</f>
        <v>66886.906803330232</v>
      </c>
      <c r="T18" s="231">
        <f t="shared" ref="T18:T28" si="10">S59</f>
        <v>16181.148809317914</v>
      </c>
      <c r="U18" s="231">
        <f t="shared" ref="U18:U28" si="11">-T18*0.21</f>
        <v>-3398.0412499567619</v>
      </c>
      <c r="V18" s="231">
        <v>-1071.9812942225108</v>
      </c>
      <c r="W18" s="231">
        <v>-26.585764175692322</v>
      </c>
      <c r="X18" s="27"/>
      <c r="Y18" s="231">
        <f t="shared" ref="Y18:Y28" si="12">Y17+S18+T18+U18+V18+W18+X18</f>
        <v>9665163.1882066093</v>
      </c>
      <c r="Z18" s="231">
        <f t="shared" ref="Z18:Z28" si="13">Y18-Y17</f>
        <v>78571.447304293513</v>
      </c>
      <c r="AA18" s="801" t="s">
        <v>358</v>
      </c>
      <c r="AB18" s="231">
        <f>AB17+Z18*307/365</f>
        <v>9649652.0627337247</v>
      </c>
      <c r="AE18" s="156">
        <f>(((('202301 Bk Depr'!$L$18+'202302 Bk Depr'!$L$18-SUM('2023 Capital Budget'!$F$17:$G$17)-(1/12*$N$13))*$C$17))*2/12)-AE17</f>
        <v>4344.4961562499966</v>
      </c>
      <c r="AF18" s="156">
        <f>SUM('2023 Capital Budget'!$F$17:$G$17)*2/12-AF17</f>
        <v>252096.38083333336</v>
      </c>
      <c r="AG18" s="156">
        <f t="shared" ref="AG18:AG28" si="14">(1/12*$N$13)</f>
        <v>0</v>
      </c>
      <c r="AH18" s="156">
        <f t="shared" ref="AH18:AH28" si="15">SUM(AE18:AG18)</f>
        <v>256440.87698958337</v>
      </c>
      <c r="AI18" s="62"/>
      <c r="AJ18" s="460"/>
    </row>
    <row r="19" spans="1:36">
      <c r="A19" s="52">
        <f t="shared" ref="A19:A38" si="16">A18+1</f>
        <v>6</v>
      </c>
      <c r="C19" s="1005">
        <v>6.6769999999999996E-2</v>
      </c>
      <c r="D19" s="1005">
        <v>8.5500000000000007E-2</v>
      </c>
      <c r="E19" s="59">
        <v>3</v>
      </c>
      <c r="F19" s="59"/>
      <c r="G19" s="59">
        <v>3</v>
      </c>
      <c r="H19" s="231">
        <f t="shared" si="0"/>
        <v>5113.8961704999974</v>
      </c>
      <c r="I19" s="231">
        <f t="shared" si="1"/>
        <v>20944.262097499992</v>
      </c>
      <c r="J19" s="231">
        <f t="shared" si="2"/>
        <v>22861.143370850001</v>
      </c>
      <c r="K19" s="27">
        <f t="shared" si="3"/>
        <v>25374.694522700054</v>
      </c>
      <c r="L19" s="27">
        <f t="shared" si="4"/>
        <v>26730.183553516606</v>
      </c>
      <c r="M19" s="27">
        <f t="shared" si="5"/>
        <v>37146.392906708308</v>
      </c>
      <c r="N19" s="27">
        <f t="shared" si="6"/>
        <v>428219.55881250004</v>
      </c>
      <c r="O19" s="231">
        <f t="shared" si="7"/>
        <v>566390.13143427507</v>
      </c>
      <c r="P19" s="794">
        <f>'202303 Bk Depr'!L36</f>
        <v>93273.459999999992</v>
      </c>
      <c r="Q19" s="794">
        <f>'202303 Bk Depr'!P18</f>
        <v>169352.81305650002</v>
      </c>
      <c r="R19" s="231">
        <f t="shared" si="8"/>
        <v>490310.77837777499</v>
      </c>
      <c r="S19" s="231">
        <f t="shared" si="9"/>
        <v>102965.26345933274</v>
      </c>
      <c r="T19" s="231">
        <f t="shared" si="10"/>
        <v>24771.23372741375</v>
      </c>
      <c r="U19" s="231">
        <f t="shared" si="11"/>
        <v>-5201.9590827568873</v>
      </c>
      <c r="V19" s="231">
        <v>-1071.9812942225108</v>
      </c>
      <c r="W19" s="231">
        <v>-26.585764175692322</v>
      </c>
      <c r="X19" s="1135">
        <f>'Base Rate Retirements 2023'!N29</f>
        <v>-0.39</v>
      </c>
      <c r="Y19" s="231">
        <f t="shared" si="12"/>
        <v>9786598.7692522015</v>
      </c>
      <c r="Z19" s="231">
        <f t="shared" si="13"/>
        <v>121435.5810455922</v>
      </c>
      <c r="AA19" s="801" t="s">
        <v>359</v>
      </c>
      <c r="AB19" s="231">
        <f>AB18+Z19*276/365</f>
        <v>9741477.3240175154</v>
      </c>
      <c r="AE19" s="156">
        <f>(((('202301 Bk Depr'!$L$18+'202302 Bk Depr'!$L$18+'202303 Bk Depr'!$L$18-SUM('2023 Capital Budget'!$F$17:$H$17)-(1/12*$N$13))*$C$17))*3/12)-AE18-AE17</f>
        <v>7270.5238125000005</v>
      </c>
      <c r="AF19" s="156">
        <f>SUM('2023 Capital Budget'!$F$17:$H$17)*3/12-AF18-AF17</f>
        <v>420949.03500000003</v>
      </c>
      <c r="AG19" s="156">
        <f t="shared" si="14"/>
        <v>0</v>
      </c>
      <c r="AH19" s="156">
        <f t="shared" si="15"/>
        <v>428219.55881250004</v>
      </c>
      <c r="AJ19" s="460"/>
    </row>
    <row r="20" spans="1:36">
      <c r="A20" s="52">
        <f t="shared" si="16"/>
        <v>7</v>
      </c>
      <c r="C20" s="1005">
        <v>6.1769999999999999E-2</v>
      </c>
      <c r="D20" s="1005">
        <v>7.6999999999999999E-2</v>
      </c>
      <c r="E20" s="59">
        <v>4</v>
      </c>
      <c r="F20" s="59"/>
      <c r="G20" s="59">
        <v>4</v>
      </c>
      <c r="H20" s="231">
        <f t="shared" si="0"/>
        <v>5113.8961704999974</v>
      </c>
      <c r="I20" s="231">
        <f t="shared" si="1"/>
        <v>20944.262097499992</v>
      </c>
      <c r="J20" s="231">
        <f t="shared" si="2"/>
        <v>22861.143370850001</v>
      </c>
      <c r="K20" s="27">
        <f t="shared" si="3"/>
        <v>25374.694522700054</v>
      </c>
      <c r="L20" s="27">
        <f t="shared" si="4"/>
        <v>26730.183553516606</v>
      </c>
      <c r="M20" s="27">
        <f t="shared" si="5"/>
        <v>37146.392906708308</v>
      </c>
      <c r="N20" s="27">
        <f t="shared" si="6"/>
        <v>664894.54941666697</v>
      </c>
      <c r="O20" s="231">
        <f t="shared" si="7"/>
        <v>803065.12203844194</v>
      </c>
      <c r="P20" s="794">
        <f>'202304 Bk Depr'!L36</f>
        <v>71595.56</v>
      </c>
      <c r="Q20" s="794">
        <f>'202304 Bk Depr'!P18</f>
        <v>173524.42771200003</v>
      </c>
      <c r="R20" s="231">
        <f t="shared" si="8"/>
        <v>701136.25432644202</v>
      </c>
      <c r="S20" s="231">
        <f t="shared" si="9"/>
        <v>147238.61340855283</v>
      </c>
      <c r="T20" s="231">
        <f t="shared" si="10"/>
        <v>35312.507524847104</v>
      </c>
      <c r="U20" s="231">
        <f t="shared" si="11"/>
        <v>-7415.6265802178914</v>
      </c>
      <c r="V20" s="231">
        <v>-1071.9812942225108</v>
      </c>
      <c r="W20" s="231">
        <v>-26.585764175692322</v>
      </c>
      <c r="X20" s="27"/>
      <c r="Y20" s="231">
        <f t="shared" si="12"/>
        <v>9960635.6965469867</v>
      </c>
      <c r="Z20" s="231">
        <f t="shared" si="13"/>
        <v>174036.92729478516</v>
      </c>
      <c r="AA20" s="801" t="s">
        <v>360</v>
      </c>
      <c r="AB20" s="231">
        <f>AB19+Z20*246/365</f>
        <v>9858773.4448792059</v>
      </c>
      <c r="AE20" s="156">
        <f>(((('202301 Bk Depr'!$L$18+'202302 Bk Depr'!$L$18+'202303 Bk Depr'!$L$18+'202304 Bk Depr'!$L$18-SUM('2023 Capital Budget'!$F$17:$I$17)-(1/12*$N$13))*$C$17))*4/12)-AE19-AE18-AE17</f>
        <v>9170.6877499999919</v>
      </c>
      <c r="AF20" s="156">
        <f>SUM('2023 Capital Budget'!$F$17:$I$17)*4/12-AF19-AF18-AF17</f>
        <v>655723.86166666693</v>
      </c>
      <c r="AG20" s="156">
        <f t="shared" si="14"/>
        <v>0</v>
      </c>
      <c r="AH20" s="156">
        <f t="shared" si="15"/>
        <v>664894.54941666697</v>
      </c>
      <c r="AJ20" s="460"/>
    </row>
    <row r="21" spans="1:36">
      <c r="A21" s="52">
        <f t="shared" si="16"/>
        <v>8</v>
      </c>
      <c r="C21" s="1005">
        <v>5.713E-2</v>
      </c>
      <c r="D21" s="1005">
        <v>6.93E-2</v>
      </c>
      <c r="E21" s="59">
        <v>5</v>
      </c>
      <c r="F21" s="59"/>
      <c r="G21" s="59">
        <v>5</v>
      </c>
      <c r="H21" s="231">
        <f t="shared" si="0"/>
        <v>5113.8961704999974</v>
      </c>
      <c r="I21" s="231">
        <f t="shared" si="1"/>
        <v>20944.262097499992</v>
      </c>
      <c r="J21" s="231">
        <f t="shared" si="2"/>
        <v>22861.143370850001</v>
      </c>
      <c r="K21" s="27">
        <f t="shared" si="3"/>
        <v>25374.694522700054</v>
      </c>
      <c r="L21" s="27">
        <f t="shared" si="4"/>
        <v>26730.183553516606</v>
      </c>
      <c r="M21" s="27">
        <f t="shared" si="5"/>
        <v>37146.392906708308</v>
      </c>
      <c r="N21" s="27">
        <f t="shared" si="6"/>
        <v>890155.78144791676</v>
      </c>
      <c r="O21" s="231">
        <f t="shared" si="7"/>
        <v>1028326.3540696917</v>
      </c>
      <c r="P21" s="794">
        <f>'202305 Bk Depr'!L36</f>
        <v>85448.97</v>
      </c>
      <c r="Q21" s="794">
        <f>'202305 Bk Depr'!P18</f>
        <v>178047.22401000003</v>
      </c>
      <c r="R21" s="231">
        <f t="shared" si="8"/>
        <v>935728.10005969182</v>
      </c>
      <c r="S21" s="231">
        <f t="shared" si="9"/>
        <v>196502.90101253527</v>
      </c>
      <c r="T21" s="231">
        <f t="shared" si="10"/>
        <v>47042.099811509594</v>
      </c>
      <c r="U21" s="231">
        <f t="shared" si="11"/>
        <v>-9878.8409604170138</v>
      </c>
      <c r="V21" s="231">
        <v>-1071.9812942225108</v>
      </c>
      <c r="W21" s="231">
        <v>-26.585764175692322</v>
      </c>
      <c r="X21" s="27"/>
      <c r="Y21" s="231">
        <f t="shared" si="12"/>
        <v>10193203.289352218</v>
      </c>
      <c r="Z21" s="231">
        <f t="shared" si="13"/>
        <v>232567.59280523099</v>
      </c>
      <c r="AA21" s="801" t="s">
        <v>361</v>
      </c>
      <c r="AB21" s="231">
        <f>AB20+Z21*215/365</f>
        <v>9995765.3146137949</v>
      </c>
      <c r="AE21" s="156">
        <f>(((('202301 Bk Depr'!$L$18+'202302 Bk Depr'!$L$18+'202303 Bk Depr'!$L$18+'202304 Bk Depr'!$L$18+'202305 Bk Depr'!$L$18-SUM('2023 Capital Budget'!$F$17:$J$17)-(1/12*$N$13))*$C$17))*5/12)-AE20-AE19-AE18-AE17</f>
        <v>13198.617281250003</v>
      </c>
      <c r="AF21" s="156">
        <f>SUM('2023 Capital Budget'!$F$17:$J$17)*5/12-AF20-AF19-AF18-AF17</f>
        <v>876957.1641666668</v>
      </c>
      <c r="AG21" s="156">
        <f t="shared" si="14"/>
        <v>0</v>
      </c>
      <c r="AH21" s="156">
        <f t="shared" si="15"/>
        <v>890155.78144791676</v>
      </c>
      <c r="AJ21" s="460"/>
    </row>
    <row r="22" spans="1:36">
      <c r="A22" s="52">
        <f t="shared" si="16"/>
        <v>9</v>
      </c>
      <c r="C22" s="1005">
        <v>5.2850000000000001E-2</v>
      </c>
      <c r="D22" s="1005">
        <v>6.2300000000000001E-2</v>
      </c>
      <c r="E22" s="59">
        <v>6</v>
      </c>
      <c r="F22" s="59"/>
      <c r="G22" s="59">
        <v>6</v>
      </c>
      <c r="H22" s="231">
        <f t="shared" si="0"/>
        <v>5113.8961704999974</v>
      </c>
      <c r="I22" s="231">
        <f t="shared" si="1"/>
        <v>20944.262097499992</v>
      </c>
      <c r="J22" s="231">
        <f t="shared" si="2"/>
        <v>22861.143370850001</v>
      </c>
      <c r="K22" s="27">
        <f t="shared" si="3"/>
        <v>25374.694522700054</v>
      </c>
      <c r="L22" s="27">
        <f t="shared" si="4"/>
        <v>26730.183553516606</v>
      </c>
      <c r="M22" s="27">
        <f t="shared" si="5"/>
        <v>37146.392906708308</v>
      </c>
      <c r="N22" s="27">
        <f t="shared" si="6"/>
        <v>1222484.9855104168</v>
      </c>
      <c r="O22" s="231">
        <f t="shared" si="7"/>
        <v>1360655.5581321917</v>
      </c>
      <c r="P22" s="794">
        <f>'202306 Bk Depr'!L36</f>
        <v>116425.45999999999</v>
      </c>
      <c r="Q22" s="794">
        <f>'202306 Bk Depr'!P18</f>
        <v>183215.79344250003</v>
      </c>
      <c r="R22" s="231">
        <f t="shared" si="8"/>
        <v>1293865.2246896916</v>
      </c>
      <c r="S22" s="231">
        <f t="shared" si="9"/>
        <v>271711.69718483521</v>
      </c>
      <c r="T22" s="231">
        <f t="shared" si="10"/>
        <v>64948.956043009588</v>
      </c>
      <c r="U22" s="231">
        <f t="shared" si="11"/>
        <v>-13639.280769032013</v>
      </c>
      <c r="V22" s="231">
        <v>-1071.9812942225108</v>
      </c>
      <c r="W22" s="231">
        <v>-26.585764175692322</v>
      </c>
      <c r="X22" s="27"/>
      <c r="Y22" s="231">
        <f t="shared" si="12"/>
        <v>10515126.094752632</v>
      </c>
      <c r="Z22" s="231">
        <f t="shared" si="13"/>
        <v>321922.80540041439</v>
      </c>
      <c r="AA22" s="801" t="s">
        <v>356</v>
      </c>
      <c r="AB22" s="231">
        <f>AB21+Z22*185/365</f>
        <v>10158931.668035923</v>
      </c>
      <c r="AE22" s="156">
        <f>(((('202301 Bk Depr'!$L$18+'202302 Bk Depr'!$L$18+'202303 Bk Depr'!$L$18+'202304 Bk Depr'!$L$18+'202305 Bk Depr'!$L$18+'202306 Bk Depr'!$L$18-SUM('2023 Capital Budget'!$F$17:$K$17)-(1/12*$N$13))*$C$17))*6/12)-AE21-AE20-AE19-AE18-AE17</f>
        <v>18037.821343750002</v>
      </c>
      <c r="AF22" s="156">
        <f>SUM('2023 Capital Budget'!$F$17:$K$17)*6/12-AF21-AF20-AF19-AF18-AF17</f>
        <v>1204447.1641666668</v>
      </c>
      <c r="AG22" s="156">
        <f t="shared" si="14"/>
        <v>0</v>
      </c>
      <c r="AH22" s="156">
        <f t="shared" si="15"/>
        <v>1222484.9855104168</v>
      </c>
      <c r="AJ22" s="460"/>
    </row>
    <row r="23" spans="1:36">
      <c r="A23" s="52">
        <f t="shared" si="16"/>
        <v>10</v>
      </c>
      <c r="C23" s="1005">
        <v>4.888E-2</v>
      </c>
      <c r="D23" s="1005">
        <v>5.8999999999999997E-2</v>
      </c>
      <c r="E23" s="59">
        <v>7</v>
      </c>
      <c r="F23" s="59"/>
      <c r="G23" s="59">
        <v>7</v>
      </c>
      <c r="H23" s="231">
        <f t="shared" si="0"/>
        <v>5113.8961704999974</v>
      </c>
      <c r="I23" s="231">
        <f t="shared" si="1"/>
        <v>20944.262097499992</v>
      </c>
      <c r="J23" s="231">
        <f t="shared" si="2"/>
        <v>22861.143370850001</v>
      </c>
      <c r="K23" s="27">
        <f t="shared" si="3"/>
        <v>25374.694522700054</v>
      </c>
      <c r="L23" s="27">
        <f t="shared" si="4"/>
        <v>26730.183553516606</v>
      </c>
      <c r="M23" s="27">
        <f t="shared" si="5"/>
        <v>37146.392906708308</v>
      </c>
      <c r="N23" s="27">
        <f t="shared" si="6"/>
        <v>1311067.4741562505</v>
      </c>
      <c r="O23" s="231">
        <f t="shared" si="7"/>
        <v>1449238.0467780256</v>
      </c>
      <c r="P23" s="794">
        <f>'202307 Bk Depr'!L36</f>
        <v>218282.77999999997</v>
      </c>
      <c r="Q23" s="794">
        <f>'202307 Bk Depr'!P18</f>
        <v>188183.65009950002</v>
      </c>
      <c r="R23" s="231">
        <f t="shared" si="8"/>
        <v>1479337.1766785255</v>
      </c>
      <c r="S23" s="231">
        <f t="shared" si="9"/>
        <v>310660.80710249033</v>
      </c>
      <c r="T23" s="231">
        <f t="shared" si="10"/>
        <v>74222.553642451268</v>
      </c>
      <c r="U23" s="231">
        <f t="shared" si="11"/>
        <v>-15586.736264914765</v>
      </c>
      <c r="V23" s="231">
        <v>-1071.9812942225108</v>
      </c>
      <c r="W23" s="231">
        <v>-26.585764175692322</v>
      </c>
      <c r="X23" s="27"/>
      <c r="Y23" s="231">
        <f t="shared" si="12"/>
        <v>10883324.152174262</v>
      </c>
      <c r="Z23" s="231">
        <f t="shared" si="13"/>
        <v>368198.05742163025</v>
      </c>
      <c r="AA23" s="801" t="s">
        <v>352</v>
      </c>
      <c r="AB23" s="231">
        <f>AB22+Z23*154/365</f>
        <v>10314280.985413816</v>
      </c>
      <c r="AE23" s="156">
        <f>(((('202301 Bk Depr'!$L$18+'202302 Bk Depr'!$L$18+'202303 Bk Depr'!$L$18+'202304 Bk Depr'!$L$18+'202305 Bk Depr'!$L$18+'202306 Bk Depr'!$L$18+'202307 Bk Depr'!$L$18-SUM('2023 Capital Budget'!$F$17:$L$17)-(1/12*$N$13))*$C$17))*7/12)-AE22-AE21-AE20-AE19-AE18-AE17</f>
        <v>17209.966656249999</v>
      </c>
      <c r="AF23" s="156">
        <f>SUM('2023 Capital Budget'!$F$17:$L$17)*7/12-AF22-AF21-AF20-AF19-AF18-AF17</f>
        <v>1293857.5075000005</v>
      </c>
      <c r="AG23" s="156">
        <f t="shared" si="14"/>
        <v>0</v>
      </c>
      <c r="AH23" s="156">
        <f t="shared" si="15"/>
        <v>1311067.4741562505</v>
      </c>
      <c r="AJ23" s="460"/>
    </row>
    <row r="24" spans="1:36">
      <c r="A24" s="52">
        <f t="shared" si="16"/>
        <v>11</v>
      </c>
      <c r="C24" s="1005">
        <v>4.5220000000000003E-2</v>
      </c>
      <c r="D24" s="1005">
        <v>5.8999999999999997E-2</v>
      </c>
      <c r="E24" s="59">
        <v>8</v>
      </c>
      <c r="F24" s="59"/>
      <c r="G24" s="59">
        <v>8</v>
      </c>
      <c r="H24" s="231">
        <f t="shared" si="0"/>
        <v>5113.8961704999974</v>
      </c>
      <c r="I24" s="231">
        <f t="shared" si="1"/>
        <v>20944.262097499992</v>
      </c>
      <c r="J24" s="231">
        <f t="shared" si="2"/>
        <v>22861.143370850001</v>
      </c>
      <c r="K24" s="27">
        <f t="shared" si="3"/>
        <v>25374.694522700054</v>
      </c>
      <c r="L24" s="27">
        <f t="shared" si="4"/>
        <v>26730.183553516606</v>
      </c>
      <c r="M24" s="27">
        <f t="shared" si="5"/>
        <v>37146.392906708308</v>
      </c>
      <c r="N24" s="27">
        <f t="shared" si="6"/>
        <v>1585525.2834270832</v>
      </c>
      <c r="O24" s="231">
        <f t="shared" si="7"/>
        <v>1723695.8560488583</v>
      </c>
      <c r="P24" s="794">
        <f>'202308 Bk Depr'!L36</f>
        <v>93318.23000000001</v>
      </c>
      <c r="Q24" s="794">
        <f>'202308 Bk Depr'!P18</f>
        <v>192709.58852250001</v>
      </c>
      <c r="R24" s="231">
        <f t="shared" si="8"/>
        <v>1624304.4975263583</v>
      </c>
      <c r="S24" s="231">
        <f t="shared" si="9"/>
        <v>341103.94448053523</v>
      </c>
      <c r="T24" s="231">
        <f t="shared" si="10"/>
        <v>81470.919684842913</v>
      </c>
      <c r="U24" s="231">
        <f t="shared" si="11"/>
        <v>-17108.893133817011</v>
      </c>
      <c r="V24" s="231">
        <v>-1071.9812942225108</v>
      </c>
      <c r="W24" s="231">
        <v>-26.585764175692322</v>
      </c>
      <c r="X24" s="27"/>
      <c r="Y24" s="231">
        <f t="shared" si="12"/>
        <v>11287691.556147425</v>
      </c>
      <c r="Z24" s="231">
        <f t="shared" si="13"/>
        <v>404367.40397316217</v>
      </c>
      <c r="AA24" s="801" t="s">
        <v>353</v>
      </c>
      <c r="AB24" s="231">
        <f>AB23+Z24*123/365</f>
        <v>10450547.261273265</v>
      </c>
      <c r="AE24" s="156">
        <f>(((('202301 Bk Depr'!$L$18+'202302 Bk Depr'!$L$18+'202303 Bk Depr'!$L$18+'202304 Bk Depr'!$L$18+'202305 Bk Depr'!$L$18+'202306 Bk Depr'!$L$18+'202307 Bk Depr'!$L$18+'202308 Bk Depr'!$L$18-SUM('2023 Capital Budget'!$F$17:$M$17)-(1/12*$N$13))*$C$17))*8/12)-AE23-AE22-AE21-AE20-AE19-AE18-AE17</f>
        <v>20840.342593750007</v>
      </c>
      <c r="AF24" s="156">
        <f>SUM('2023 Capital Budget'!$F$17:$M$17)*8/12-AF23-AF22-AF21-AF20-AF19-AF18-AF17</f>
        <v>1564684.9408333332</v>
      </c>
      <c r="AG24" s="156">
        <f t="shared" si="14"/>
        <v>0</v>
      </c>
      <c r="AH24" s="156">
        <f t="shared" si="15"/>
        <v>1585525.2834270832</v>
      </c>
      <c r="AJ24" s="460"/>
    </row>
    <row r="25" spans="1:36">
      <c r="A25" s="52">
        <f t="shared" si="16"/>
        <v>12</v>
      </c>
      <c r="C25" s="1005">
        <v>4.462E-2</v>
      </c>
      <c r="D25" s="1005">
        <v>5.91E-2</v>
      </c>
      <c r="E25" s="59">
        <v>9</v>
      </c>
      <c r="F25" s="59"/>
      <c r="G25" s="59">
        <v>9</v>
      </c>
      <c r="H25" s="231">
        <f t="shared" si="0"/>
        <v>5113.8961704999974</v>
      </c>
      <c r="I25" s="231">
        <f t="shared" si="1"/>
        <v>20944.262097499992</v>
      </c>
      <c r="J25" s="231">
        <f t="shared" si="2"/>
        <v>22861.143370850001</v>
      </c>
      <c r="K25" s="27">
        <f t="shared" si="3"/>
        <v>25374.694522700054</v>
      </c>
      <c r="L25" s="27">
        <f t="shared" si="4"/>
        <v>26730.183553516606</v>
      </c>
      <c r="M25" s="27">
        <f t="shared" si="5"/>
        <v>37146.392906708308</v>
      </c>
      <c r="N25" s="27">
        <f t="shared" si="6"/>
        <v>1698373.994947918</v>
      </c>
      <c r="O25" s="231">
        <f t="shared" si="7"/>
        <v>1836544.5675696931</v>
      </c>
      <c r="P25" s="794">
        <f>'202309 Bk Depr'!L36</f>
        <v>100470.06999999999</v>
      </c>
      <c r="Q25" s="794">
        <f>'202309 Bk Depr'!P18</f>
        <v>197239.20275250002</v>
      </c>
      <c r="R25" s="231">
        <f t="shared" si="8"/>
        <v>1739775.4348171931</v>
      </c>
      <c r="S25" s="231">
        <f t="shared" si="9"/>
        <v>365352.84131161054</v>
      </c>
      <c r="T25" s="231">
        <f t="shared" si="10"/>
        <v>87244.466549384641</v>
      </c>
      <c r="U25" s="231">
        <f t="shared" si="11"/>
        <v>-18321.337975370774</v>
      </c>
      <c r="V25" s="231">
        <v>-1071.9812942225108</v>
      </c>
      <c r="W25" s="231">
        <v>-26.585764175692322</v>
      </c>
      <c r="X25" s="27"/>
      <c r="Y25" s="231">
        <f t="shared" si="12"/>
        <v>11720868.958974652</v>
      </c>
      <c r="Z25" s="231">
        <f t="shared" si="13"/>
        <v>433177.40282722749</v>
      </c>
      <c r="AA25" s="801" t="s">
        <v>354</v>
      </c>
      <c r="AB25" s="231">
        <f>AB24+Z25*93/365</f>
        <v>10560918.489938833</v>
      </c>
      <c r="AE25" s="156">
        <f>(((('202301 Bk Depr'!$L$18+'202302 Bk Depr'!$L$18+'202303 Bk Depr'!$L$18+'202304 Bk Depr'!$L$18+'202305 Bk Depr'!$L$18+'202306 Bk Depr'!$L$18+'202307 Bk Depr'!$L$18+'202308 Bk Depr'!$L$18+'202309 Bk Depr'!$L$18-SUM('2023 Capital Budget'!$F$17:$N$17)-(1/12*$N$13))*$C$17))*9/12)-AE24-AE23-AE22-AE21-AE20-AE19-AE18-AE17</f>
        <v>23478.215781249972</v>
      </c>
      <c r="AF25" s="156">
        <f>SUM('2023 Capital Budget'!$F$17:$N$17)*9/12-AF24-AF23-AF22-AF21-AF20-AF19-AF18-AF17</f>
        <v>1674895.779166668</v>
      </c>
      <c r="AG25" s="156">
        <f t="shared" si="14"/>
        <v>0</v>
      </c>
      <c r="AH25" s="156">
        <f t="shared" si="15"/>
        <v>1698373.994947918</v>
      </c>
      <c r="AJ25" s="460"/>
    </row>
    <row r="26" spans="1:36">
      <c r="A26" s="52">
        <f t="shared" si="16"/>
        <v>13</v>
      </c>
      <c r="C26" s="1005">
        <v>4.4609999999999997E-2</v>
      </c>
      <c r="D26" s="1005">
        <v>5.8999999999999997E-2</v>
      </c>
      <c r="E26" s="59">
        <v>10</v>
      </c>
      <c r="F26" s="59"/>
      <c r="G26" s="59">
        <v>10</v>
      </c>
      <c r="H26" s="231">
        <f t="shared" si="0"/>
        <v>5113.8961704999974</v>
      </c>
      <c r="I26" s="231">
        <f t="shared" si="1"/>
        <v>20944.262097499992</v>
      </c>
      <c r="J26" s="231">
        <f t="shared" si="2"/>
        <v>22861.143370850001</v>
      </c>
      <c r="K26" s="27">
        <f t="shared" si="3"/>
        <v>25374.694522700054</v>
      </c>
      <c r="L26" s="27">
        <f t="shared" si="4"/>
        <v>26730.183553516606</v>
      </c>
      <c r="M26" s="27">
        <f t="shared" si="5"/>
        <v>37146.392906708308</v>
      </c>
      <c r="N26" s="27">
        <f t="shared" si="6"/>
        <v>1898325.4014895833</v>
      </c>
      <c r="O26" s="231">
        <f t="shared" si="7"/>
        <v>2036495.9741113582</v>
      </c>
      <c r="P26" s="794">
        <f>'202310 Bk Depr'!L36</f>
        <v>96427.29</v>
      </c>
      <c r="Q26" s="794">
        <f>'202310 Bk Depr'!P18</f>
        <v>201828.69508500001</v>
      </c>
      <c r="R26" s="231">
        <f t="shared" si="8"/>
        <v>1931094.5690263582</v>
      </c>
      <c r="S26" s="231">
        <f t="shared" si="9"/>
        <v>405529.8594955352</v>
      </c>
      <c r="T26" s="231">
        <f t="shared" si="10"/>
        <v>96810.423259842923</v>
      </c>
      <c r="U26" s="231">
        <f t="shared" si="11"/>
        <v>-20330.188884567015</v>
      </c>
      <c r="V26" s="231">
        <v>-1071.9812942225108</v>
      </c>
      <c r="W26" s="231">
        <v>-26.585764175692322</v>
      </c>
      <c r="X26" s="27"/>
      <c r="Y26" s="231">
        <f t="shared" si="12"/>
        <v>12201780.485787066</v>
      </c>
      <c r="Z26" s="231">
        <f t="shared" si="13"/>
        <v>480911.52681241371</v>
      </c>
      <c r="AA26" s="801" t="s">
        <v>355</v>
      </c>
      <c r="AB26" s="231">
        <f>AB25+Z26*62/365</f>
        <v>10642607.571205599</v>
      </c>
      <c r="AE26" s="156">
        <f>(((('202301 Bk Depr'!$L$18+'202302 Bk Depr'!$L$18+'202303 Bk Depr'!$L$18+'202304 Bk Depr'!$L$18+'202305 Bk Depr'!$L$18+'202306 Bk Depr'!$L$18+'202307 Bk Depr'!$L$18+'202308 Bk Depr'!$L$18+'202309 Bk Depr'!$L$18+'202310 Bk Depr'!$L$18-SUM('2023 Capital Budget'!$F$17:$O$17)-(1/12*$N$13))*$C$17))*10/12)-AE25-AE24-AE23-AE22-AE21-AE20-AE19-AE18-AE17</f>
        <v>32363.255656249992</v>
      </c>
      <c r="AF26" s="156">
        <f>SUM('2023 Capital Budget'!$F$17:$O$17)*10/12-AF25-AF24-AF23-AF22-AF21-AF20-AF19-AF18-AF17</f>
        <v>1865962.1458333333</v>
      </c>
      <c r="AG26" s="156">
        <f t="shared" si="14"/>
        <v>0</v>
      </c>
      <c r="AH26" s="156">
        <f t="shared" si="15"/>
        <v>1898325.4014895833</v>
      </c>
      <c r="AJ26" s="460"/>
    </row>
    <row r="27" spans="1:36">
      <c r="A27" s="52">
        <f t="shared" si="16"/>
        <v>14</v>
      </c>
      <c r="C27" s="1005">
        <v>4.462E-2</v>
      </c>
      <c r="D27" s="1005">
        <v>5.91E-2</v>
      </c>
      <c r="E27" s="59">
        <v>11</v>
      </c>
      <c r="F27" s="59"/>
      <c r="G27" s="59">
        <v>11</v>
      </c>
      <c r="H27" s="231">
        <f t="shared" si="0"/>
        <v>5113.8961704999974</v>
      </c>
      <c r="I27" s="231">
        <f t="shared" si="1"/>
        <v>20944.262097499992</v>
      </c>
      <c r="J27" s="231">
        <f t="shared" si="2"/>
        <v>22861.143370850001</v>
      </c>
      <c r="K27" s="27">
        <f t="shared" si="3"/>
        <v>25374.694522700054</v>
      </c>
      <c r="L27" s="27">
        <f t="shared" si="4"/>
        <v>26730.183553516606</v>
      </c>
      <c r="M27" s="27">
        <f t="shared" si="5"/>
        <v>37146.392906708308</v>
      </c>
      <c r="N27" s="27">
        <f t="shared" si="6"/>
        <v>2465159.7832916654</v>
      </c>
      <c r="O27" s="231">
        <f t="shared" si="7"/>
        <v>2603330.3559134402</v>
      </c>
      <c r="P27" s="794">
        <f>'202311 Bk Depr'!L36</f>
        <v>58439.21</v>
      </c>
      <c r="Q27" s="794">
        <f>'202311 Bk Depr'!P18</f>
        <v>207153.58275900004</v>
      </c>
      <c r="R27" s="231">
        <f t="shared" si="8"/>
        <v>2454615.9831544403</v>
      </c>
      <c r="S27" s="231">
        <f t="shared" si="9"/>
        <v>515469.35646243242</v>
      </c>
      <c r="T27" s="231">
        <f t="shared" si="10"/>
        <v>122986.49396624703</v>
      </c>
      <c r="U27" s="231">
        <f t="shared" si="11"/>
        <v>-25827.163732911875</v>
      </c>
      <c r="V27" s="231">
        <v>-1071.9812942225108</v>
      </c>
      <c r="W27" s="231">
        <v>-26.585764175692322</v>
      </c>
      <c r="X27" s="880">
        <f>'Base Rate Retirements 2023'!N46</f>
        <v>-32194.76</v>
      </c>
      <c r="Y27" s="231">
        <f t="shared" si="12"/>
        <v>12781115.845424436</v>
      </c>
      <c r="Z27" s="231">
        <f t="shared" si="13"/>
        <v>579335.35963737033</v>
      </c>
      <c r="AA27" s="801" t="s">
        <v>351</v>
      </c>
      <c r="AB27" s="231">
        <f>AB26+Z27*32/365</f>
        <v>10693398.616434081</v>
      </c>
      <c r="AE27" s="156">
        <f>(((('202301 Bk Depr'!$L$18+'202302 Bk Depr'!$L$18+'202303 Bk Depr'!$L$18+'202304 Bk Depr'!$L$18+'202305 Bk Depr'!$L$18+'202306 Bk Depr'!$L$18+'202307 Bk Depr'!$L$18+'202308 Bk Depr'!$L$18+'202309 Bk Depr'!$L$18+'202310 Bk Depr'!$L$18+'202311 Bk Depr'!$L$18-SUM('2023 Capital Budget'!$F$17:$P$17)-(1/12*$N$13))*$C$17))*11/12)-AE26-AE25-AE24-AE23-AE22-AE21-AE20-AE19-AE18-AE17</f>
        <v>34507.426625000051</v>
      </c>
      <c r="AF27" s="156">
        <f>SUM('2023 Capital Budget'!$F$17:$P$17)*11/12-AF26-AF25-AF24-AF23-AF22-AF21-AF20-AF19-AF18-AF17</f>
        <v>2430652.3566666655</v>
      </c>
      <c r="AG27" s="156">
        <f t="shared" si="14"/>
        <v>0</v>
      </c>
      <c r="AH27" s="156">
        <f t="shared" si="15"/>
        <v>2465159.7832916654</v>
      </c>
      <c r="AJ27" s="460"/>
    </row>
    <row r="28" spans="1:36">
      <c r="A28" s="52">
        <f t="shared" si="16"/>
        <v>15</v>
      </c>
      <c r="C28" s="1005">
        <v>4.4609999999999997E-2</v>
      </c>
      <c r="D28" s="1005">
        <v>5.8999999999999997E-2</v>
      </c>
      <c r="E28" s="59">
        <v>12</v>
      </c>
      <c r="F28" s="59"/>
      <c r="G28" s="59">
        <v>12</v>
      </c>
      <c r="H28" s="231">
        <f t="shared" si="0"/>
        <v>5113.8961704999974</v>
      </c>
      <c r="I28" s="231">
        <f t="shared" si="1"/>
        <v>20944.262097499992</v>
      </c>
      <c r="J28" s="231">
        <f t="shared" si="2"/>
        <v>22861.143370850001</v>
      </c>
      <c r="K28" s="27">
        <f t="shared" si="3"/>
        <v>25374.694522700054</v>
      </c>
      <c r="L28" s="27">
        <f t="shared" si="4"/>
        <v>26730.183553516606</v>
      </c>
      <c r="M28" s="27">
        <f t="shared" si="5"/>
        <v>37146.392906708308</v>
      </c>
      <c r="N28" s="27">
        <f t="shared" si="6"/>
        <v>2129855.5525624985</v>
      </c>
      <c r="O28" s="231">
        <f t="shared" si="7"/>
        <v>2268026.1251842733</v>
      </c>
      <c r="P28" s="794">
        <f>'202312 Bk Depr'!L36</f>
        <v>36579.94</v>
      </c>
      <c r="Q28" s="794">
        <f>'202312 Bk Depr'!P18</f>
        <v>212147.01365400004</v>
      </c>
      <c r="R28" s="231">
        <f t="shared" si="8"/>
        <v>2092459.0515302732</v>
      </c>
      <c r="S28" s="231">
        <f t="shared" si="9"/>
        <v>439416.40082135733</v>
      </c>
      <c r="T28" s="231">
        <f t="shared" si="10"/>
        <v>104878.64738503867</v>
      </c>
      <c r="U28" s="231">
        <f t="shared" si="11"/>
        <v>-22024.51595085812</v>
      </c>
      <c r="V28" s="231">
        <v>-1071.9812942225108</v>
      </c>
      <c r="W28" s="231">
        <v>-26.585764175692322</v>
      </c>
      <c r="X28" s="27"/>
      <c r="Y28" s="231">
        <f t="shared" si="12"/>
        <v>13302287.810621576</v>
      </c>
      <c r="Z28" s="231">
        <f t="shared" si="13"/>
        <v>521171.96519714035</v>
      </c>
      <c r="AA28" s="801" t="s">
        <v>350</v>
      </c>
      <c r="AB28" s="231">
        <f>AB27+Z28*1/365</f>
        <v>10694826.484831881</v>
      </c>
      <c r="AE28" s="156">
        <f>(((('202301 Bk Depr'!$L$18+'202302 Bk Depr'!$L$18+'202303 Bk Depr'!$L$18+'202304 Bk Depr'!$L$18+'202305 Bk Depr'!$L$18+'202306 Bk Depr'!$L$18+'202307 Bk Depr'!$L$18+'202308 Bk Depr'!$L$18+'202309 Bk Depr'!$L$18+'202310 Bk Depr'!$L$18+'202311 Bk Depr'!$L$18+'202312 Bk Depr'!$L$18-SUM('2023 Capital Budget'!$F$17:$Q$17)-(1/12*$N$13))*$C$17))*12/12)-AE27-AE26-AE25-AE24-AE23-AE22-AE21-AE20-AE19-AE18-AE17</f>
        <v>38247.257562500017</v>
      </c>
      <c r="AF28" s="156">
        <f>SUM('2023 Capital Budget'!$F$17:$Q$17)*12/12-AF27-AF26-AF25-AF24-AF23-AF22-AF21-AF20-AF19-AF18-AF17</f>
        <v>2091608.2949999983</v>
      </c>
      <c r="AG28" s="156">
        <f t="shared" si="14"/>
        <v>0</v>
      </c>
      <c r="AH28" s="156">
        <f t="shared" si="15"/>
        <v>2129855.5525624985</v>
      </c>
      <c r="AJ28" s="460"/>
    </row>
    <row r="29" spans="1:36">
      <c r="A29" s="52">
        <f t="shared" si="16"/>
        <v>16</v>
      </c>
      <c r="C29" s="1005">
        <v>4.462E-2</v>
      </c>
      <c r="D29" s="1005">
        <v>5.91E-2</v>
      </c>
      <c r="E29" s="59">
        <v>13</v>
      </c>
      <c r="F29" s="59"/>
      <c r="G29" s="5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 t="str">
        <f t="shared" ref="X29:X37" si="17">IF(U29="","",U29*0.389)</f>
        <v/>
      </c>
      <c r="Y29" s="62"/>
      <c r="AB29" s="27"/>
    </row>
    <row r="30" spans="1:36">
      <c r="A30" s="52">
        <f t="shared" si="16"/>
        <v>17</v>
      </c>
      <c r="C30" s="1005">
        <v>4.4609999999999997E-2</v>
      </c>
      <c r="D30" s="1005">
        <v>5.8999999999999997E-2</v>
      </c>
      <c r="E30" s="59">
        <v>14</v>
      </c>
      <c r="F30" s="59"/>
      <c r="G30" s="5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 t="str">
        <f t="shared" si="17"/>
        <v/>
      </c>
      <c r="Y30" s="27" t="str">
        <f t="shared" ref="Y30:Y37" si="18">IF(S30="","",Y29+S30)</f>
        <v/>
      </c>
      <c r="AJ30" s="799"/>
    </row>
    <row r="31" spans="1:36">
      <c r="A31" s="52">
        <f t="shared" si="16"/>
        <v>18</v>
      </c>
      <c r="C31" s="1005">
        <v>4.462E-2</v>
      </c>
      <c r="D31" s="1005">
        <v>5.91E-2</v>
      </c>
      <c r="E31" s="59">
        <v>15</v>
      </c>
      <c r="F31" s="59"/>
      <c r="G31" s="5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 t="str">
        <f t="shared" si="17"/>
        <v/>
      </c>
      <c r="Y31" s="27" t="str">
        <f t="shared" si="18"/>
        <v/>
      </c>
    </row>
    <row r="32" spans="1:36">
      <c r="A32" s="52">
        <f t="shared" si="16"/>
        <v>19</v>
      </c>
      <c r="C32" s="1005">
        <v>4.4609999999999997E-2</v>
      </c>
      <c r="D32" s="1005">
        <v>2.9499999999999998E-2</v>
      </c>
      <c r="E32" s="59">
        <v>16</v>
      </c>
      <c r="F32" s="59"/>
      <c r="G32" s="5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 t="str">
        <f t="shared" si="17"/>
        <v/>
      </c>
      <c r="Y32" s="27" t="str">
        <f t="shared" si="18"/>
        <v/>
      </c>
    </row>
    <row r="33" spans="1:36">
      <c r="A33" s="52">
        <f t="shared" si="16"/>
        <v>20</v>
      </c>
      <c r="C33" s="1005">
        <v>4.462E-2</v>
      </c>
      <c r="D33" s="1005">
        <v>0</v>
      </c>
      <c r="E33" s="59">
        <v>17</v>
      </c>
      <c r="F33" s="59"/>
      <c r="G33" s="5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 t="str">
        <f t="shared" si="17"/>
        <v/>
      </c>
      <c r="Y33" s="27" t="str">
        <f t="shared" si="18"/>
        <v/>
      </c>
    </row>
    <row r="34" spans="1:36">
      <c r="A34" s="52">
        <f t="shared" si="16"/>
        <v>21</v>
      </c>
      <c r="C34" s="1005">
        <v>4.4609999999999997E-2</v>
      </c>
      <c r="D34" s="1005">
        <v>0</v>
      </c>
      <c r="E34" s="59">
        <v>18</v>
      </c>
      <c r="F34" s="59"/>
      <c r="G34" s="5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 t="str">
        <f t="shared" si="17"/>
        <v/>
      </c>
      <c r="Y34" s="27" t="str">
        <f t="shared" si="18"/>
        <v/>
      </c>
    </row>
    <row r="35" spans="1:36">
      <c r="A35" s="52">
        <f t="shared" si="16"/>
        <v>22</v>
      </c>
      <c r="C35" s="1005">
        <v>4.462E-2</v>
      </c>
      <c r="D35" s="1005">
        <v>0</v>
      </c>
      <c r="E35" s="59">
        <v>19</v>
      </c>
      <c r="F35" s="59"/>
      <c r="G35" s="5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 t="str">
        <f t="shared" si="17"/>
        <v/>
      </c>
      <c r="Y35" s="27" t="str">
        <f t="shared" si="18"/>
        <v/>
      </c>
    </row>
    <row r="36" spans="1:36">
      <c r="A36" s="52">
        <f t="shared" si="16"/>
        <v>23</v>
      </c>
      <c r="C36" s="1005">
        <v>4.4609999999999997E-2</v>
      </c>
      <c r="D36" s="1005">
        <v>0</v>
      </c>
      <c r="E36" s="59">
        <v>20</v>
      </c>
      <c r="F36" s="59"/>
      <c r="G36" s="5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 t="str">
        <f t="shared" si="17"/>
        <v/>
      </c>
      <c r="Y36" s="27" t="str">
        <f t="shared" si="18"/>
        <v/>
      </c>
    </row>
    <row r="37" spans="1:36">
      <c r="A37" s="52">
        <f t="shared" si="16"/>
        <v>24</v>
      </c>
      <c r="C37" s="1005">
        <v>2.231E-2</v>
      </c>
      <c r="D37" s="1005">
        <v>0</v>
      </c>
      <c r="E37" s="59">
        <v>21</v>
      </c>
      <c r="F37" s="59"/>
      <c r="G37" s="5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 t="str">
        <f t="shared" si="17"/>
        <v/>
      </c>
      <c r="Y37" s="27" t="str">
        <f t="shared" si="18"/>
        <v/>
      </c>
    </row>
    <row r="38" spans="1:36">
      <c r="A38" s="52">
        <f t="shared" si="16"/>
        <v>25</v>
      </c>
      <c r="H38" s="1134">
        <f t="shared" ref="H38:U38" si="19">SUM(H17:H37)</f>
        <v>61366.754045999965</v>
      </c>
      <c r="I38" s="1134">
        <f t="shared" si="19"/>
        <v>251331.14516999995</v>
      </c>
      <c r="J38" s="1134">
        <f t="shared" si="19"/>
        <v>274333.72045020008</v>
      </c>
      <c r="K38" s="1134">
        <f t="shared" si="19"/>
        <v>304496.33427240059</v>
      </c>
      <c r="L38" s="1134">
        <f t="shared" si="19"/>
        <v>320762.20264219935</v>
      </c>
      <c r="M38" s="1134">
        <f t="shared" si="19"/>
        <v>445756.71488049958</v>
      </c>
      <c r="N38" s="1134">
        <f t="shared" si="19"/>
        <v>14630736.067625001</v>
      </c>
      <c r="O38" s="1134">
        <f t="shared" si="19"/>
        <v>16288782.939086298</v>
      </c>
      <c r="P38" s="1134">
        <f t="shared" si="19"/>
        <v>1153591.7799999998</v>
      </c>
      <c r="Q38" s="1134">
        <f t="shared" si="19"/>
        <v>2230094.4274350004</v>
      </c>
      <c r="R38" s="1134">
        <f t="shared" si="19"/>
        <v>15212280.291651299</v>
      </c>
      <c r="S38" s="1134">
        <f t="shared" si="19"/>
        <v>3194578.861246773</v>
      </c>
      <c r="T38" s="1134">
        <f t="shared" si="19"/>
        <v>763682.35228486499</v>
      </c>
      <c r="U38" s="1134">
        <f t="shared" si="19"/>
        <v>-160373.29397982164</v>
      </c>
      <c r="V38" s="1134">
        <f t="shared" ref="V38:W38" si="20">SUM(V17:V37)</f>
        <v>-12863.775530670129</v>
      </c>
      <c r="W38" s="1134">
        <f t="shared" si="20"/>
        <v>-319.02917010830788</v>
      </c>
      <c r="X38" s="1134">
        <f>SUM(X17:X37)</f>
        <v>-32195.149999999998</v>
      </c>
      <c r="Y38" s="1134">
        <f>AVERAGE(Y16:Y28)</f>
        <v>10879551.187224071</v>
      </c>
      <c r="AB38" s="1134">
        <f>AB28</f>
        <v>10694826.484831881</v>
      </c>
      <c r="AE38" s="1134">
        <f>SUM(AE17:AE28)</f>
        <v>220106.05762500004</v>
      </c>
      <c r="AF38" s="1134">
        <f t="shared" ref="AF38:AH38" si="21">SUM(AF17:AF28)</f>
        <v>14410630.009999998</v>
      </c>
      <c r="AG38" s="27"/>
      <c r="AH38" s="1134">
        <f t="shared" si="21"/>
        <v>14630736.067625001</v>
      </c>
    </row>
    <row r="39" spans="1:36">
      <c r="H39" s="27"/>
      <c r="I39" s="27"/>
      <c r="J39" s="27"/>
      <c r="K39" s="27"/>
      <c r="L39" s="27"/>
      <c r="M39" s="27"/>
      <c r="N39" s="27"/>
      <c r="O39" s="27"/>
      <c r="P39" s="27"/>
      <c r="Q39" s="27"/>
      <c r="Y39" s="27"/>
    </row>
    <row r="40" spans="1:36">
      <c r="B40" s="60" t="s">
        <v>163</v>
      </c>
      <c r="C40" s="52" t="s">
        <v>858</v>
      </c>
      <c r="T40" s="27"/>
      <c r="U40" s="27"/>
      <c r="V40" s="27"/>
      <c r="W40" s="27"/>
      <c r="X40" s="27"/>
    </row>
    <row r="41" spans="1:36">
      <c r="B41" s="60" t="s">
        <v>164</v>
      </c>
      <c r="C41" s="52" t="s">
        <v>857</v>
      </c>
      <c r="T41" s="54"/>
      <c r="U41" s="54"/>
      <c r="V41" s="54"/>
      <c r="W41" s="54"/>
      <c r="X41" s="54"/>
      <c r="AE41" s="27"/>
      <c r="AF41" s="27"/>
      <c r="AJ41" s="1132"/>
    </row>
    <row r="42" spans="1:36">
      <c r="B42" s="60" t="s">
        <v>165</v>
      </c>
      <c r="C42" s="52" t="s">
        <v>856</v>
      </c>
      <c r="D42" s="245"/>
      <c r="T42" s="48"/>
      <c r="U42" s="48"/>
      <c r="V42" s="48"/>
      <c r="W42" s="48"/>
      <c r="X42" s="48"/>
      <c r="AE42" s="1133"/>
      <c r="AF42" s="1133"/>
    </row>
    <row r="43" spans="1:36">
      <c r="B43" s="60" t="s">
        <v>174</v>
      </c>
      <c r="C43" s="52" t="s">
        <v>855</v>
      </c>
      <c r="D43" s="245"/>
      <c r="T43" s="48"/>
      <c r="U43" s="48"/>
      <c r="V43" s="48"/>
      <c r="W43" s="48"/>
      <c r="X43" s="48"/>
    </row>
    <row r="44" spans="1:36">
      <c r="B44" s="60" t="s">
        <v>210</v>
      </c>
      <c r="C44" s="52" t="s">
        <v>854</v>
      </c>
      <c r="D44" s="245"/>
      <c r="T44" s="48"/>
      <c r="U44" s="48"/>
      <c r="V44" s="48"/>
      <c r="W44" s="48"/>
      <c r="X44" s="48"/>
    </row>
    <row r="45" spans="1:36">
      <c r="B45" s="60" t="s">
        <v>225</v>
      </c>
      <c r="C45" s="52" t="s">
        <v>853</v>
      </c>
      <c r="D45" s="245"/>
      <c r="T45" s="48"/>
      <c r="U45" s="48"/>
      <c r="V45" s="48"/>
      <c r="W45" s="48"/>
      <c r="X45" s="48"/>
    </row>
    <row r="46" spans="1:36">
      <c r="B46" s="60" t="s">
        <v>848</v>
      </c>
      <c r="C46" s="52" t="s">
        <v>852</v>
      </c>
      <c r="D46" s="245"/>
      <c r="T46" s="48"/>
      <c r="U46" s="48"/>
      <c r="V46" s="48"/>
      <c r="W46" s="48"/>
      <c r="X46" s="48"/>
    </row>
    <row r="47" spans="1:36">
      <c r="A47" s="54"/>
      <c r="D47" s="54" t="s">
        <v>24</v>
      </c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49"/>
      <c r="U47" s="49"/>
      <c r="V47" s="49"/>
      <c r="W47" s="49"/>
      <c r="X47" s="49"/>
      <c r="Y47" s="54"/>
    </row>
    <row r="48" spans="1:36" ht="25.5">
      <c r="A48" s="54"/>
      <c r="B48" s="54"/>
      <c r="C48" s="55"/>
      <c r="D48" s="54" t="s">
        <v>25</v>
      </c>
      <c r="E48" s="55" t="s">
        <v>555</v>
      </c>
      <c r="F48" s="54"/>
      <c r="G48" s="54"/>
      <c r="H48" s="54"/>
      <c r="I48" s="54"/>
      <c r="J48" s="54"/>
      <c r="K48" s="54"/>
      <c r="L48" s="54"/>
      <c r="M48" s="54"/>
      <c r="N48" s="54"/>
      <c r="O48" s="54" t="s">
        <v>3</v>
      </c>
      <c r="P48" s="54" t="s">
        <v>35</v>
      </c>
      <c r="Q48" s="54"/>
      <c r="R48" s="54"/>
      <c r="S48" s="55" t="s">
        <v>179</v>
      </c>
      <c r="Y48" s="49"/>
    </row>
    <row r="49" spans="1:25">
      <c r="A49" s="54" t="s">
        <v>4</v>
      </c>
      <c r="B49" s="54"/>
      <c r="C49" s="54"/>
      <c r="D49" s="54" t="s">
        <v>26</v>
      </c>
      <c r="E49" s="54" t="s">
        <v>556</v>
      </c>
      <c r="F49" s="54"/>
      <c r="G49" s="54"/>
      <c r="H49" s="886">
        <v>2017</v>
      </c>
      <c r="I49" s="886">
        <v>2018</v>
      </c>
      <c r="J49" s="886">
        <v>2019</v>
      </c>
      <c r="K49" s="886">
        <v>2020</v>
      </c>
      <c r="L49" s="886">
        <v>2021</v>
      </c>
      <c r="M49" s="886">
        <v>2022</v>
      </c>
      <c r="N49" s="886">
        <v>2023</v>
      </c>
      <c r="O49" s="54" t="s">
        <v>34</v>
      </c>
      <c r="P49" s="54" t="s">
        <v>36</v>
      </c>
      <c r="Q49" s="54" t="s">
        <v>38</v>
      </c>
      <c r="R49" s="54"/>
      <c r="S49" s="54" t="s">
        <v>34</v>
      </c>
      <c r="Y49" s="49"/>
    </row>
    <row r="50" spans="1:25">
      <c r="A50" s="798" t="s">
        <v>5</v>
      </c>
      <c r="B50" s="798"/>
      <c r="C50" s="798"/>
      <c r="D50" s="798" t="s">
        <v>2</v>
      </c>
      <c r="E50" s="798" t="s">
        <v>557</v>
      </c>
      <c r="F50" s="798"/>
      <c r="G50" s="798" t="s">
        <v>105</v>
      </c>
      <c r="H50" s="885" t="s">
        <v>20</v>
      </c>
      <c r="I50" s="885" t="s">
        <v>20</v>
      </c>
      <c r="J50" s="885" t="s">
        <v>20</v>
      </c>
      <c r="K50" s="885" t="s">
        <v>20</v>
      </c>
      <c r="L50" s="885" t="s">
        <v>20</v>
      </c>
      <c r="M50" s="885" t="s">
        <v>1045</v>
      </c>
      <c r="N50" s="885" t="s">
        <v>20</v>
      </c>
      <c r="O50" s="798" t="s">
        <v>0</v>
      </c>
      <c r="P50" s="798" t="s">
        <v>37</v>
      </c>
      <c r="Q50" s="798" t="s">
        <v>0</v>
      </c>
      <c r="R50" s="798" t="s">
        <v>39</v>
      </c>
      <c r="S50" s="56" t="s">
        <v>453</v>
      </c>
      <c r="Y50" s="49"/>
    </row>
    <row r="51" spans="1:25">
      <c r="C51" s="57"/>
      <c r="D51" s="57" t="s">
        <v>69</v>
      </c>
      <c r="E51" s="57"/>
      <c r="F51" s="58"/>
      <c r="G51" s="58"/>
      <c r="H51" s="884" t="s">
        <v>163</v>
      </c>
      <c r="I51" s="884" t="s">
        <v>164</v>
      </c>
      <c r="J51" s="884" t="s">
        <v>165</v>
      </c>
      <c r="K51" s="884" t="s">
        <v>174</v>
      </c>
      <c r="L51" s="884" t="s">
        <v>210</v>
      </c>
      <c r="M51" s="884" t="s">
        <v>225</v>
      </c>
      <c r="N51" s="884" t="s">
        <v>848</v>
      </c>
      <c r="Y51" s="50"/>
    </row>
    <row r="52" spans="1:25">
      <c r="A52" s="52">
        <v>1</v>
      </c>
      <c r="C52" s="57" t="s">
        <v>68</v>
      </c>
      <c r="D52" s="59"/>
      <c r="E52" s="57"/>
      <c r="H52" s="27">
        <f>H11+H13</f>
        <v>2510914.6499999994</v>
      </c>
      <c r="I52" s="27">
        <f>I11+I13</f>
        <v>4755556.1999999983</v>
      </c>
      <c r="J52" s="27">
        <f t="shared" ref="J52:N53" si="22">J11</f>
        <v>4801920.54</v>
      </c>
      <c r="K52" s="27">
        <f t="shared" si="22"/>
        <v>4929518.1200000104</v>
      </c>
      <c r="L52" s="27">
        <f t="shared" si="22"/>
        <v>4803986.8599999901</v>
      </c>
      <c r="M52" s="27">
        <f t="shared" si="22"/>
        <v>6174770.9499999955</v>
      </c>
      <c r="N52" s="27">
        <f t="shared" si="22"/>
        <v>5869494.8700000001</v>
      </c>
      <c r="O52" s="62"/>
      <c r="Y52" s="50"/>
    </row>
    <row r="53" spans="1:25">
      <c r="A53" s="52">
        <v>2</v>
      </c>
      <c r="C53" s="57" t="s">
        <v>72</v>
      </c>
      <c r="D53" s="59"/>
      <c r="E53" s="57"/>
      <c r="H53" s="27">
        <f>H12</f>
        <v>2278129.7400000002</v>
      </c>
      <c r="I53" s="27">
        <f>I12</f>
        <v>5069750.870000002</v>
      </c>
      <c r="J53" s="27">
        <f t="shared" si="22"/>
        <v>6475425.9099999992</v>
      </c>
      <c r="K53" s="27">
        <f t="shared" si="22"/>
        <v>4720575.92</v>
      </c>
      <c r="L53" s="27">
        <f t="shared" si="22"/>
        <v>4028678.0700000003</v>
      </c>
      <c r="M53" s="27">
        <f t="shared" si="22"/>
        <v>8518992.4499999993</v>
      </c>
      <c r="N53" s="27">
        <f t="shared" si="22"/>
        <v>14410630.010000002</v>
      </c>
      <c r="Y53" s="50"/>
    </row>
    <row r="54" spans="1:25">
      <c r="A54" s="52">
        <v>3</v>
      </c>
      <c r="C54" s="57" t="s">
        <v>182</v>
      </c>
      <c r="D54" s="59"/>
      <c r="E54" s="57"/>
      <c r="H54" s="882" t="s">
        <v>394</v>
      </c>
      <c r="I54" s="882" t="s">
        <v>394</v>
      </c>
      <c r="J54" s="882" t="s">
        <v>394</v>
      </c>
      <c r="K54" s="882" t="s">
        <v>394</v>
      </c>
      <c r="L54" s="882" t="s">
        <v>394</v>
      </c>
      <c r="M54" s="882" t="s">
        <v>394</v>
      </c>
      <c r="N54" s="882" t="s">
        <v>394</v>
      </c>
      <c r="Y54" s="50"/>
    </row>
    <row r="55" spans="1:25">
      <c r="C55" s="59"/>
      <c r="E55" s="59"/>
      <c r="Y55" s="50"/>
    </row>
    <row r="56" spans="1:25">
      <c r="C56" s="54" t="s">
        <v>561</v>
      </c>
      <c r="H56" s="195"/>
      <c r="I56" s="195"/>
      <c r="J56" s="195"/>
      <c r="K56" s="195"/>
      <c r="L56" s="195"/>
      <c r="M56" s="195"/>
      <c r="N56" s="195"/>
      <c r="O56" s="195"/>
      <c r="P56" s="195"/>
      <c r="Q56" s="244"/>
      <c r="Y56" s="50"/>
    </row>
    <row r="57" spans="1:25">
      <c r="C57" s="54" t="s">
        <v>562</v>
      </c>
      <c r="H57" s="884" t="s">
        <v>163</v>
      </c>
      <c r="I57" s="884" t="s">
        <v>164</v>
      </c>
      <c r="J57" s="884" t="s">
        <v>165</v>
      </c>
      <c r="K57" s="884" t="s">
        <v>174</v>
      </c>
      <c r="L57" s="884" t="s">
        <v>210</v>
      </c>
      <c r="M57" s="884" t="s">
        <v>225</v>
      </c>
      <c r="N57" s="884" t="s">
        <v>848</v>
      </c>
      <c r="Y57" s="51"/>
    </row>
    <row r="58" spans="1:25">
      <c r="A58" s="52">
        <f>A54+1</f>
        <v>4</v>
      </c>
      <c r="C58" s="61">
        <v>3.7499999999999999E-2</v>
      </c>
      <c r="D58" s="61">
        <v>0.05</v>
      </c>
      <c r="E58" s="59">
        <v>1</v>
      </c>
      <c r="F58" s="59"/>
      <c r="G58" s="59">
        <v>1</v>
      </c>
      <c r="H58" s="27">
        <f>$H$52*$C$64/12</f>
        <v>10227.792340999998</v>
      </c>
      <c r="I58" s="27">
        <f>$I$52*$C$63/12</f>
        <v>20944.262097499992</v>
      </c>
      <c r="J58" s="27">
        <f>$J$52*$C$62/12</f>
        <v>22861.143370850001</v>
      </c>
      <c r="K58" s="27">
        <f>$K$52*$C$61/12</f>
        <v>25374.694522700054</v>
      </c>
      <c r="L58" s="27">
        <f>$L$52*$C$60/12</f>
        <v>26730.183553516606</v>
      </c>
      <c r="M58" s="27">
        <f>$M$52*$C$59/12</f>
        <v>37146.392906708308</v>
      </c>
      <c r="N58" s="27">
        <f t="shared" ref="N58:N69" si="23">N17</f>
        <v>80232.82557291667</v>
      </c>
      <c r="O58" s="27">
        <f>SUM(H58:N58)</f>
        <v>223517.2943651916</v>
      </c>
      <c r="P58" s="231">
        <f t="shared" ref="P58:Q69" si="24">P17</f>
        <v>94122.400000000009</v>
      </c>
      <c r="Q58" s="231">
        <f t="shared" si="24"/>
        <v>161381.65674600002</v>
      </c>
      <c r="R58" s="27">
        <f>O58+P58-Q58</f>
        <v>156258.0376191916</v>
      </c>
      <c r="S58" s="27">
        <f>R58*0.05</f>
        <v>7812.90188095958</v>
      </c>
      <c r="Y58" s="51"/>
    </row>
    <row r="59" spans="1:25">
      <c r="A59" s="52">
        <f>A58+1</f>
        <v>5</v>
      </c>
      <c r="C59" s="61">
        <v>7.2190000000000004E-2</v>
      </c>
      <c r="D59" s="61">
        <v>9.5000000000000001E-2</v>
      </c>
      <c r="E59" s="59">
        <v>2</v>
      </c>
      <c r="F59" s="59"/>
      <c r="G59" s="59">
        <v>2</v>
      </c>
      <c r="H59" s="27">
        <f t="shared" ref="H59:H69" si="25">$H$52*$C$64/12</f>
        <v>10227.792340999998</v>
      </c>
      <c r="I59" s="27">
        <f t="shared" ref="I59:I69" si="26">$I$52*$C$63/12</f>
        <v>20944.262097499992</v>
      </c>
      <c r="J59" s="27">
        <f t="shared" ref="J59:J69" si="27">$J$52*$C$62/12</f>
        <v>22861.143370850001</v>
      </c>
      <c r="K59" s="27">
        <f t="shared" ref="K59:K69" si="28">$K$52*$C$61/12</f>
        <v>25374.694522700054</v>
      </c>
      <c r="L59" s="27">
        <f t="shared" ref="L59:L69" si="29">$L$52*$C$60/12</f>
        <v>26730.183553516606</v>
      </c>
      <c r="M59" s="27">
        <f t="shared" ref="M59:M69" si="30">$M$52*$C$59/12</f>
        <v>37146.392906708308</v>
      </c>
      <c r="N59" s="27">
        <f t="shared" si="23"/>
        <v>256440.87698958337</v>
      </c>
      <c r="O59" s="27">
        <f t="shared" ref="O59:O69" si="31">SUM(H59:N59)</f>
        <v>399725.34578185831</v>
      </c>
      <c r="P59" s="231">
        <f t="shared" si="24"/>
        <v>89208.409999999989</v>
      </c>
      <c r="Q59" s="231">
        <f t="shared" si="24"/>
        <v>165310.77959550003</v>
      </c>
      <c r="R59" s="27">
        <f t="shared" ref="R59:R69" si="32">O59+P59-Q59</f>
        <v>323622.97618635825</v>
      </c>
      <c r="S59" s="27">
        <f t="shared" ref="S59:S69" si="33">R59*0.05</f>
        <v>16181.148809317914</v>
      </c>
      <c r="Y59" s="51"/>
    </row>
    <row r="60" spans="1:25">
      <c r="A60" s="52">
        <f t="shared" ref="A60:A79" si="34">A59+1</f>
        <v>6</v>
      </c>
      <c r="C60" s="61">
        <v>6.6769999999999996E-2</v>
      </c>
      <c r="D60" s="61">
        <v>8.5500000000000007E-2</v>
      </c>
      <c r="E60" s="59">
        <v>3</v>
      </c>
      <c r="F60" s="59"/>
      <c r="G60" s="59">
        <v>3</v>
      </c>
      <c r="H60" s="27">
        <f t="shared" si="25"/>
        <v>10227.792340999998</v>
      </c>
      <c r="I60" s="27">
        <f t="shared" si="26"/>
        <v>20944.262097499992</v>
      </c>
      <c r="J60" s="27">
        <f t="shared" si="27"/>
        <v>22861.143370850001</v>
      </c>
      <c r="K60" s="27">
        <f t="shared" si="28"/>
        <v>25374.694522700054</v>
      </c>
      <c r="L60" s="27">
        <f t="shared" si="29"/>
        <v>26730.183553516606</v>
      </c>
      <c r="M60" s="27">
        <f t="shared" si="30"/>
        <v>37146.392906708308</v>
      </c>
      <c r="N60" s="27">
        <f t="shared" si="23"/>
        <v>428219.55881250004</v>
      </c>
      <c r="O60" s="27">
        <f t="shared" si="31"/>
        <v>571504.02760477504</v>
      </c>
      <c r="P60" s="231">
        <f t="shared" si="24"/>
        <v>93273.459999999992</v>
      </c>
      <c r="Q60" s="231">
        <f t="shared" si="24"/>
        <v>169352.81305650002</v>
      </c>
      <c r="R60" s="27">
        <f t="shared" si="32"/>
        <v>495424.67454827495</v>
      </c>
      <c r="S60" s="27">
        <f t="shared" si="33"/>
        <v>24771.23372741375</v>
      </c>
      <c r="Y60" s="51"/>
    </row>
    <row r="61" spans="1:25">
      <c r="A61" s="52">
        <f t="shared" si="34"/>
        <v>7</v>
      </c>
      <c r="C61" s="61">
        <v>6.1769999999999999E-2</v>
      </c>
      <c r="D61" s="61">
        <v>7.6999999999999999E-2</v>
      </c>
      <c r="E61" s="59">
        <v>4</v>
      </c>
      <c r="F61" s="59"/>
      <c r="G61" s="59">
        <v>4</v>
      </c>
      <c r="H61" s="27">
        <f t="shared" si="25"/>
        <v>10227.792340999998</v>
      </c>
      <c r="I61" s="27">
        <f t="shared" si="26"/>
        <v>20944.262097499992</v>
      </c>
      <c r="J61" s="27">
        <f t="shared" si="27"/>
        <v>22861.143370850001</v>
      </c>
      <c r="K61" s="27">
        <f t="shared" si="28"/>
        <v>25374.694522700054</v>
      </c>
      <c r="L61" s="27">
        <f t="shared" si="29"/>
        <v>26730.183553516606</v>
      </c>
      <c r="M61" s="27">
        <f t="shared" si="30"/>
        <v>37146.392906708308</v>
      </c>
      <c r="N61" s="27">
        <f t="shared" si="23"/>
        <v>664894.54941666697</v>
      </c>
      <c r="O61" s="27">
        <f t="shared" si="31"/>
        <v>808179.01820894191</v>
      </c>
      <c r="P61" s="231">
        <f t="shared" si="24"/>
        <v>71595.56</v>
      </c>
      <c r="Q61" s="231">
        <f t="shared" si="24"/>
        <v>173524.42771200003</v>
      </c>
      <c r="R61" s="27">
        <f t="shared" si="32"/>
        <v>706250.15049694199</v>
      </c>
      <c r="S61" s="27">
        <f t="shared" si="33"/>
        <v>35312.507524847104</v>
      </c>
      <c r="Y61" s="51"/>
    </row>
    <row r="62" spans="1:25">
      <c r="A62" s="52">
        <f t="shared" si="34"/>
        <v>8</v>
      </c>
      <c r="C62" s="61">
        <v>5.713E-2</v>
      </c>
      <c r="D62" s="61">
        <v>6.93E-2</v>
      </c>
      <c r="E62" s="59">
        <v>5</v>
      </c>
      <c r="F62" s="59"/>
      <c r="G62" s="59">
        <v>5</v>
      </c>
      <c r="H62" s="27">
        <f t="shared" si="25"/>
        <v>10227.792340999998</v>
      </c>
      <c r="I62" s="27">
        <f t="shared" si="26"/>
        <v>20944.262097499992</v>
      </c>
      <c r="J62" s="27">
        <f t="shared" si="27"/>
        <v>22861.143370850001</v>
      </c>
      <c r="K62" s="27">
        <f t="shared" si="28"/>
        <v>25374.694522700054</v>
      </c>
      <c r="L62" s="27">
        <f t="shared" si="29"/>
        <v>26730.183553516606</v>
      </c>
      <c r="M62" s="27">
        <f t="shared" si="30"/>
        <v>37146.392906708308</v>
      </c>
      <c r="N62" s="27">
        <f t="shared" si="23"/>
        <v>890155.78144791676</v>
      </c>
      <c r="O62" s="27">
        <f t="shared" si="31"/>
        <v>1033440.2502401917</v>
      </c>
      <c r="P62" s="231">
        <f t="shared" si="24"/>
        <v>85448.97</v>
      </c>
      <c r="Q62" s="231">
        <f t="shared" si="24"/>
        <v>178047.22401000003</v>
      </c>
      <c r="R62" s="27">
        <f t="shared" si="32"/>
        <v>940841.99623019178</v>
      </c>
      <c r="S62" s="27">
        <f t="shared" si="33"/>
        <v>47042.099811509594</v>
      </c>
      <c r="Y62" s="51"/>
    </row>
    <row r="63" spans="1:25">
      <c r="A63" s="52">
        <f t="shared" si="34"/>
        <v>9</v>
      </c>
      <c r="C63" s="61">
        <v>5.2850000000000001E-2</v>
      </c>
      <c r="D63" s="61">
        <v>6.2300000000000001E-2</v>
      </c>
      <c r="E63" s="59">
        <v>6</v>
      </c>
      <c r="F63" s="59"/>
      <c r="G63" s="59">
        <v>6</v>
      </c>
      <c r="H63" s="27">
        <f t="shared" si="25"/>
        <v>10227.792340999998</v>
      </c>
      <c r="I63" s="27">
        <f t="shared" si="26"/>
        <v>20944.262097499992</v>
      </c>
      <c r="J63" s="27">
        <f t="shared" si="27"/>
        <v>22861.143370850001</v>
      </c>
      <c r="K63" s="27">
        <f t="shared" si="28"/>
        <v>25374.694522700054</v>
      </c>
      <c r="L63" s="27">
        <f t="shared" si="29"/>
        <v>26730.183553516606</v>
      </c>
      <c r="M63" s="27">
        <f t="shared" si="30"/>
        <v>37146.392906708308</v>
      </c>
      <c r="N63" s="27">
        <f t="shared" si="23"/>
        <v>1222484.9855104168</v>
      </c>
      <c r="O63" s="27">
        <f t="shared" si="31"/>
        <v>1365769.4543026919</v>
      </c>
      <c r="P63" s="231">
        <f t="shared" si="24"/>
        <v>116425.45999999999</v>
      </c>
      <c r="Q63" s="231">
        <f t="shared" si="24"/>
        <v>183215.79344250003</v>
      </c>
      <c r="R63" s="27">
        <f t="shared" si="32"/>
        <v>1298979.1208601918</v>
      </c>
      <c r="S63" s="27">
        <f t="shared" si="33"/>
        <v>64948.956043009588</v>
      </c>
      <c r="Y63" s="51"/>
    </row>
    <row r="64" spans="1:25">
      <c r="A64" s="52">
        <f t="shared" si="34"/>
        <v>10</v>
      </c>
      <c r="C64" s="61">
        <v>4.888E-2</v>
      </c>
      <c r="D64" s="61">
        <v>5.8999999999999997E-2</v>
      </c>
      <c r="E64" s="59">
        <v>7</v>
      </c>
      <c r="F64" s="59"/>
      <c r="G64" s="59">
        <v>7</v>
      </c>
      <c r="H64" s="27">
        <f t="shared" si="25"/>
        <v>10227.792340999998</v>
      </c>
      <c r="I64" s="27">
        <f t="shared" si="26"/>
        <v>20944.262097499992</v>
      </c>
      <c r="J64" s="27">
        <f t="shared" si="27"/>
        <v>22861.143370850001</v>
      </c>
      <c r="K64" s="27">
        <f t="shared" si="28"/>
        <v>25374.694522700054</v>
      </c>
      <c r="L64" s="27">
        <f t="shared" si="29"/>
        <v>26730.183553516606</v>
      </c>
      <c r="M64" s="27">
        <f t="shared" si="30"/>
        <v>37146.392906708308</v>
      </c>
      <c r="N64" s="27">
        <f t="shared" si="23"/>
        <v>1311067.4741562505</v>
      </c>
      <c r="O64" s="27">
        <f t="shared" si="31"/>
        <v>1454351.9429485253</v>
      </c>
      <c r="P64" s="231">
        <f t="shared" si="24"/>
        <v>218282.77999999997</v>
      </c>
      <c r="Q64" s="231">
        <f t="shared" si="24"/>
        <v>188183.65009950002</v>
      </c>
      <c r="R64" s="27">
        <f t="shared" si="32"/>
        <v>1484451.0728490253</v>
      </c>
      <c r="S64" s="27">
        <f t="shared" si="33"/>
        <v>74222.553642451268</v>
      </c>
      <c r="Y64" s="51"/>
    </row>
    <row r="65" spans="1:25">
      <c r="A65" s="52">
        <f t="shared" si="34"/>
        <v>11</v>
      </c>
      <c r="C65" s="61">
        <v>4.5220000000000003E-2</v>
      </c>
      <c r="D65" s="61">
        <v>5.8999999999999997E-2</v>
      </c>
      <c r="E65" s="59">
        <v>8</v>
      </c>
      <c r="F65" s="59"/>
      <c r="G65" s="59">
        <v>8</v>
      </c>
      <c r="H65" s="27">
        <f t="shared" si="25"/>
        <v>10227.792340999998</v>
      </c>
      <c r="I65" s="27">
        <f t="shared" si="26"/>
        <v>20944.262097499992</v>
      </c>
      <c r="J65" s="27">
        <f t="shared" si="27"/>
        <v>22861.143370850001</v>
      </c>
      <c r="K65" s="27">
        <f t="shared" si="28"/>
        <v>25374.694522700054</v>
      </c>
      <c r="L65" s="27">
        <f t="shared" si="29"/>
        <v>26730.183553516606</v>
      </c>
      <c r="M65" s="27">
        <f t="shared" si="30"/>
        <v>37146.392906708308</v>
      </c>
      <c r="N65" s="27">
        <f t="shared" si="23"/>
        <v>1585525.2834270832</v>
      </c>
      <c r="O65" s="27">
        <f t="shared" si="31"/>
        <v>1728809.752219358</v>
      </c>
      <c r="P65" s="231">
        <f t="shared" si="24"/>
        <v>93318.23000000001</v>
      </c>
      <c r="Q65" s="231">
        <f t="shared" si="24"/>
        <v>192709.58852250001</v>
      </c>
      <c r="R65" s="27">
        <f t="shared" si="32"/>
        <v>1629418.3936968581</v>
      </c>
      <c r="S65" s="27">
        <f t="shared" si="33"/>
        <v>81470.919684842913</v>
      </c>
      <c r="Y65" s="51"/>
    </row>
    <row r="66" spans="1:25">
      <c r="A66" s="52">
        <f t="shared" si="34"/>
        <v>12</v>
      </c>
      <c r="C66" s="61">
        <v>4.462E-2</v>
      </c>
      <c r="D66" s="61">
        <v>5.91E-2</v>
      </c>
      <c r="E66" s="59">
        <v>9</v>
      </c>
      <c r="F66" s="59"/>
      <c r="G66" s="59">
        <v>9</v>
      </c>
      <c r="H66" s="27">
        <f t="shared" si="25"/>
        <v>10227.792340999998</v>
      </c>
      <c r="I66" s="27">
        <f t="shared" si="26"/>
        <v>20944.262097499992</v>
      </c>
      <c r="J66" s="27">
        <f t="shared" si="27"/>
        <v>22861.143370850001</v>
      </c>
      <c r="K66" s="27">
        <f t="shared" si="28"/>
        <v>25374.694522700054</v>
      </c>
      <c r="L66" s="27">
        <f t="shared" si="29"/>
        <v>26730.183553516606</v>
      </c>
      <c r="M66" s="27">
        <f t="shared" si="30"/>
        <v>37146.392906708308</v>
      </c>
      <c r="N66" s="27">
        <f t="shared" si="23"/>
        <v>1698373.994947918</v>
      </c>
      <c r="O66" s="27">
        <f t="shared" si="31"/>
        <v>1841658.4637401928</v>
      </c>
      <c r="P66" s="231">
        <f t="shared" si="24"/>
        <v>100470.06999999999</v>
      </c>
      <c r="Q66" s="231">
        <f t="shared" si="24"/>
        <v>197239.20275250002</v>
      </c>
      <c r="R66" s="27">
        <f t="shared" si="32"/>
        <v>1744889.3309876928</v>
      </c>
      <c r="S66" s="27">
        <f t="shared" si="33"/>
        <v>87244.466549384641</v>
      </c>
      <c r="Y66" s="51"/>
    </row>
    <row r="67" spans="1:25">
      <c r="A67" s="52">
        <f t="shared" si="34"/>
        <v>13</v>
      </c>
      <c r="C67" s="61">
        <v>4.4609999999999997E-2</v>
      </c>
      <c r="D67" s="61">
        <v>5.8999999999999997E-2</v>
      </c>
      <c r="E67" s="59">
        <v>10</v>
      </c>
      <c r="F67" s="59"/>
      <c r="G67" s="59">
        <v>10</v>
      </c>
      <c r="H67" s="27">
        <f t="shared" si="25"/>
        <v>10227.792340999998</v>
      </c>
      <c r="I67" s="27">
        <f t="shared" si="26"/>
        <v>20944.262097499992</v>
      </c>
      <c r="J67" s="27">
        <f t="shared" si="27"/>
        <v>22861.143370850001</v>
      </c>
      <c r="K67" s="27">
        <f t="shared" si="28"/>
        <v>25374.694522700054</v>
      </c>
      <c r="L67" s="27">
        <f t="shared" si="29"/>
        <v>26730.183553516606</v>
      </c>
      <c r="M67" s="27">
        <f t="shared" si="30"/>
        <v>37146.392906708308</v>
      </c>
      <c r="N67" s="27">
        <f t="shared" si="23"/>
        <v>1898325.4014895833</v>
      </c>
      <c r="O67" s="27">
        <f t="shared" si="31"/>
        <v>2041609.8702818584</v>
      </c>
      <c r="P67" s="231">
        <f t="shared" si="24"/>
        <v>96427.29</v>
      </c>
      <c r="Q67" s="231">
        <f t="shared" si="24"/>
        <v>201828.69508500001</v>
      </c>
      <c r="R67" s="27">
        <f t="shared" si="32"/>
        <v>1936208.4651968584</v>
      </c>
      <c r="S67" s="27">
        <f t="shared" si="33"/>
        <v>96810.423259842923</v>
      </c>
      <c r="Y67" s="51"/>
    </row>
    <row r="68" spans="1:25">
      <c r="A68" s="52">
        <f t="shared" si="34"/>
        <v>14</v>
      </c>
      <c r="C68" s="61">
        <v>4.462E-2</v>
      </c>
      <c r="D68" s="61">
        <v>5.91E-2</v>
      </c>
      <c r="E68" s="59">
        <v>11</v>
      </c>
      <c r="F68" s="59"/>
      <c r="G68" s="59">
        <v>11</v>
      </c>
      <c r="H68" s="27">
        <f t="shared" si="25"/>
        <v>10227.792340999998</v>
      </c>
      <c r="I68" s="27">
        <f t="shared" si="26"/>
        <v>20944.262097499992</v>
      </c>
      <c r="J68" s="27">
        <f t="shared" si="27"/>
        <v>22861.143370850001</v>
      </c>
      <c r="K68" s="27">
        <f t="shared" si="28"/>
        <v>25374.694522700054</v>
      </c>
      <c r="L68" s="27">
        <f t="shared" si="29"/>
        <v>26730.183553516606</v>
      </c>
      <c r="M68" s="27">
        <f t="shared" si="30"/>
        <v>37146.392906708308</v>
      </c>
      <c r="N68" s="27">
        <f t="shared" si="23"/>
        <v>2465159.7832916654</v>
      </c>
      <c r="O68" s="27">
        <f t="shared" si="31"/>
        <v>2608444.2520839404</v>
      </c>
      <c r="P68" s="231">
        <f t="shared" si="24"/>
        <v>58439.21</v>
      </c>
      <c r="Q68" s="231">
        <f t="shared" si="24"/>
        <v>207153.58275900004</v>
      </c>
      <c r="R68" s="27">
        <f t="shared" si="32"/>
        <v>2459729.8793249405</v>
      </c>
      <c r="S68" s="27">
        <f t="shared" si="33"/>
        <v>122986.49396624703</v>
      </c>
      <c r="Y68" s="51"/>
    </row>
    <row r="69" spans="1:25">
      <c r="A69" s="52">
        <f t="shared" si="34"/>
        <v>15</v>
      </c>
      <c r="C69" s="61">
        <v>4.4609999999999997E-2</v>
      </c>
      <c r="D69" s="61">
        <v>5.8999999999999997E-2</v>
      </c>
      <c r="E69" s="59">
        <v>12</v>
      </c>
      <c r="F69" s="59"/>
      <c r="G69" s="59">
        <v>12</v>
      </c>
      <c r="H69" s="27">
        <f t="shared" si="25"/>
        <v>10227.792340999998</v>
      </c>
      <c r="I69" s="27">
        <f t="shared" si="26"/>
        <v>20944.262097499992</v>
      </c>
      <c r="J69" s="27">
        <f t="shared" si="27"/>
        <v>22861.143370850001</v>
      </c>
      <c r="K69" s="27">
        <f t="shared" si="28"/>
        <v>25374.694522700054</v>
      </c>
      <c r="L69" s="27">
        <f t="shared" si="29"/>
        <v>26730.183553516606</v>
      </c>
      <c r="M69" s="27">
        <f t="shared" si="30"/>
        <v>37146.392906708308</v>
      </c>
      <c r="N69" s="27">
        <f t="shared" si="23"/>
        <v>2129855.5525624985</v>
      </c>
      <c r="O69" s="27">
        <f t="shared" si="31"/>
        <v>2273140.0213547735</v>
      </c>
      <c r="P69" s="231">
        <f t="shared" si="24"/>
        <v>36579.94</v>
      </c>
      <c r="Q69" s="231">
        <f t="shared" si="24"/>
        <v>212147.01365400004</v>
      </c>
      <c r="R69" s="27">
        <f t="shared" si="32"/>
        <v>2097572.9477007734</v>
      </c>
      <c r="S69" s="27">
        <f t="shared" si="33"/>
        <v>104878.64738503867</v>
      </c>
      <c r="Y69" s="51"/>
    </row>
    <row r="70" spans="1:25">
      <c r="A70" s="52">
        <f t="shared" si="34"/>
        <v>16</v>
      </c>
      <c r="C70" s="61">
        <v>4.462E-2</v>
      </c>
      <c r="D70" s="61">
        <v>5.91E-2</v>
      </c>
      <c r="E70" s="59">
        <v>13</v>
      </c>
      <c r="F70" s="59"/>
      <c r="G70" s="5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 t="str">
        <f t="shared" ref="R70:R78" si="35">IF(Q70=0,"",O70+P70-Q70)</f>
        <v/>
      </c>
      <c r="S70" s="27" t="str">
        <f t="shared" ref="S70:S78" si="36">IF(R70="","",R70*0.389)</f>
        <v/>
      </c>
      <c r="T70" s="51"/>
      <c r="U70" s="51"/>
      <c r="V70" s="51"/>
      <c r="W70" s="51"/>
      <c r="X70" s="51"/>
      <c r="Y70" s="27" t="str">
        <f t="shared" ref="Y70:Y78" si="37">IF(S70="","",Y69+S70)</f>
        <v/>
      </c>
    </row>
    <row r="71" spans="1:25">
      <c r="A71" s="52">
        <f t="shared" si="34"/>
        <v>17</v>
      </c>
      <c r="C71" s="61">
        <v>4.4609999999999997E-2</v>
      </c>
      <c r="D71" s="61">
        <v>5.8999999999999997E-2</v>
      </c>
      <c r="E71" s="59">
        <v>14</v>
      </c>
      <c r="F71" s="59"/>
      <c r="G71" s="5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 t="str">
        <f t="shared" si="35"/>
        <v/>
      </c>
      <c r="S71" s="27" t="str">
        <f t="shared" si="36"/>
        <v/>
      </c>
      <c r="T71" s="51"/>
      <c r="U71" s="51"/>
      <c r="V71" s="51"/>
      <c r="W71" s="51"/>
      <c r="X71" s="51"/>
      <c r="Y71" s="27" t="str">
        <f t="shared" si="37"/>
        <v/>
      </c>
    </row>
    <row r="72" spans="1:25">
      <c r="A72" s="52">
        <f t="shared" si="34"/>
        <v>18</v>
      </c>
      <c r="C72" s="61">
        <v>4.462E-2</v>
      </c>
      <c r="D72" s="61">
        <v>5.91E-2</v>
      </c>
      <c r="E72" s="59">
        <v>15</v>
      </c>
      <c r="F72" s="59"/>
      <c r="G72" s="5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 t="str">
        <f t="shared" si="35"/>
        <v/>
      </c>
      <c r="S72" s="27" t="str">
        <f t="shared" si="36"/>
        <v/>
      </c>
      <c r="T72" s="51"/>
      <c r="U72" s="51"/>
      <c r="V72" s="51"/>
      <c r="W72" s="51"/>
      <c r="X72" s="51"/>
      <c r="Y72" s="27" t="str">
        <f t="shared" si="37"/>
        <v/>
      </c>
    </row>
    <row r="73" spans="1:25">
      <c r="A73" s="52">
        <f t="shared" si="34"/>
        <v>19</v>
      </c>
      <c r="C73" s="61">
        <v>4.4609999999999997E-2</v>
      </c>
      <c r="D73" s="61">
        <v>2.9499999999999998E-2</v>
      </c>
      <c r="E73" s="59">
        <v>16</v>
      </c>
      <c r="F73" s="59"/>
      <c r="G73" s="5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 t="str">
        <f t="shared" si="35"/>
        <v/>
      </c>
      <c r="S73" s="27" t="str">
        <f t="shared" si="36"/>
        <v/>
      </c>
      <c r="T73" s="51"/>
      <c r="U73" s="51"/>
      <c r="V73" s="51"/>
      <c r="W73" s="51"/>
      <c r="X73" s="51"/>
      <c r="Y73" s="27" t="str">
        <f t="shared" si="37"/>
        <v/>
      </c>
    </row>
    <row r="74" spans="1:25">
      <c r="A74" s="52">
        <f t="shared" si="34"/>
        <v>20</v>
      </c>
      <c r="C74" s="61">
        <v>4.462E-2</v>
      </c>
      <c r="D74" s="61">
        <v>0</v>
      </c>
      <c r="E74" s="59">
        <v>17</v>
      </c>
      <c r="F74" s="59"/>
      <c r="G74" s="5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 t="str">
        <f t="shared" si="35"/>
        <v/>
      </c>
      <c r="S74" s="27" t="str">
        <f t="shared" si="36"/>
        <v/>
      </c>
      <c r="T74" s="51"/>
      <c r="U74" s="51"/>
      <c r="V74" s="51"/>
      <c r="W74" s="51"/>
      <c r="X74" s="51"/>
      <c r="Y74" s="27" t="str">
        <f t="shared" si="37"/>
        <v/>
      </c>
    </row>
    <row r="75" spans="1:25">
      <c r="A75" s="52">
        <f t="shared" si="34"/>
        <v>21</v>
      </c>
      <c r="C75" s="61">
        <v>4.4609999999999997E-2</v>
      </c>
      <c r="D75" s="61">
        <v>0</v>
      </c>
      <c r="E75" s="59">
        <v>18</v>
      </c>
      <c r="F75" s="59"/>
      <c r="G75" s="5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 t="str">
        <f t="shared" si="35"/>
        <v/>
      </c>
      <c r="S75" s="27" t="str">
        <f t="shared" si="36"/>
        <v/>
      </c>
      <c r="T75" s="51"/>
      <c r="U75" s="51"/>
      <c r="V75" s="51"/>
      <c r="W75" s="51"/>
      <c r="X75" s="51"/>
      <c r="Y75" s="27" t="str">
        <f t="shared" si="37"/>
        <v/>
      </c>
    </row>
    <row r="76" spans="1:25">
      <c r="A76" s="52">
        <f t="shared" si="34"/>
        <v>22</v>
      </c>
      <c r="C76" s="61">
        <v>4.462E-2</v>
      </c>
      <c r="D76" s="61">
        <v>0</v>
      </c>
      <c r="E76" s="59">
        <v>19</v>
      </c>
      <c r="F76" s="59"/>
      <c r="G76" s="5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 t="str">
        <f t="shared" si="35"/>
        <v/>
      </c>
      <c r="S76" s="27" t="str">
        <f t="shared" si="36"/>
        <v/>
      </c>
      <c r="T76" s="51"/>
      <c r="U76" s="51"/>
      <c r="V76" s="51"/>
      <c r="W76" s="51"/>
      <c r="X76" s="51"/>
      <c r="Y76" s="27" t="str">
        <f t="shared" si="37"/>
        <v/>
      </c>
    </row>
    <row r="77" spans="1:25">
      <c r="A77" s="52">
        <f t="shared" si="34"/>
        <v>23</v>
      </c>
      <c r="C77" s="61">
        <v>4.4609999999999997E-2</v>
      </c>
      <c r="D77" s="61">
        <v>0</v>
      </c>
      <c r="E77" s="59">
        <v>20</v>
      </c>
      <c r="F77" s="59"/>
      <c r="G77" s="5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 t="str">
        <f t="shared" si="35"/>
        <v/>
      </c>
      <c r="S77" s="27" t="str">
        <f t="shared" si="36"/>
        <v/>
      </c>
      <c r="T77" s="51"/>
      <c r="U77" s="51"/>
      <c r="V77" s="51"/>
      <c r="W77" s="51"/>
      <c r="X77" s="51"/>
      <c r="Y77" s="27" t="str">
        <f t="shared" si="37"/>
        <v/>
      </c>
    </row>
    <row r="78" spans="1:25">
      <c r="A78" s="52">
        <f t="shared" si="34"/>
        <v>24</v>
      </c>
      <c r="C78" s="61">
        <v>2.231E-2</v>
      </c>
      <c r="D78" s="61">
        <v>0</v>
      </c>
      <c r="E78" s="59">
        <v>21</v>
      </c>
      <c r="F78" s="59"/>
      <c r="G78" s="5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 t="str">
        <f t="shared" si="35"/>
        <v/>
      </c>
      <c r="S78" s="27" t="str">
        <f t="shared" si="36"/>
        <v/>
      </c>
      <c r="T78" s="51"/>
      <c r="U78" s="51"/>
      <c r="V78" s="51"/>
      <c r="W78" s="51"/>
      <c r="X78" s="51"/>
      <c r="Y78" s="27" t="str">
        <f t="shared" si="37"/>
        <v/>
      </c>
    </row>
    <row r="79" spans="1:25">
      <c r="A79" s="52">
        <f t="shared" si="34"/>
        <v>25</v>
      </c>
      <c r="H79" s="1134">
        <f t="shared" ref="H79:N79" si="38">SUM(H58:H78)</f>
        <v>122733.50809199996</v>
      </c>
      <c r="I79" s="1134">
        <f t="shared" si="38"/>
        <v>251331.14516999995</v>
      </c>
      <c r="J79" s="1134">
        <f t="shared" si="38"/>
        <v>274333.72045020008</v>
      </c>
      <c r="K79" s="1134">
        <f t="shared" si="38"/>
        <v>304496.33427240059</v>
      </c>
      <c r="L79" s="1134">
        <f t="shared" si="38"/>
        <v>320762.20264219935</v>
      </c>
      <c r="M79" s="1134">
        <f t="shared" si="38"/>
        <v>445756.71488049958</v>
      </c>
      <c r="N79" s="1134">
        <f t="shared" si="38"/>
        <v>14630736.067625001</v>
      </c>
      <c r="O79" s="1134">
        <f>SUM(O58:O78)</f>
        <v>16350149.6931323</v>
      </c>
      <c r="P79" s="1134">
        <f>SUM(P58:P78)</f>
        <v>1153591.7799999998</v>
      </c>
      <c r="Q79" s="1134">
        <f>SUM(Q58:Q78)</f>
        <v>2230094.4274350004</v>
      </c>
      <c r="R79" s="1134">
        <f>SUM(R58:R78)</f>
        <v>15273647.045697302</v>
      </c>
      <c r="S79" s="1134">
        <f>SUM(S58:S78)</f>
        <v>763682.35228486499</v>
      </c>
      <c r="T79" s="27"/>
      <c r="U79" s="27"/>
      <c r="V79" s="27"/>
      <c r="W79" s="27"/>
      <c r="X79" s="27"/>
      <c r="Y79" s="27"/>
    </row>
    <row r="80" spans="1:25">
      <c r="H80" s="27"/>
      <c r="I80" s="27"/>
      <c r="J80" s="27"/>
      <c r="K80" s="27"/>
      <c r="L80" s="27"/>
      <c r="M80" s="27"/>
      <c r="N80" s="27"/>
      <c r="O80" s="27"/>
      <c r="P80" s="27"/>
      <c r="Q80" s="27"/>
      <c r="Y80" s="27"/>
    </row>
    <row r="81" spans="2:4">
      <c r="B81" s="52" t="s">
        <v>163</v>
      </c>
      <c r="C81" s="52" t="str">
        <f t="shared" ref="C81:C87" si="39">C40</f>
        <v>2017 20-year additions at MACRS Year 7 tax rate (0.048880)</v>
      </c>
    </row>
    <row r="82" spans="2:4">
      <c r="B82" s="60" t="s">
        <v>164</v>
      </c>
      <c r="C82" s="52" t="str">
        <f t="shared" si="39"/>
        <v>2018 20-year additions at MACRS Year 6 tax rate (0.052850)</v>
      </c>
    </row>
    <row r="83" spans="2:4">
      <c r="B83" s="60" t="s">
        <v>165</v>
      </c>
      <c r="C83" s="52" t="str">
        <f t="shared" si="39"/>
        <v>2019 20-year additions at MACRS Year 5 tax rate (0.057130)</v>
      </c>
      <c r="D83" s="245"/>
    </row>
    <row r="84" spans="2:4">
      <c r="B84" s="60" t="s">
        <v>174</v>
      </c>
      <c r="C84" s="52" t="str">
        <f t="shared" si="39"/>
        <v>2020 20-year additions at MACRS Year 4 tax rate (0.061770)</v>
      </c>
    </row>
    <row r="85" spans="2:4">
      <c r="B85" s="60" t="s">
        <v>210</v>
      </c>
      <c r="C85" s="52" t="str">
        <f t="shared" si="39"/>
        <v>2021 20-year additions at MACRS Year 3 tax rate (0.066770)</v>
      </c>
    </row>
    <row r="86" spans="2:4">
      <c r="B86" s="60" t="s">
        <v>225</v>
      </c>
      <c r="C86" s="52" t="str">
        <f t="shared" si="39"/>
        <v>2022 20-year additions at MACRS Year 2 tax rate (0.072190)</v>
      </c>
    </row>
    <row r="87" spans="2:4">
      <c r="B87" s="52" t="s">
        <v>848</v>
      </c>
      <c r="C87" s="52" t="str">
        <f t="shared" si="39"/>
        <v>2023 20-year additions at MACRS Year 1 tax rate (0.037500) plus repairs</v>
      </c>
    </row>
    <row r="90" spans="2:4">
      <c r="B90" s="60" t="s">
        <v>1032</v>
      </c>
    </row>
  </sheetData>
  <dataValidations disablePrompts="1" count="1">
    <dataValidation type="decimal" operator="lessThanOrEqual" allowBlank="1" showInputMessage="1" showErrorMessage="1" errorTitle="Error" error="Value should be negative." sqref="X16" xr:uid="{44199DCE-C4C8-4F9B-BF43-FE3F2F70C8B8}">
      <formula1>0</formula1>
    </dataValidation>
  </dataValidations>
  <pageMargins left="0.25" right="0.25" top="0.75" bottom="0.75" header="0.3" footer="0.3"/>
  <pageSetup scale="44" fitToHeight="2" orientation="landscape" blackAndWhite="1" r:id="rId1"/>
  <headerFooter scaleWithDoc="0" alignWithMargins="0">
    <oddFooter>&amp;RExhibit 4
Page 16 of 17&amp;L&amp;1#&amp;"Calibri"&amp;14&amp;K000000Business Use</oddFooter>
  </headerFooter>
  <rowBreaks count="1" manualBreakCount="1">
    <brk id="47" max="27" man="1"/>
  </rowBreaks>
  <ignoredErrors>
    <ignoredError sqref="O58:O69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9BE6E-3C60-4D1A-8306-437F9B068459}">
  <sheetPr>
    <tabColor theme="2" tint="-0.249977111117893"/>
  </sheetPr>
  <dimension ref="A1:Q48"/>
  <sheetViews>
    <sheetView showGridLines="0" zoomScaleNormal="100" workbookViewId="0"/>
  </sheetViews>
  <sheetFormatPr defaultColWidth="9.140625" defaultRowHeight="12.75"/>
  <cols>
    <col min="1" max="1" width="5.7109375" style="956" customWidth="1"/>
    <col min="2" max="2" width="24" style="956" customWidth="1"/>
    <col min="3" max="15" width="13.85546875" style="956" customWidth="1"/>
    <col min="16" max="16384" width="9.140625" style="956"/>
  </cols>
  <sheetData>
    <row r="1" spans="2:15" ht="15">
      <c r="B1" s="1047" t="s">
        <v>942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</row>
    <row r="2" spans="2:15" ht="14.25"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</row>
    <row r="3" spans="2:15" ht="14.25">
      <c r="B3" s="948" t="s">
        <v>640</v>
      </c>
      <c r="C3" s="966">
        <v>44927</v>
      </c>
      <c r="D3" s="966">
        <v>44958</v>
      </c>
      <c r="E3" s="966">
        <v>44986</v>
      </c>
      <c r="F3" s="966">
        <v>45017</v>
      </c>
      <c r="G3" s="966">
        <v>45047</v>
      </c>
      <c r="H3" s="966">
        <v>45078</v>
      </c>
      <c r="I3" s="966">
        <v>45108</v>
      </c>
      <c r="J3" s="966">
        <v>45139</v>
      </c>
      <c r="K3" s="966">
        <v>45170</v>
      </c>
      <c r="L3" s="966">
        <v>45200</v>
      </c>
      <c r="M3" s="966">
        <v>45231</v>
      </c>
      <c r="N3" s="966">
        <v>45261</v>
      </c>
      <c r="O3" s="967" t="s">
        <v>3</v>
      </c>
    </row>
    <row r="4" spans="2:15" ht="14.25">
      <c r="B4" s="949" t="s">
        <v>775</v>
      </c>
      <c r="C4" s="968">
        <v>0</v>
      </c>
      <c r="D4" s="968">
        <v>0</v>
      </c>
      <c r="E4" s="968">
        <v>0</v>
      </c>
      <c r="F4" s="968">
        <v>0</v>
      </c>
      <c r="G4" s="968">
        <v>0</v>
      </c>
      <c r="H4" s="968">
        <v>0</v>
      </c>
      <c r="I4" s="968">
        <v>0</v>
      </c>
      <c r="J4" s="968">
        <v>0</v>
      </c>
      <c r="K4" s="968">
        <v>0</v>
      </c>
      <c r="L4" s="968">
        <v>0</v>
      </c>
      <c r="M4" s="968">
        <v>0</v>
      </c>
      <c r="N4" s="968">
        <v>0</v>
      </c>
      <c r="O4" s="968">
        <f>SUM(C4:N4)</f>
        <v>0</v>
      </c>
    </row>
    <row r="5" spans="2:15" ht="14.25">
      <c r="B5" s="949" t="s">
        <v>77</v>
      </c>
      <c r="C5" s="968">
        <v>0</v>
      </c>
      <c r="D5" s="968">
        <v>0</v>
      </c>
      <c r="E5" s="968">
        <f>-F28</f>
        <v>1034.48</v>
      </c>
      <c r="F5" s="968">
        <v>0</v>
      </c>
      <c r="G5" s="968">
        <v>0</v>
      </c>
      <c r="H5" s="968">
        <v>0</v>
      </c>
      <c r="I5" s="968">
        <v>0</v>
      </c>
      <c r="J5" s="968">
        <v>0</v>
      </c>
      <c r="K5" s="968">
        <v>0</v>
      </c>
      <c r="L5" s="968">
        <v>0</v>
      </c>
      <c r="M5" s="968">
        <f>-(F34+F35+F36+F37+F38+F39+F40+F41)</f>
        <v>524848.02</v>
      </c>
      <c r="N5" s="968">
        <v>0</v>
      </c>
      <c r="O5" s="968">
        <f>SUM(C5:N5)</f>
        <v>525882.5</v>
      </c>
    </row>
    <row r="6" spans="2:15" ht="14.25">
      <c r="B6" s="949" t="s">
        <v>806</v>
      </c>
      <c r="C6" s="968">
        <v>0</v>
      </c>
      <c r="D6" s="968">
        <v>0</v>
      </c>
      <c r="E6" s="968">
        <v>0</v>
      </c>
      <c r="F6" s="968">
        <v>0</v>
      </c>
      <c r="G6" s="968">
        <v>0</v>
      </c>
      <c r="H6" s="968">
        <v>0</v>
      </c>
      <c r="I6" s="968">
        <v>0</v>
      </c>
      <c r="J6" s="968">
        <v>0</v>
      </c>
      <c r="K6" s="968">
        <v>0</v>
      </c>
      <c r="L6" s="968">
        <v>0</v>
      </c>
      <c r="M6" s="968">
        <v>0</v>
      </c>
      <c r="N6" s="968">
        <v>0</v>
      </c>
      <c r="O6" s="968">
        <f>SUM(C6:N6)</f>
        <v>0</v>
      </c>
    </row>
    <row r="7" spans="2:15" ht="16.5">
      <c r="B7" s="949" t="s">
        <v>159</v>
      </c>
      <c r="C7" s="969">
        <v>0</v>
      </c>
      <c r="D7" s="969">
        <v>0</v>
      </c>
      <c r="E7" s="969">
        <v>0</v>
      </c>
      <c r="F7" s="969">
        <v>0</v>
      </c>
      <c r="G7" s="969">
        <v>0</v>
      </c>
      <c r="H7" s="969">
        <v>0</v>
      </c>
      <c r="I7" s="969">
        <v>0</v>
      </c>
      <c r="J7" s="969">
        <v>0</v>
      </c>
      <c r="K7" s="969">
        <v>0</v>
      </c>
      <c r="L7" s="969">
        <v>0</v>
      </c>
      <c r="M7" s="969">
        <f>-(F32+F33+F42+F43+F44)</f>
        <v>36042.770000000004</v>
      </c>
      <c r="N7" s="969">
        <v>0</v>
      </c>
      <c r="O7" s="969">
        <f>SUM(C7:N7)</f>
        <v>36042.770000000004</v>
      </c>
    </row>
    <row r="8" spans="2:15" ht="14.25">
      <c r="B8" s="950" t="s">
        <v>3</v>
      </c>
      <c r="C8" s="1046">
        <f t="shared" ref="C8:O8" si="0">SUM(C4:C7)</f>
        <v>0</v>
      </c>
      <c r="D8" s="1046">
        <f t="shared" si="0"/>
        <v>0</v>
      </c>
      <c r="E8" s="1046">
        <f t="shared" si="0"/>
        <v>1034.48</v>
      </c>
      <c r="F8" s="1046">
        <f t="shared" si="0"/>
        <v>0</v>
      </c>
      <c r="G8" s="1046">
        <f t="shared" si="0"/>
        <v>0</v>
      </c>
      <c r="H8" s="1046">
        <f t="shared" si="0"/>
        <v>0</v>
      </c>
      <c r="I8" s="1046">
        <f t="shared" si="0"/>
        <v>0</v>
      </c>
      <c r="J8" s="1046">
        <f t="shared" si="0"/>
        <v>0</v>
      </c>
      <c r="K8" s="1046">
        <f t="shared" si="0"/>
        <v>0</v>
      </c>
      <c r="L8" s="1046">
        <f t="shared" si="0"/>
        <v>0</v>
      </c>
      <c r="M8" s="1046">
        <f t="shared" si="0"/>
        <v>560890.79</v>
      </c>
      <c r="N8" s="1046">
        <f t="shared" si="0"/>
        <v>0</v>
      </c>
      <c r="O8" s="1046">
        <f t="shared" si="0"/>
        <v>561925.27</v>
      </c>
    </row>
    <row r="9" spans="2:15" ht="14.25">
      <c r="B9" s="949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</row>
    <row r="10" spans="2:15" ht="14.25">
      <c r="B10" s="949"/>
      <c r="C10" s="952"/>
      <c r="D10" s="952"/>
      <c r="E10" s="952"/>
      <c r="F10" s="952"/>
      <c r="G10" s="952"/>
      <c r="H10" s="952"/>
      <c r="I10" s="952"/>
      <c r="J10" s="952"/>
      <c r="K10" s="952"/>
      <c r="L10" s="952"/>
      <c r="M10" s="952"/>
      <c r="N10" s="952"/>
      <c r="O10" s="952"/>
    </row>
    <row r="11" spans="2:15" ht="14.25">
      <c r="B11" s="948" t="s">
        <v>641</v>
      </c>
      <c r="C11" s="966">
        <v>44927</v>
      </c>
      <c r="D11" s="966">
        <v>44958</v>
      </c>
      <c r="E11" s="966">
        <v>44986</v>
      </c>
      <c r="F11" s="966">
        <v>45017</v>
      </c>
      <c r="G11" s="966">
        <v>45047</v>
      </c>
      <c r="H11" s="966">
        <v>45078</v>
      </c>
      <c r="I11" s="966">
        <v>45108</v>
      </c>
      <c r="J11" s="966">
        <v>45139</v>
      </c>
      <c r="K11" s="966">
        <v>45170</v>
      </c>
      <c r="L11" s="966">
        <v>45200</v>
      </c>
      <c r="M11" s="966">
        <v>45231</v>
      </c>
      <c r="N11" s="966">
        <v>45261</v>
      </c>
      <c r="O11" s="967" t="s">
        <v>3</v>
      </c>
    </row>
    <row r="12" spans="2:15" ht="14.25">
      <c r="B12" s="949" t="s">
        <v>775</v>
      </c>
      <c r="C12" s="968">
        <v>0</v>
      </c>
      <c r="D12" s="968">
        <v>0</v>
      </c>
      <c r="E12" s="968">
        <v>0</v>
      </c>
      <c r="F12" s="968">
        <v>0</v>
      </c>
      <c r="G12" s="968">
        <v>0</v>
      </c>
      <c r="H12" s="968">
        <v>0</v>
      </c>
      <c r="I12" s="968">
        <v>0</v>
      </c>
      <c r="J12" s="968">
        <v>0</v>
      </c>
      <c r="K12" s="968">
        <v>0</v>
      </c>
      <c r="L12" s="968">
        <v>0</v>
      </c>
      <c r="M12" s="968">
        <v>0</v>
      </c>
      <c r="N12" s="968">
        <v>0</v>
      </c>
      <c r="O12" s="968">
        <f>SUM(C12:N12)</f>
        <v>0</v>
      </c>
    </row>
    <row r="13" spans="2:15" ht="14.25">
      <c r="B13" s="949" t="s">
        <v>77</v>
      </c>
      <c r="C13" s="968">
        <v>0</v>
      </c>
      <c r="D13" s="968">
        <v>0</v>
      </c>
      <c r="E13" s="968">
        <f>G28</f>
        <v>-1032.7092508799999</v>
      </c>
      <c r="F13" s="968">
        <v>0</v>
      </c>
      <c r="G13" s="968">
        <v>0</v>
      </c>
      <c r="H13" s="968">
        <v>0</v>
      </c>
      <c r="I13" s="968">
        <v>0</v>
      </c>
      <c r="J13" s="968">
        <v>0</v>
      </c>
      <c r="K13" s="968">
        <v>0</v>
      </c>
      <c r="L13" s="968">
        <v>0</v>
      </c>
      <c r="M13" s="968">
        <f>G34+G35+G36+G37+G38+G39+G40+G41</f>
        <v>-422735.32102256001</v>
      </c>
      <c r="N13" s="968">
        <v>0</v>
      </c>
      <c r="O13" s="968">
        <f>SUM(C13:N13)</f>
        <v>-423768.03027344</v>
      </c>
    </row>
    <row r="14" spans="2:15" ht="14.25">
      <c r="B14" s="949" t="s">
        <v>806</v>
      </c>
      <c r="C14" s="968">
        <v>0</v>
      </c>
      <c r="D14" s="968">
        <v>0</v>
      </c>
      <c r="E14" s="968">
        <v>0</v>
      </c>
      <c r="F14" s="968">
        <v>0</v>
      </c>
      <c r="G14" s="968">
        <v>0</v>
      </c>
      <c r="H14" s="968">
        <v>0</v>
      </c>
      <c r="I14" s="968">
        <v>0</v>
      </c>
      <c r="J14" s="968">
        <v>0</v>
      </c>
      <c r="K14" s="968">
        <v>0</v>
      </c>
      <c r="L14" s="968">
        <v>0</v>
      </c>
      <c r="M14" s="968">
        <v>0</v>
      </c>
      <c r="N14" s="968">
        <v>0</v>
      </c>
      <c r="O14" s="968">
        <f>SUM(C14:N14)</f>
        <v>0</v>
      </c>
    </row>
    <row r="15" spans="2:15" ht="16.5">
      <c r="B15" s="949" t="s">
        <v>159</v>
      </c>
      <c r="C15" s="969">
        <v>0</v>
      </c>
      <c r="D15" s="969">
        <v>0</v>
      </c>
      <c r="E15" s="969">
        <v>0</v>
      </c>
      <c r="F15" s="969">
        <v>0</v>
      </c>
      <c r="G15" s="969">
        <v>0</v>
      </c>
      <c r="H15" s="969">
        <v>0</v>
      </c>
      <c r="I15" s="969">
        <v>0</v>
      </c>
      <c r="J15" s="969">
        <v>0</v>
      </c>
      <c r="K15" s="969">
        <v>0</v>
      </c>
      <c r="L15" s="969">
        <v>0</v>
      </c>
      <c r="M15" s="969">
        <f>G32+G33+G42+G43+G44</f>
        <v>-9116.266596559999</v>
      </c>
      <c r="N15" s="969">
        <v>0</v>
      </c>
      <c r="O15" s="969">
        <f>SUM(C15:N15)</f>
        <v>-9116.266596559999</v>
      </c>
    </row>
    <row r="16" spans="2:15" ht="14.25">
      <c r="B16" s="950" t="s">
        <v>3</v>
      </c>
      <c r="C16" s="970">
        <f t="shared" ref="C16:O16" si="1">SUM(C12:C15)</f>
        <v>0</v>
      </c>
      <c r="D16" s="970">
        <f t="shared" si="1"/>
        <v>0</v>
      </c>
      <c r="E16" s="970">
        <f t="shared" si="1"/>
        <v>-1032.7092508799999</v>
      </c>
      <c r="F16" s="970">
        <f t="shared" si="1"/>
        <v>0</v>
      </c>
      <c r="G16" s="970">
        <f t="shared" si="1"/>
        <v>0</v>
      </c>
      <c r="H16" s="970">
        <f t="shared" si="1"/>
        <v>0</v>
      </c>
      <c r="I16" s="970">
        <f t="shared" si="1"/>
        <v>0</v>
      </c>
      <c r="J16" s="970">
        <f t="shared" si="1"/>
        <v>0</v>
      </c>
      <c r="K16" s="970">
        <f t="shared" si="1"/>
        <v>0</v>
      </c>
      <c r="L16" s="970">
        <f t="shared" si="1"/>
        <v>0</v>
      </c>
      <c r="M16" s="970">
        <f t="shared" si="1"/>
        <v>-431851.58761912002</v>
      </c>
      <c r="N16" s="970">
        <f t="shared" si="1"/>
        <v>0</v>
      </c>
      <c r="O16" s="970">
        <f t="shared" si="1"/>
        <v>-432884.29687000002</v>
      </c>
    </row>
    <row r="19" spans="1:17" ht="15.75">
      <c r="B19" s="1043" t="s">
        <v>6</v>
      </c>
      <c r="C19" s="1045" t="s">
        <v>138</v>
      </c>
      <c r="D19" s="1043" t="s">
        <v>459</v>
      </c>
      <c r="E19" s="1048" t="s">
        <v>943</v>
      </c>
      <c r="F19" s="1038" t="s">
        <v>35</v>
      </c>
      <c r="G19" s="1039" t="s">
        <v>781</v>
      </c>
      <c r="H19" s="1040" t="s">
        <v>946</v>
      </c>
      <c r="I19" s="1039" t="s">
        <v>967</v>
      </c>
      <c r="J19" s="1039" t="s">
        <v>968</v>
      </c>
      <c r="K19" s="1039" t="s">
        <v>969</v>
      </c>
      <c r="L19" s="1039" t="s">
        <v>970</v>
      </c>
      <c r="M19" s="1039" t="s">
        <v>971</v>
      </c>
      <c r="N19" s="1102" t="s">
        <v>179</v>
      </c>
      <c r="O19" s="1104" t="s">
        <v>972</v>
      </c>
      <c r="P19" s="1105"/>
      <c r="Q19" s="736"/>
    </row>
    <row r="20" spans="1:17">
      <c r="B20" s="1044" t="s">
        <v>944</v>
      </c>
      <c r="C20" s="956" t="s">
        <v>127</v>
      </c>
      <c r="D20" s="1049">
        <v>10574299</v>
      </c>
      <c r="E20" s="1050">
        <v>12420</v>
      </c>
      <c r="F20" s="960">
        <v>-320.88</v>
      </c>
      <c r="G20" s="961">
        <f t="shared" ref="G20:G25" si="2">F20</f>
        <v>-320.88</v>
      </c>
      <c r="H20" s="961">
        <f>F20-G20</f>
        <v>0</v>
      </c>
      <c r="I20" s="736"/>
      <c r="J20" s="736"/>
      <c r="L20" s="736"/>
      <c r="M20" s="736"/>
      <c r="N20" s="736"/>
      <c r="O20" s="736"/>
      <c r="P20" s="736"/>
      <c r="Q20" s="736"/>
    </row>
    <row r="21" spans="1:17">
      <c r="B21" s="1044" t="s">
        <v>944</v>
      </c>
      <c r="C21" s="956" t="s">
        <v>129</v>
      </c>
      <c r="D21" s="1049">
        <v>10571050</v>
      </c>
      <c r="E21" s="1050">
        <v>12420</v>
      </c>
      <c r="F21" s="960">
        <v>-138.47999999999999</v>
      </c>
      <c r="G21" s="961">
        <f t="shared" si="2"/>
        <v>-138.47999999999999</v>
      </c>
      <c r="H21" s="961">
        <f t="shared" ref="H21:H27" si="3">F21-G21</f>
        <v>0</v>
      </c>
      <c r="I21" s="736"/>
      <c r="J21" s="736"/>
      <c r="O21" s="736"/>
      <c r="P21" s="736"/>
      <c r="Q21" s="736"/>
    </row>
    <row r="22" spans="1:17">
      <c r="B22" s="1044" t="s">
        <v>944</v>
      </c>
      <c r="C22" s="956" t="s">
        <v>129</v>
      </c>
      <c r="D22" s="1049">
        <v>10615073</v>
      </c>
      <c r="E22" s="1050">
        <v>12420</v>
      </c>
      <c r="F22" s="960">
        <v>-112.31</v>
      </c>
      <c r="G22" s="961">
        <f t="shared" si="2"/>
        <v>-112.31</v>
      </c>
      <c r="H22" s="961">
        <f t="shared" si="3"/>
        <v>0</v>
      </c>
      <c r="I22" s="736"/>
      <c r="K22" s="736"/>
      <c r="L22" s="736"/>
      <c r="M22" s="736"/>
      <c r="N22" s="736"/>
      <c r="O22" s="736"/>
      <c r="P22" s="736"/>
      <c r="Q22" s="736"/>
    </row>
    <row r="23" spans="1:17">
      <c r="B23" s="1044" t="s">
        <v>944</v>
      </c>
      <c r="C23" s="956" t="s">
        <v>129</v>
      </c>
      <c r="D23" s="1049">
        <v>10570691</v>
      </c>
      <c r="E23" s="1050">
        <v>12420</v>
      </c>
      <c r="F23" s="960">
        <v>-184.64000000000001</v>
      </c>
      <c r="G23" s="961">
        <f t="shared" si="2"/>
        <v>-184.64000000000001</v>
      </c>
      <c r="H23" s="961">
        <f t="shared" si="3"/>
        <v>0</v>
      </c>
      <c r="I23" s="736"/>
      <c r="J23" s="736"/>
      <c r="M23" s="736"/>
      <c r="N23" s="736"/>
      <c r="O23" s="736"/>
      <c r="P23" s="736"/>
      <c r="Q23" s="736"/>
    </row>
    <row r="24" spans="1:17">
      <c r="B24" s="1044" t="s">
        <v>944</v>
      </c>
      <c r="C24" s="956" t="s">
        <v>129</v>
      </c>
      <c r="D24" s="1049">
        <v>10569577</v>
      </c>
      <c r="E24" s="1050">
        <v>12420</v>
      </c>
      <c r="F24" s="960">
        <v>-144.4</v>
      </c>
      <c r="G24" s="961">
        <f t="shared" si="2"/>
        <v>-144.4</v>
      </c>
      <c r="H24" s="961">
        <f t="shared" si="3"/>
        <v>0</v>
      </c>
      <c r="I24" s="736"/>
      <c r="K24" s="736"/>
      <c r="M24" s="736"/>
      <c r="N24" s="736"/>
      <c r="O24" s="736"/>
      <c r="P24" s="736"/>
      <c r="Q24" s="736"/>
    </row>
    <row r="25" spans="1:17">
      <c r="B25" s="1044" t="s">
        <v>944</v>
      </c>
      <c r="C25" s="956" t="s">
        <v>342</v>
      </c>
      <c r="D25" s="1049">
        <v>10568866</v>
      </c>
      <c r="E25" s="1050">
        <v>12420</v>
      </c>
      <c r="F25" s="960">
        <v>-128.35</v>
      </c>
      <c r="G25" s="961">
        <f t="shared" si="2"/>
        <v>-128.35</v>
      </c>
      <c r="H25" s="961">
        <f t="shared" si="3"/>
        <v>0</v>
      </c>
      <c r="I25" s="736"/>
      <c r="J25" s="736"/>
      <c r="K25" s="736"/>
      <c r="M25" s="736"/>
      <c r="N25" s="736"/>
      <c r="O25" s="736"/>
      <c r="P25" s="736"/>
      <c r="Q25" s="736"/>
    </row>
    <row r="26" spans="1:17">
      <c r="B26" s="1044" t="s">
        <v>944</v>
      </c>
      <c r="C26" s="956" t="s">
        <v>129</v>
      </c>
      <c r="D26" s="1049">
        <v>10180041</v>
      </c>
      <c r="E26" s="1051">
        <v>36892</v>
      </c>
      <c r="F26" s="962">
        <v>-4.7700000000000005</v>
      </c>
      <c r="G26" s="963">
        <f>(F26*0.0324)*21.86</f>
        <v>-3.3784192800000001</v>
      </c>
      <c r="H26" s="963">
        <f t="shared" si="3"/>
        <v>-1.3915807200000003</v>
      </c>
      <c r="I26" s="963">
        <v>0</v>
      </c>
      <c r="J26" s="963">
        <v>0</v>
      </c>
      <c r="K26" s="963">
        <v>-1.3915807200000003</v>
      </c>
      <c r="L26" s="963">
        <v>-1.3915807200000003</v>
      </c>
      <c r="M26" s="963">
        <v>-0.27762035364000004</v>
      </c>
      <c r="N26" s="963">
        <v>-6.9579036000000025E-2</v>
      </c>
      <c r="O26" s="736"/>
      <c r="P26" s="736"/>
      <c r="Q26" s="736"/>
    </row>
    <row r="27" spans="1:17" ht="15">
      <c r="B27" s="1044" t="s">
        <v>944</v>
      </c>
      <c r="C27" s="956" t="s">
        <v>342</v>
      </c>
      <c r="D27" s="1049">
        <v>422399807</v>
      </c>
      <c r="E27" s="1051">
        <v>40329</v>
      </c>
      <c r="F27" s="964">
        <v>-0.65</v>
      </c>
      <c r="G27" s="965">
        <f>(F27*0.0324)*12.86</f>
        <v>-0.27083159999999995</v>
      </c>
      <c r="H27" s="965">
        <f t="shared" si="3"/>
        <v>-0.37916840000000007</v>
      </c>
      <c r="I27" s="965">
        <v>0.18850000000000006</v>
      </c>
      <c r="J27" s="965">
        <v>0.18850000000000006</v>
      </c>
      <c r="K27" s="965">
        <v>-0.19066840000000002</v>
      </c>
      <c r="L27" s="965">
        <v>-0.19066840000000002</v>
      </c>
      <c r="M27" s="965">
        <v>-3.8038345800000005E-2</v>
      </c>
      <c r="N27" s="965">
        <v>-9.5334200000000008E-3</v>
      </c>
      <c r="O27" s="736"/>
      <c r="P27" s="736"/>
      <c r="Q27" s="736"/>
    </row>
    <row r="28" spans="1:17">
      <c r="B28" s="1042"/>
      <c r="C28" s="1041"/>
      <c r="D28" s="972"/>
      <c r="E28" s="972"/>
      <c r="F28" s="959">
        <f>SUM(F20:F27)</f>
        <v>-1034.48</v>
      </c>
      <c r="G28" s="959">
        <f>SUM(G20:G27)</f>
        <v>-1032.7092508799999</v>
      </c>
      <c r="H28" s="959">
        <f t="shared" ref="H28" si="4">SUM(H20:H27)</f>
        <v>-1.7707491200000005</v>
      </c>
      <c r="I28" s="959"/>
      <c r="J28" s="959"/>
      <c r="K28" s="1103">
        <v>-1.5822491200000004</v>
      </c>
      <c r="L28" s="1103">
        <v>-1.5822491200000004</v>
      </c>
      <c r="M28" s="959">
        <v>-0.31</v>
      </c>
      <c r="N28" s="959">
        <v>-0.08</v>
      </c>
      <c r="O28" s="736"/>
      <c r="P28" s="736"/>
      <c r="Q28" s="736"/>
    </row>
    <row r="29" spans="1:17">
      <c r="A29" s="1042"/>
      <c r="B29" s="1041"/>
      <c r="C29" s="971"/>
      <c r="D29" s="971"/>
      <c r="M29" s="736"/>
      <c r="N29" s="1106">
        <v>-0.39</v>
      </c>
      <c r="O29" s="971" t="s">
        <v>974</v>
      </c>
      <c r="P29" s="736"/>
      <c r="Q29" s="736"/>
    </row>
    <row r="30" spans="1:17">
      <c r="A30" s="1042"/>
      <c r="B30" s="1041"/>
      <c r="C30" s="971"/>
      <c r="D30" s="971"/>
      <c r="M30" s="736"/>
      <c r="N30" s="955"/>
      <c r="P30" s="736"/>
      <c r="Q30" s="736"/>
    </row>
    <row r="31" spans="1:17" ht="19.5" customHeight="1">
      <c r="B31" s="1043" t="s">
        <v>6</v>
      </c>
      <c r="C31" s="1045" t="s">
        <v>138</v>
      </c>
      <c r="D31" s="1043" t="s">
        <v>459</v>
      </c>
      <c r="E31" s="1048" t="s">
        <v>943</v>
      </c>
      <c r="F31" s="1038" t="s">
        <v>35</v>
      </c>
      <c r="G31" s="1039" t="s">
        <v>781</v>
      </c>
      <c r="H31" s="1040" t="s">
        <v>946</v>
      </c>
      <c r="I31" s="1039" t="s">
        <v>967</v>
      </c>
      <c r="J31" s="1039" t="s">
        <v>968</v>
      </c>
      <c r="K31" s="1039" t="s">
        <v>969</v>
      </c>
      <c r="L31" s="1039" t="s">
        <v>970</v>
      </c>
      <c r="M31" s="1039" t="s">
        <v>971</v>
      </c>
      <c r="N31" s="1102" t="s">
        <v>179</v>
      </c>
      <c r="O31" s="1104" t="s">
        <v>973</v>
      </c>
      <c r="P31" s="1105"/>
      <c r="Q31" s="736"/>
    </row>
    <row r="32" spans="1:17">
      <c r="B32" s="1044" t="s">
        <v>945</v>
      </c>
      <c r="C32" s="956" t="s">
        <v>113</v>
      </c>
      <c r="D32" s="1049">
        <v>10568871</v>
      </c>
      <c r="E32" s="1050">
        <v>12420</v>
      </c>
      <c r="F32" s="960">
        <v>-80.22</v>
      </c>
      <c r="G32" s="961">
        <v>-80.22</v>
      </c>
      <c r="H32" s="961">
        <v>0</v>
      </c>
      <c r="I32" s="736"/>
      <c r="J32" s="736"/>
      <c r="M32" s="736"/>
      <c r="N32" s="736"/>
      <c r="O32" s="736"/>
      <c r="P32" s="736"/>
      <c r="Q32" s="736"/>
    </row>
    <row r="33" spans="2:17">
      <c r="B33" s="1044" t="s">
        <v>945</v>
      </c>
      <c r="C33" s="956" t="s">
        <v>115</v>
      </c>
      <c r="D33" s="1049">
        <v>10569597</v>
      </c>
      <c r="E33" s="1050">
        <v>12420</v>
      </c>
      <c r="F33" s="960">
        <v>-96.26</v>
      </c>
      <c r="G33" s="961">
        <v>-96.26</v>
      </c>
      <c r="H33" s="961">
        <v>0</v>
      </c>
      <c r="I33" s="736"/>
      <c r="J33" s="736"/>
      <c r="N33" s="736"/>
      <c r="O33" s="736"/>
      <c r="P33" s="736"/>
      <c r="Q33" s="736"/>
    </row>
    <row r="34" spans="2:17">
      <c r="B34" s="1044" t="s">
        <v>944</v>
      </c>
      <c r="C34" s="956" t="s">
        <v>747</v>
      </c>
      <c r="D34" s="1049">
        <v>10570069</v>
      </c>
      <c r="E34" s="1050">
        <v>21551</v>
      </c>
      <c r="F34" s="960">
        <v>-4458.22</v>
      </c>
      <c r="G34" s="961">
        <v>-4458.22</v>
      </c>
      <c r="H34" s="961">
        <v>0</v>
      </c>
      <c r="I34" s="736"/>
      <c r="J34" s="736"/>
      <c r="M34" s="736"/>
      <c r="N34" s="736"/>
      <c r="O34" s="736"/>
      <c r="P34" s="736"/>
      <c r="Q34" s="736"/>
    </row>
    <row r="35" spans="2:17">
      <c r="B35" s="1044" t="s">
        <v>944</v>
      </c>
      <c r="C35" s="956" t="s">
        <v>747</v>
      </c>
      <c r="D35" s="1049">
        <v>10570144</v>
      </c>
      <c r="E35" s="1050">
        <v>24108</v>
      </c>
      <c r="F35" s="960">
        <v>-1162.83</v>
      </c>
      <c r="G35" s="961">
        <v>-1162.83</v>
      </c>
      <c r="H35" s="961">
        <v>0</v>
      </c>
      <c r="I35" s="736"/>
      <c r="J35" s="736"/>
      <c r="M35" s="736"/>
      <c r="N35" s="736"/>
      <c r="O35" s="736"/>
      <c r="P35" s="736"/>
      <c r="Q35" s="736"/>
    </row>
    <row r="36" spans="2:17">
      <c r="B36" s="1044" t="s">
        <v>944</v>
      </c>
      <c r="C36" s="956" t="s">
        <v>747</v>
      </c>
      <c r="D36" s="1049">
        <v>10571487</v>
      </c>
      <c r="E36" s="1050">
        <v>25204</v>
      </c>
      <c r="F36" s="960">
        <v>-27190.010000000002</v>
      </c>
      <c r="G36" s="961">
        <v>-27190.010000000002</v>
      </c>
      <c r="H36" s="961">
        <v>0</v>
      </c>
      <c r="I36" s="736"/>
      <c r="J36" s="736"/>
      <c r="M36" s="736"/>
      <c r="N36" s="736"/>
      <c r="O36" s="736"/>
      <c r="P36" s="736"/>
      <c r="Q36" s="736"/>
    </row>
    <row r="37" spans="2:17">
      <c r="B37" s="1044" t="s">
        <v>944</v>
      </c>
      <c r="C37" s="956" t="s">
        <v>753</v>
      </c>
      <c r="D37" s="1049">
        <v>10586023</v>
      </c>
      <c r="E37" s="1050">
        <v>25569</v>
      </c>
      <c r="F37" s="960">
        <v>-946</v>
      </c>
      <c r="G37" s="961">
        <v>-946</v>
      </c>
      <c r="H37" s="961">
        <v>0</v>
      </c>
      <c r="I37" s="736"/>
      <c r="M37" s="736"/>
      <c r="N37" s="736"/>
      <c r="O37" s="736"/>
      <c r="P37" s="736"/>
      <c r="Q37" s="736"/>
    </row>
    <row r="38" spans="2:17">
      <c r="B38" s="1044" t="s">
        <v>944</v>
      </c>
      <c r="C38" s="956" t="s">
        <v>759</v>
      </c>
      <c r="D38" s="1049">
        <v>10572340</v>
      </c>
      <c r="E38" s="1051">
        <v>26665</v>
      </c>
      <c r="F38" s="960">
        <v>-66.17</v>
      </c>
      <c r="G38" s="961">
        <v>-66.17</v>
      </c>
      <c r="H38" s="961">
        <v>0</v>
      </c>
      <c r="I38" s="736"/>
      <c r="J38" s="736"/>
      <c r="M38" s="736"/>
      <c r="N38" s="736"/>
      <c r="O38" s="736"/>
      <c r="P38" s="736"/>
      <c r="Q38" s="736"/>
    </row>
    <row r="39" spans="2:17">
      <c r="B39" s="1044" t="s">
        <v>944</v>
      </c>
      <c r="C39" s="956" t="s">
        <v>753</v>
      </c>
      <c r="D39" s="1049">
        <v>10572698</v>
      </c>
      <c r="E39" s="1051">
        <v>28491</v>
      </c>
      <c r="F39" s="960">
        <v>-4210.04</v>
      </c>
      <c r="G39" s="961">
        <v>-4210.04</v>
      </c>
      <c r="H39" s="961">
        <v>0</v>
      </c>
      <c r="I39" s="736"/>
      <c r="J39" s="736"/>
      <c r="M39" s="736"/>
      <c r="N39" s="736"/>
      <c r="O39" s="736"/>
      <c r="P39" s="736"/>
      <c r="Q39" s="736"/>
    </row>
    <row r="40" spans="2:17">
      <c r="B40" s="1044" t="s">
        <v>944</v>
      </c>
      <c r="C40" s="956" t="s">
        <v>747</v>
      </c>
      <c r="D40" s="1049">
        <v>10571350</v>
      </c>
      <c r="E40" s="1051">
        <v>33604</v>
      </c>
      <c r="F40" s="960">
        <v>-36852.21</v>
      </c>
      <c r="G40" s="961">
        <v>-36852.21</v>
      </c>
      <c r="H40" s="961">
        <v>0</v>
      </c>
      <c r="I40" s="736"/>
      <c r="J40" s="736"/>
      <c r="M40" s="736"/>
      <c r="N40" s="736"/>
      <c r="O40" s="736"/>
      <c r="P40" s="736"/>
      <c r="Q40" s="736"/>
    </row>
    <row r="41" spans="2:17">
      <c r="B41" s="1044" t="s">
        <v>944</v>
      </c>
      <c r="C41" s="956" t="s">
        <v>747</v>
      </c>
      <c r="D41" s="1049">
        <v>10608567</v>
      </c>
      <c r="E41" s="1051">
        <v>36526</v>
      </c>
      <c r="F41" s="962">
        <v>-449962.54000000004</v>
      </c>
      <c r="G41" s="963">
        <v>-347849.84102256002</v>
      </c>
      <c r="H41" s="963">
        <v>-102112.69897744001</v>
      </c>
      <c r="I41" s="963">
        <v>0</v>
      </c>
      <c r="J41" s="963">
        <v>0</v>
      </c>
      <c r="K41" s="963">
        <v>-102112.69897744001</v>
      </c>
      <c r="L41" s="963">
        <v>-102112.69897744001</v>
      </c>
      <c r="M41" s="963">
        <v>-20371.483445999282</v>
      </c>
      <c r="N41" s="963">
        <v>-5105.6349488720007</v>
      </c>
      <c r="O41" s="736"/>
      <c r="P41" s="736"/>
      <c r="Q41" s="736"/>
    </row>
    <row r="42" spans="2:17">
      <c r="B42" s="1044" t="s">
        <v>945</v>
      </c>
      <c r="C42" s="956" t="s">
        <v>745</v>
      </c>
      <c r="D42" s="1049">
        <v>95640831</v>
      </c>
      <c r="E42" s="1051">
        <v>41608</v>
      </c>
      <c r="F42" s="962">
        <v>-8.51</v>
      </c>
      <c r="G42" s="963">
        <v>-2.9943626399999994</v>
      </c>
      <c r="H42" s="963">
        <v>-5.5156373600000004</v>
      </c>
      <c r="I42" s="963">
        <v>1.8034391999999997</v>
      </c>
      <c r="J42" s="963">
        <v>3.6068784000000003</v>
      </c>
      <c r="K42" s="963">
        <v>-3.7121981600000007</v>
      </c>
      <c r="L42" s="963">
        <v>-1.9087589600000001</v>
      </c>
      <c r="M42" s="963">
        <v>-0.75951964452000009</v>
      </c>
      <c r="N42" s="963">
        <v>-9.5437948000000009E-2</v>
      </c>
      <c r="O42" s="736"/>
      <c r="P42" s="736"/>
      <c r="Q42" s="736"/>
    </row>
    <row r="43" spans="2:17">
      <c r="B43" s="1044" t="s">
        <v>945</v>
      </c>
      <c r="C43" s="956" t="s">
        <v>749</v>
      </c>
      <c r="D43" s="1049">
        <v>279363760</v>
      </c>
      <c r="E43" s="1051">
        <v>42155</v>
      </c>
      <c r="F43" s="962">
        <v>-21900.11</v>
      </c>
      <c r="G43" s="963">
        <v>-6286.7331770399987</v>
      </c>
      <c r="H43" s="963">
        <v>-15613.376822960003</v>
      </c>
      <c r="I43" s="963">
        <v>0</v>
      </c>
      <c r="J43" s="963">
        <v>0</v>
      </c>
      <c r="K43" s="963">
        <v>-15613.376822960003</v>
      </c>
      <c r="L43" s="963">
        <v>-15613.376822960003</v>
      </c>
      <c r="M43" s="963">
        <v>-3114.8686761805207</v>
      </c>
      <c r="N43" s="963">
        <v>-780.66884114800018</v>
      </c>
      <c r="O43" s="736"/>
      <c r="P43" s="736"/>
      <c r="Q43" s="736"/>
    </row>
    <row r="44" spans="2:17" ht="15">
      <c r="B44" s="1044" t="s">
        <v>945</v>
      </c>
      <c r="C44" s="956" t="s">
        <v>749</v>
      </c>
      <c r="D44" s="1049">
        <v>664268683</v>
      </c>
      <c r="E44" s="1051">
        <v>43160</v>
      </c>
      <c r="F44" s="964">
        <v>-13957.67</v>
      </c>
      <c r="G44" s="965">
        <v>-2650.0590568799998</v>
      </c>
      <c r="H44" s="965">
        <v>-11307.61094312</v>
      </c>
      <c r="I44" s="965">
        <v>0</v>
      </c>
      <c r="J44" s="965">
        <v>0</v>
      </c>
      <c r="K44" s="965">
        <v>-11307.61094312</v>
      </c>
      <c r="L44" s="965">
        <v>-11307.61094312</v>
      </c>
      <c r="M44" s="965">
        <v>-2255.8683831524399</v>
      </c>
      <c r="N44" s="965">
        <v>-565.38054715600003</v>
      </c>
      <c r="O44" s="736"/>
      <c r="P44" s="736"/>
      <c r="Q44" s="736"/>
    </row>
    <row r="45" spans="2:17">
      <c r="C45" s="953"/>
      <c r="D45" s="736"/>
      <c r="E45" s="957"/>
      <c r="F45" s="959">
        <f>SUM(F32:F44)</f>
        <v>-560890.79</v>
      </c>
      <c r="G45" s="959">
        <f>SUM(G32:G44)</f>
        <v>-431851.58761912002</v>
      </c>
      <c r="H45" s="959">
        <f>SUM(H32:H44)</f>
        <v>-129039.20238088001</v>
      </c>
      <c r="I45" s="959"/>
      <c r="J45" s="959"/>
      <c r="K45" s="1103">
        <v>-129037.39894168003</v>
      </c>
      <c r="L45" s="1103">
        <v>-129035.59550248002</v>
      </c>
      <c r="M45" s="959">
        <v>-25742.98</v>
      </c>
      <c r="N45" s="959">
        <v>-6451.78</v>
      </c>
      <c r="O45" s="736"/>
      <c r="P45" s="736"/>
      <c r="Q45" s="736"/>
    </row>
    <row r="46" spans="2:17">
      <c r="B46" s="953"/>
      <c r="C46" s="736"/>
      <c r="D46" s="957"/>
      <c r="E46" s="958"/>
      <c r="F46" s="954"/>
      <c r="G46" s="955"/>
      <c r="H46" s="955"/>
      <c r="M46" s="736"/>
      <c r="N46" s="1106">
        <v>-32194.76</v>
      </c>
      <c r="O46" s="971" t="s">
        <v>974</v>
      </c>
      <c r="P46" s="736"/>
      <c r="Q46" s="736"/>
    </row>
    <row r="47" spans="2:17">
      <c r="B47" s="953"/>
      <c r="C47" s="736"/>
      <c r="D47" s="957"/>
      <c r="E47" s="958"/>
      <c r="F47" s="954"/>
      <c r="G47" s="955"/>
      <c r="H47" s="955"/>
      <c r="I47" s="736"/>
      <c r="J47" s="736"/>
    </row>
    <row r="48" spans="2:17">
      <c r="B48" s="953"/>
      <c r="C48" s="736"/>
      <c r="D48" s="957"/>
      <c r="E48" s="958"/>
      <c r="F48" s="954"/>
      <c r="G48" s="955"/>
      <c r="H48" s="955"/>
      <c r="I48" s="736"/>
      <c r="J48" s="736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C8:N8 C16:N16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3D6D7-1637-4EAB-B7BF-27ED2176488B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2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'202212 Bk Depr'!R13</f>
        <v>0</v>
      </c>
      <c r="H13" s="1">
        <f>1.62%/12</f>
        <v>1.3500000000000003E-3</v>
      </c>
      <c r="J13" s="278">
        <f>F13*H13</f>
        <v>0</v>
      </c>
      <c r="L13" s="415">
        <f>'Cap&amp;OpEx 2023'!C9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'202212 Bk Depr'!R15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-556482.17999999959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E15" s="6" t="s">
        <v>1035</v>
      </c>
      <c r="F15" s="419">
        <f>'202212 Bk Depr'!R16</f>
        <v>16470003.770000009</v>
      </c>
      <c r="H15" s="1">
        <f>3.24%/12</f>
        <v>2.7000000000000006E-3</v>
      </c>
      <c r="J15" s="278">
        <f t="shared" si="0"/>
        <v>44469.010179000034</v>
      </c>
      <c r="L15" s="415">
        <f>'Cap&amp;OpEx 2023'!C10</f>
        <v>690320.86</v>
      </c>
      <c r="N15" s="278">
        <f t="shared" si="1"/>
        <v>931.93316100000015</v>
      </c>
      <c r="P15" s="278">
        <f t="shared" si="2"/>
        <v>45400.943340000034</v>
      </c>
      <c r="R15" s="278">
        <f t="shared" si="3"/>
        <v>17160324.63000001</v>
      </c>
      <c r="Y15" s="488">
        <f>R18</f>
        <v>60473747.68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'202212 Bk Depr'!R17</f>
        <v>0</v>
      </c>
      <c r="H16" s="1">
        <f>3.24%/12</f>
        <v>2.7000000000000006E-3</v>
      </c>
      <c r="J16" s="278">
        <f t="shared" si="0"/>
        <v>0</v>
      </c>
      <c r="L16" s="415">
        <f>'Cap&amp;OpEx 2023'!C11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59917265.5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'202212 Bk Depr'!R18</f>
        <v>42598216.50999999</v>
      </c>
      <c r="H17" s="1">
        <f>3.24%/12</f>
        <v>2.7000000000000006E-3</v>
      </c>
      <c r="J17" s="278">
        <f t="shared" si="0"/>
        <v>115015.18457699999</v>
      </c>
      <c r="L17" s="416">
        <f>'Cap&amp;OpEx 2023'!C12</f>
        <v>715206.53999999992</v>
      </c>
      <c r="N17" s="278">
        <f t="shared" si="1"/>
        <v>965.52882900000009</v>
      </c>
      <c r="P17" s="278">
        <f t="shared" si="2"/>
        <v>115980.713406</v>
      </c>
      <c r="R17" s="278">
        <f t="shared" si="3"/>
        <v>43313423.04999999</v>
      </c>
      <c r="Y17" s="488">
        <f>'Rev Req 2023-Distr'!E11</f>
        <v>59917265.5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59068220.280000001</v>
      </c>
      <c r="J18" s="276">
        <f>SUM(J13:J17)</f>
        <v>159484.19475600001</v>
      </c>
      <c r="L18" s="276">
        <f>SUM(L13:L17)</f>
        <v>1405527.4</v>
      </c>
      <c r="N18" s="276">
        <f>SUM(N13:N17)</f>
        <v>1897.4619900000002</v>
      </c>
      <c r="P18" s="276">
        <f>SUM(P13:P17)</f>
        <v>161381.65674600002</v>
      </c>
      <c r="R18" s="276">
        <f>SUM(R13:R17)</f>
        <v>60473747.68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'202212 Bk Depr'!R22</f>
        <v>0</v>
      </c>
      <c r="H21" s="1">
        <f>1.62%/12</f>
        <v>1.3500000000000003E-3</v>
      </c>
      <c r="J21" s="278">
        <f>F21*H21</f>
        <v>0</v>
      </c>
      <c r="L21" s="415">
        <f>'Cap&amp;OpEx 2023'!C15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'202212 Bk Depr'!R24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'202212 Bk Depr'!R25</f>
        <v>-553421.32999999961</v>
      </c>
      <c r="H23" s="1">
        <f>3.24%/12</f>
        <v>2.7000000000000006E-3</v>
      </c>
      <c r="J23" s="278">
        <f t="shared" si="4"/>
        <v>-1494.2375909999992</v>
      </c>
      <c r="L23" s="415">
        <f>'Cap&amp;OpEx 2023'!C16</f>
        <v>0</v>
      </c>
      <c r="N23" s="486">
        <f t="shared" si="5"/>
        <v>0</v>
      </c>
      <c r="P23" s="278">
        <f t="shared" si="6"/>
        <v>-1494.2375909999992</v>
      </c>
      <c r="R23" s="278">
        <f t="shared" si="7"/>
        <v>-553421.32999999961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'202212 Bk Depr'!R26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2023'!C17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'202212 Bk Depr'!R27</f>
        <v>-3060.8500000000004</v>
      </c>
      <c r="H25" s="1">
        <f>3.24%/12</f>
        <v>2.7000000000000006E-3</v>
      </c>
      <c r="J25" s="278">
        <f t="shared" si="4"/>
        <v>-8.2642950000000024</v>
      </c>
      <c r="L25" s="416">
        <f>'Cap&amp;OpEx 2023'!C18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-556482.17999999959</v>
      </c>
      <c r="J26" s="276">
        <f>SUM(J21:J25)</f>
        <v>-1502.5018859999991</v>
      </c>
      <c r="L26" s="276">
        <f>SUM(L21:L25)</f>
        <v>0</v>
      </c>
      <c r="N26" s="276">
        <f>SUM(N21:N25)</f>
        <v>0</v>
      </c>
      <c r="P26" s="276">
        <f>SUM(P21:P25)</f>
        <v>-1502.5018859999991</v>
      </c>
      <c r="R26" s="276">
        <f>SUM(R21:R25)</f>
        <v>-556482.17999999959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58511738.100000001</v>
      </c>
      <c r="G28" s="6"/>
      <c r="H28" s="4"/>
      <c r="I28" s="6"/>
      <c r="J28" s="277">
        <f>J18+J26</f>
        <v>157981.69287</v>
      </c>
      <c r="K28" s="6"/>
      <c r="L28" s="277">
        <f>L18+L26</f>
        <v>1405527.4</v>
      </c>
      <c r="M28" s="6"/>
      <c r="N28" s="277">
        <f>N18+N26</f>
        <v>1897.4619900000002</v>
      </c>
      <c r="O28" s="6"/>
      <c r="P28" s="277">
        <f>P18+P26</f>
        <v>159879.15486000001</v>
      </c>
      <c r="Q28" s="6"/>
      <c r="R28" s="277">
        <f>R18+R26</f>
        <v>59917265.5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'202212 Bk Depr'!R33</f>
        <v>0</v>
      </c>
      <c r="J31" s="278"/>
      <c r="L31" s="415">
        <f>'Cap&amp;OpEx 2023'!C27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'202212 Bk Depr'!R35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'202212 Bk Depr'!R36</f>
        <v>4167706.6700000004</v>
      </c>
      <c r="J33" s="278"/>
      <c r="L33" s="415">
        <f>'Cap&amp;OpEx 2023'!C28</f>
        <v>85467.180000000008</v>
      </c>
      <c r="N33" s="278"/>
      <c r="P33" s="278"/>
      <c r="R33" s="278">
        <f t="shared" si="8"/>
        <v>4253173.8500000006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'202212 Bk Depr'!R37</f>
        <v>0</v>
      </c>
      <c r="G34" s="397"/>
      <c r="I34" s="397"/>
      <c r="J34" s="274"/>
      <c r="K34" s="397"/>
      <c r="L34" s="415">
        <f>'Cap&amp;OpEx 2023'!C29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'202212 Bk Depr'!R38</f>
        <v>62492.56</v>
      </c>
      <c r="J35" s="278"/>
      <c r="L35" s="416">
        <f>'Cap&amp;OpEx 2023'!C30</f>
        <v>8655.2200000000012</v>
      </c>
      <c r="N35" s="278"/>
      <c r="P35" s="278"/>
      <c r="R35" s="278">
        <f t="shared" si="8"/>
        <v>71147.78</v>
      </c>
    </row>
    <row r="36" spans="1:26">
      <c r="A36" s="6">
        <v>19</v>
      </c>
      <c r="B36" s="4"/>
      <c r="C36" s="4" t="s">
        <v>23</v>
      </c>
      <c r="F36" s="276">
        <f>SUM(F31:F35)</f>
        <v>4230199.2300000004</v>
      </c>
      <c r="J36" s="276">
        <f>SUM(J31:J35)</f>
        <v>0</v>
      </c>
      <c r="L36" s="276">
        <f>SUM(L31:L35)</f>
        <v>94122.400000000009</v>
      </c>
      <c r="N36" s="276">
        <f>SUM(N31:N35)</f>
        <v>0</v>
      </c>
      <c r="P36" s="276">
        <f>SUM(P31:P35)</f>
        <v>0</v>
      </c>
      <c r="R36" s="276">
        <f>SUM(R31:R35)</f>
        <v>4324321.6300000008</v>
      </c>
    </row>
    <row r="37" spans="1:26" ht="18" customHeight="1"/>
    <row r="38" spans="1:26" ht="17.25" customHeight="1">
      <c r="C38" s="1100" t="s">
        <v>1032</v>
      </c>
    </row>
    <row r="39" spans="1:26">
      <c r="C39" s="668"/>
      <c r="Q39" s="389"/>
    </row>
    <row r="40" spans="1:26">
      <c r="L40" s="784" t="s">
        <v>638</v>
      </c>
      <c r="P40" s="784" t="s">
        <v>638</v>
      </c>
      <c r="Q40" s="389"/>
      <c r="R40" s="585"/>
    </row>
    <row r="41" spans="1:26">
      <c r="L41" s="785">
        <f>L28-'Cap&amp;OpEx 2023'!C13</f>
        <v>0</v>
      </c>
      <c r="M41" s="389"/>
      <c r="N41" s="390"/>
      <c r="O41" s="389"/>
      <c r="P41" s="785">
        <f>P28-'Rev Req 2023-Distr'!E25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4 of 17&amp;L&amp;1#&amp;"Calibri"&amp;14&amp;K000000Business Use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C19B4-F71C-4F2D-9D7B-2F6C19A90648}">
  <sheetPr>
    <pageSetUpPr fitToPage="1"/>
  </sheetPr>
  <dimension ref="B1:I35"/>
  <sheetViews>
    <sheetView view="pageBreakPreview" zoomScaleNormal="100" zoomScaleSheetLayoutView="100" workbookViewId="0"/>
  </sheetViews>
  <sheetFormatPr defaultRowHeight="15.75"/>
  <cols>
    <col min="1" max="1" width="9.140625" style="253"/>
    <col min="2" max="2" width="2.42578125" style="253" customWidth="1"/>
    <col min="3" max="3" width="12" style="253" customWidth="1"/>
    <col min="4" max="8" width="12.140625" style="253" customWidth="1"/>
    <col min="9" max="9" width="12" style="253" customWidth="1"/>
    <col min="10" max="10" width="2.140625" style="253" customWidth="1"/>
    <col min="11" max="257" width="9.140625" style="253"/>
    <col min="258" max="258" width="2.42578125" style="253" customWidth="1"/>
    <col min="259" max="265" width="12.140625" style="253" customWidth="1"/>
    <col min="266" max="266" width="2.140625" style="253" customWidth="1"/>
    <col min="267" max="513" width="9.140625" style="253"/>
    <col min="514" max="514" width="2.42578125" style="253" customWidth="1"/>
    <col min="515" max="521" width="12.140625" style="253" customWidth="1"/>
    <col min="522" max="522" width="2.140625" style="253" customWidth="1"/>
    <col min="523" max="769" width="9.140625" style="253"/>
    <col min="770" max="770" width="2.42578125" style="253" customWidth="1"/>
    <col min="771" max="777" width="12.140625" style="253" customWidth="1"/>
    <col min="778" max="778" width="2.140625" style="253" customWidth="1"/>
    <col min="779" max="1025" width="9.140625" style="253"/>
    <col min="1026" max="1026" width="2.42578125" style="253" customWidth="1"/>
    <col min="1027" max="1033" width="12.140625" style="253" customWidth="1"/>
    <col min="1034" max="1034" width="2.140625" style="253" customWidth="1"/>
    <col min="1035" max="1281" width="9.140625" style="253"/>
    <col min="1282" max="1282" width="2.42578125" style="253" customWidth="1"/>
    <col min="1283" max="1289" width="12.140625" style="253" customWidth="1"/>
    <col min="1290" max="1290" width="2.140625" style="253" customWidth="1"/>
    <col min="1291" max="1537" width="9.140625" style="253"/>
    <col min="1538" max="1538" width="2.42578125" style="253" customWidth="1"/>
    <col min="1539" max="1545" width="12.140625" style="253" customWidth="1"/>
    <col min="1546" max="1546" width="2.140625" style="253" customWidth="1"/>
    <col min="1547" max="1793" width="9.140625" style="253"/>
    <col min="1794" max="1794" width="2.42578125" style="253" customWidth="1"/>
    <col min="1795" max="1801" width="12.140625" style="253" customWidth="1"/>
    <col min="1802" max="1802" width="2.140625" style="253" customWidth="1"/>
    <col min="1803" max="2049" width="9.140625" style="253"/>
    <col min="2050" max="2050" width="2.42578125" style="253" customWidth="1"/>
    <col min="2051" max="2057" width="12.140625" style="253" customWidth="1"/>
    <col min="2058" max="2058" width="2.140625" style="253" customWidth="1"/>
    <col min="2059" max="2305" width="9.140625" style="253"/>
    <col min="2306" max="2306" width="2.42578125" style="253" customWidth="1"/>
    <col min="2307" max="2313" width="12.140625" style="253" customWidth="1"/>
    <col min="2314" max="2314" width="2.140625" style="253" customWidth="1"/>
    <col min="2315" max="2561" width="9.140625" style="253"/>
    <col min="2562" max="2562" width="2.42578125" style="253" customWidth="1"/>
    <col min="2563" max="2569" width="12.140625" style="253" customWidth="1"/>
    <col min="2570" max="2570" width="2.140625" style="253" customWidth="1"/>
    <col min="2571" max="2817" width="9.140625" style="253"/>
    <col min="2818" max="2818" width="2.42578125" style="253" customWidth="1"/>
    <col min="2819" max="2825" width="12.140625" style="253" customWidth="1"/>
    <col min="2826" max="2826" width="2.140625" style="253" customWidth="1"/>
    <col min="2827" max="3073" width="9.140625" style="253"/>
    <col min="3074" max="3074" width="2.42578125" style="253" customWidth="1"/>
    <col min="3075" max="3081" width="12.140625" style="253" customWidth="1"/>
    <col min="3082" max="3082" width="2.140625" style="253" customWidth="1"/>
    <col min="3083" max="3329" width="9.140625" style="253"/>
    <col min="3330" max="3330" width="2.42578125" style="253" customWidth="1"/>
    <col min="3331" max="3337" width="12.140625" style="253" customWidth="1"/>
    <col min="3338" max="3338" width="2.140625" style="253" customWidth="1"/>
    <col min="3339" max="3585" width="9.140625" style="253"/>
    <col min="3586" max="3586" width="2.42578125" style="253" customWidth="1"/>
    <col min="3587" max="3593" width="12.140625" style="253" customWidth="1"/>
    <col min="3594" max="3594" width="2.140625" style="253" customWidth="1"/>
    <col min="3595" max="3841" width="9.140625" style="253"/>
    <col min="3842" max="3842" width="2.42578125" style="253" customWidth="1"/>
    <col min="3843" max="3849" width="12.140625" style="253" customWidth="1"/>
    <col min="3850" max="3850" width="2.140625" style="253" customWidth="1"/>
    <col min="3851" max="4097" width="9.140625" style="253"/>
    <col min="4098" max="4098" width="2.42578125" style="253" customWidth="1"/>
    <col min="4099" max="4105" width="12.140625" style="253" customWidth="1"/>
    <col min="4106" max="4106" width="2.140625" style="253" customWidth="1"/>
    <col min="4107" max="4353" width="9.140625" style="253"/>
    <col min="4354" max="4354" width="2.42578125" style="253" customWidth="1"/>
    <col min="4355" max="4361" width="12.140625" style="253" customWidth="1"/>
    <col min="4362" max="4362" width="2.140625" style="253" customWidth="1"/>
    <col min="4363" max="4609" width="9.140625" style="253"/>
    <col min="4610" max="4610" width="2.42578125" style="253" customWidth="1"/>
    <col min="4611" max="4617" width="12.140625" style="253" customWidth="1"/>
    <col min="4618" max="4618" width="2.140625" style="253" customWidth="1"/>
    <col min="4619" max="4865" width="9.140625" style="253"/>
    <col min="4866" max="4866" width="2.42578125" style="253" customWidth="1"/>
    <col min="4867" max="4873" width="12.140625" style="253" customWidth="1"/>
    <col min="4874" max="4874" width="2.140625" style="253" customWidth="1"/>
    <col min="4875" max="5121" width="9.140625" style="253"/>
    <col min="5122" max="5122" width="2.42578125" style="253" customWidth="1"/>
    <col min="5123" max="5129" width="12.140625" style="253" customWidth="1"/>
    <col min="5130" max="5130" width="2.140625" style="253" customWidth="1"/>
    <col min="5131" max="5377" width="9.140625" style="253"/>
    <col min="5378" max="5378" width="2.42578125" style="253" customWidth="1"/>
    <col min="5379" max="5385" width="12.140625" style="253" customWidth="1"/>
    <col min="5386" max="5386" width="2.140625" style="253" customWidth="1"/>
    <col min="5387" max="5633" width="9.140625" style="253"/>
    <col min="5634" max="5634" width="2.42578125" style="253" customWidth="1"/>
    <col min="5635" max="5641" width="12.140625" style="253" customWidth="1"/>
    <col min="5642" max="5642" width="2.140625" style="253" customWidth="1"/>
    <col min="5643" max="5889" width="9.140625" style="253"/>
    <col min="5890" max="5890" width="2.42578125" style="253" customWidth="1"/>
    <col min="5891" max="5897" width="12.140625" style="253" customWidth="1"/>
    <col min="5898" max="5898" width="2.140625" style="253" customWidth="1"/>
    <col min="5899" max="6145" width="9.140625" style="253"/>
    <col min="6146" max="6146" width="2.42578125" style="253" customWidth="1"/>
    <col min="6147" max="6153" width="12.140625" style="253" customWidth="1"/>
    <col min="6154" max="6154" width="2.140625" style="253" customWidth="1"/>
    <col min="6155" max="6401" width="9.140625" style="253"/>
    <col min="6402" max="6402" width="2.42578125" style="253" customWidth="1"/>
    <col min="6403" max="6409" width="12.140625" style="253" customWidth="1"/>
    <col min="6410" max="6410" width="2.140625" style="253" customWidth="1"/>
    <col min="6411" max="6657" width="9.140625" style="253"/>
    <col min="6658" max="6658" width="2.42578125" style="253" customWidth="1"/>
    <col min="6659" max="6665" width="12.140625" style="253" customWidth="1"/>
    <col min="6666" max="6666" width="2.140625" style="253" customWidth="1"/>
    <col min="6667" max="6913" width="9.140625" style="253"/>
    <col min="6914" max="6914" width="2.42578125" style="253" customWidth="1"/>
    <col min="6915" max="6921" width="12.140625" style="253" customWidth="1"/>
    <col min="6922" max="6922" width="2.140625" style="253" customWidth="1"/>
    <col min="6923" max="7169" width="9.140625" style="253"/>
    <col min="7170" max="7170" width="2.42578125" style="253" customWidth="1"/>
    <col min="7171" max="7177" width="12.140625" style="253" customWidth="1"/>
    <col min="7178" max="7178" width="2.140625" style="253" customWidth="1"/>
    <col min="7179" max="7425" width="9.140625" style="253"/>
    <col min="7426" max="7426" width="2.42578125" style="253" customWidth="1"/>
    <col min="7427" max="7433" width="12.140625" style="253" customWidth="1"/>
    <col min="7434" max="7434" width="2.140625" style="253" customWidth="1"/>
    <col min="7435" max="7681" width="9.140625" style="253"/>
    <col min="7682" max="7682" width="2.42578125" style="253" customWidth="1"/>
    <col min="7683" max="7689" width="12.140625" style="253" customWidth="1"/>
    <col min="7690" max="7690" width="2.140625" style="253" customWidth="1"/>
    <col min="7691" max="7937" width="9.140625" style="253"/>
    <col min="7938" max="7938" width="2.42578125" style="253" customWidth="1"/>
    <col min="7939" max="7945" width="12.140625" style="253" customWidth="1"/>
    <col min="7946" max="7946" width="2.140625" style="253" customWidth="1"/>
    <col min="7947" max="8193" width="9.140625" style="253"/>
    <col min="8194" max="8194" width="2.42578125" style="253" customWidth="1"/>
    <col min="8195" max="8201" width="12.140625" style="253" customWidth="1"/>
    <col min="8202" max="8202" width="2.140625" style="253" customWidth="1"/>
    <col min="8203" max="8449" width="9.140625" style="253"/>
    <col min="8450" max="8450" width="2.42578125" style="253" customWidth="1"/>
    <col min="8451" max="8457" width="12.140625" style="253" customWidth="1"/>
    <col min="8458" max="8458" width="2.140625" style="253" customWidth="1"/>
    <col min="8459" max="8705" width="9.140625" style="253"/>
    <col min="8706" max="8706" width="2.42578125" style="253" customWidth="1"/>
    <col min="8707" max="8713" width="12.140625" style="253" customWidth="1"/>
    <col min="8714" max="8714" width="2.140625" style="253" customWidth="1"/>
    <col min="8715" max="8961" width="9.140625" style="253"/>
    <col min="8962" max="8962" width="2.42578125" style="253" customWidth="1"/>
    <col min="8963" max="8969" width="12.140625" style="253" customWidth="1"/>
    <col min="8970" max="8970" width="2.140625" style="253" customWidth="1"/>
    <col min="8971" max="9217" width="9.140625" style="253"/>
    <col min="9218" max="9218" width="2.42578125" style="253" customWidth="1"/>
    <col min="9219" max="9225" width="12.140625" style="253" customWidth="1"/>
    <col min="9226" max="9226" width="2.140625" style="253" customWidth="1"/>
    <col min="9227" max="9473" width="9.140625" style="253"/>
    <col min="9474" max="9474" width="2.42578125" style="253" customWidth="1"/>
    <col min="9475" max="9481" width="12.140625" style="253" customWidth="1"/>
    <col min="9482" max="9482" width="2.140625" style="253" customWidth="1"/>
    <col min="9483" max="9729" width="9.140625" style="253"/>
    <col min="9730" max="9730" width="2.42578125" style="253" customWidth="1"/>
    <col min="9731" max="9737" width="12.140625" style="253" customWidth="1"/>
    <col min="9738" max="9738" width="2.140625" style="253" customWidth="1"/>
    <col min="9739" max="9985" width="9.140625" style="253"/>
    <col min="9986" max="9986" width="2.42578125" style="253" customWidth="1"/>
    <col min="9987" max="9993" width="12.140625" style="253" customWidth="1"/>
    <col min="9994" max="9994" width="2.140625" style="253" customWidth="1"/>
    <col min="9995" max="10241" width="9.140625" style="253"/>
    <col min="10242" max="10242" width="2.42578125" style="253" customWidth="1"/>
    <col min="10243" max="10249" width="12.140625" style="253" customWidth="1"/>
    <col min="10250" max="10250" width="2.140625" style="253" customWidth="1"/>
    <col min="10251" max="10497" width="9.140625" style="253"/>
    <col min="10498" max="10498" width="2.42578125" style="253" customWidth="1"/>
    <col min="10499" max="10505" width="12.140625" style="253" customWidth="1"/>
    <col min="10506" max="10506" width="2.140625" style="253" customWidth="1"/>
    <col min="10507" max="10753" width="9.140625" style="253"/>
    <col min="10754" max="10754" width="2.42578125" style="253" customWidth="1"/>
    <col min="10755" max="10761" width="12.140625" style="253" customWidth="1"/>
    <col min="10762" max="10762" width="2.140625" style="253" customWidth="1"/>
    <col min="10763" max="11009" width="9.140625" style="253"/>
    <col min="11010" max="11010" width="2.42578125" style="253" customWidth="1"/>
    <col min="11011" max="11017" width="12.140625" style="253" customWidth="1"/>
    <col min="11018" max="11018" width="2.140625" style="253" customWidth="1"/>
    <col min="11019" max="11265" width="9.140625" style="253"/>
    <col min="11266" max="11266" width="2.42578125" style="253" customWidth="1"/>
    <col min="11267" max="11273" width="12.140625" style="253" customWidth="1"/>
    <col min="11274" max="11274" width="2.140625" style="253" customWidth="1"/>
    <col min="11275" max="11521" width="9.140625" style="253"/>
    <col min="11522" max="11522" width="2.42578125" style="253" customWidth="1"/>
    <col min="11523" max="11529" width="12.140625" style="253" customWidth="1"/>
    <col min="11530" max="11530" width="2.140625" style="253" customWidth="1"/>
    <col min="11531" max="11777" width="9.140625" style="253"/>
    <col min="11778" max="11778" width="2.42578125" style="253" customWidth="1"/>
    <col min="11779" max="11785" width="12.140625" style="253" customWidth="1"/>
    <col min="11786" max="11786" width="2.140625" style="253" customWidth="1"/>
    <col min="11787" max="12033" width="9.140625" style="253"/>
    <col min="12034" max="12034" width="2.42578125" style="253" customWidth="1"/>
    <col min="12035" max="12041" width="12.140625" style="253" customWidth="1"/>
    <col min="12042" max="12042" width="2.140625" style="253" customWidth="1"/>
    <col min="12043" max="12289" width="9.140625" style="253"/>
    <col min="12290" max="12290" width="2.42578125" style="253" customWidth="1"/>
    <col min="12291" max="12297" width="12.140625" style="253" customWidth="1"/>
    <col min="12298" max="12298" width="2.140625" style="253" customWidth="1"/>
    <col min="12299" max="12545" width="9.140625" style="253"/>
    <col min="12546" max="12546" width="2.42578125" style="253" customWidth="1"/>
    <col min="12547" max="12553" width="12.140625" style="253" customWidth="1"/>
    <col min="12554" max="12554" width="2.140625" style="253" customWidth="1"/>
    <col min="12555" max="12801" width="9.140625" style="253"/>
    <col min="12802" max="12802" width="2.42578125" style="253" customWidth="1"/>
    <col min="12803" max="12809" width="12.140625" style="253" customWidth="1"/>
    <col min="12810" max="12810" width="2.140625" style="253" customWidth="1"/>
    <col min="12811" max="13057" width="9.140625" style="253"/>
    <col min="13058" max="13058" width="2.42578125" style="253" customWidth="1"/>
    <col min="13059" max="13065" width="12.140625" style="253" customWidth="1"/>
    <col min="13066" max="13066" width="2.140625" style="253" customWidth="1"/>
    <col min="13067" max="13313" width="9.140625" style="253"/>
    <col min="13314" max="13314" width="2.42578125" style="253" customWidth="1"/>
    <col min="13315" max="13321" width="12.140625" style="253" customWidth="1"/>
    <col min="13322" max="13322" width="2.140625" style="253" customWidth="1"/>
    <col min="13323" max="13569" width="9.140625" style="253"/>
    <col min="13570" max="13570" width="2.42578125" style="253" customWidth="1"/>
    <col min="13571" max="13577" width="12.140625" style="253" customWidth="1"/>
    <col min="13578" max="13578" width="2.140625" style="253" customWidth="1"/>
    <col min="13579" max="13825" width="9.140625" style="253"/>
    <col min="13826" max="13826" width="2.42578125" style="253" customWidth="1"/>
    <col min="13827" max="13833" width="12.140625" style="253" customWidth="1"/>
    <col min="13834" max="13834" width="2.140625" style="253" customWidth="1"/>
    <col min="13835" max="14081" width="9.140625" style="253"/>
    <col min="14082" max="14082" width="2.42578125" style="253" customWidth="1"/>
    <col min="14083" max="14089" width="12.140625" style="253" customWidth="1"/>
    <col min="14090" max="14090" width="2.140625" style="253" customWidth="1"/>
    <col min="14091" max="14337" width="9.140625" style="253"/>
    <col min="14338" max="14338" width="2.42578125" style="253" customWidth="1"/>
    <col min="14339" max="14345" width="12.140625" style="253" customWidth="1"/>
    <col min="14346" max="14346" width="2.140625" style="253" customWidth="1"/>
    <col min="14347" max="14593" width="9.140625" style="253"/>
    <col min="14594" max="14594" width="2.42578125" style="253" customWidth="1"/>
    <col min="14595" max="14601" width="12.140625" style="253" customWidth="1"/>
    <col min="14602" max="14602" width="2.140625" style="253" customWidth="1"/>
    <col min="14603" max="14849" width="9.140625" style="253"/>
    <col min="14850" max="14850" width="2.42578125" style="253" customWidth="1"/>
    <col min="14851" max="14857" width="12.140625" style="253" customWidth="1"/>
    <col min="14858" max="14858" width="2.140625" style="253" customWidth="1"/>
    <col min="14859" max="15105" width="9.140625" style="253"/>
    <col min="15106" max="15106" width="2.42578125" style="253" customWidth="1"/>
    <col min="15107" max="15113" width="12.140625" style="253" customWidth="1"/>
    <col min="15114" max="15114" width="2.140625" style="253" customWidth="1"/>
    <col min="15115" max="15361" width="9.140625" style="253"/>
    <col min="15362" max="15362" width="2.42578125" style="253" customWidth="1"/>
    <col min="15363" max="15369" width="12.140625" style="253" customWidth="1"/>
    <col min="15370" max="15370" width="2.140625" style="253" customWidth="1"/>
    <col min="15371" max="15617" width="9.140625" style="253"/>
    <col min="15618" max="15618" width="2.42578125" style="253" customWidth="1"/>
    <col min="15619" max="15625" width="12.140625" style="253" customWidth="1"/>
    <col min="15626" max="15626" width="2.140625" style="253" customWidth="1"/>
    <col min="15627" max="15873" width="9.140625" style="253"/>
    <col min="15874" max="15874" width="2.42578125" style="253" customWidth="1"/>
    <col min="15875" max="15881" width="12.140625" style="253" customWidth="1"/>
    <col min="15882" max="15882" width="2.140625" style="253" customWidth="1"/>
    <col min="15883" max="16129" width="9.140625" style="253"/>
    <col min="16130" max="16130" width="2.42578125" style="253" customWidth="1"/>
    <col min="16131" max="16137" width="12.140625" style="253" customWidth="1"/>
    <col min="16138" max="16138" width="2.140625" style="253" customWidth="1"/>
    <col min="16139" max="16384" width="9.140625" style="253"/>
  </cols>
  <sheetData>
    <row r="1" spans="2:9" ht="18.75">
      <c r="B1" s="1203"/>
      <c r="C1" s="1203"/>
      <c r="D1" s="1203"/>
      <c r="E1" s="1203"/>
      <c r="F1" s="1203"/>
      <c r="G1" s="1203"/>
      <c r="H1" s="1203"/>
      <c r="I1" s="1203"/>
    </row>
    <row r="2" spans="2:9" ht="20.25" customHeight="1">
      <c r="B2" s="1203"/>
      <c r="C2" s="1203"/>
      <c r="D2" s="1203"/>
      <c r="E2" s="1203"/>
      <c r="F2" s="1203"/>
      <c r="G2" s="1203"/>
      <c r="H2" s="1203"/>
      <c r="I2" s="1203"/>
    </row>
    <row r="3" spans="2:9" ht="20.25" customHeight="1"/>
    <row r="4" spans="2:9" ht="20.25" customHeight="1"/>
    <row r="5" spans="2:9" ht="20.25" customHeight="1"/>
    <row r="6" spans="2:9" ht="20.25" customHeight="1"/>
    <row r="7" spans="2:9" ht="20.25" customHeight="1"/>
    <row r="8" spans="2:9" ht="20.25" customHeight="1">
      <c r="D8" s="1552" t="s">
        <v>669</v>
      </c>
      <c r="E8" s="1552"/>
      <c r="F8" s="1552"/>
      <c r="G8" s="1552"/>
      <c r="H8" s="1552"/>
      <c r="I8" s="1202"/>
    </row>
    <row r="9" spans="2:9" ht="20.25" customHeight="1">
      <c r="D9" s="1552" t="s">
        <v>961</v>
      </c>
      <c r="E9" s="1552"/>
      <c r="F9" s="1552"/>
      <c r="G9" s="1552"/>
      <c r="H9" s="1552"/>
      <c r="I9" s="1202"/>
    </row>
    <row r="10" spans="2:9" ht="20.25" customHeight="1">
      <c r="I10" s="1202"/>
    </row>
    <row r="11" spans="2:9" ht="20.25" customHeight="1"/>
    <row r="12" spans="2:9" ht="20.25" customHeight="1">
      <c r="D12" s="1552" t="s">
        <v>1071</v>
      </c>
      <c r="E12" s="1552"/>
      <c r="F12" s="1552"/>
      <c r="G12" s="1552"/>
      <c r="H12" s="1552"/>
    </row>
    <row r="13" spans="2:9" ht="20.25" customHeight="1">
      <c r="D13" s="1551"/>
      <c r="E13" s="1551"/>
      <c r="F13" s="1551"/>
      <c r="G13" s="1551"/>
      <c r="H13" s="1551"/>
    </row>
    <row r="14" spans="2:9" ht="20.25" customHeight="1"/>
    <row r="15" spans="2:9" ht="20.25" customHeight="1">
      <c r="D15" s="1552" t="s">
        <v>421</v>
      </c>
      <c r="E15" s="1552"/>
      <c r="F15" s="1552"/>
      <c r="G15" s="1552"/>
      <c r="H15" s="1552"/>
      <c r="I15" s="1202"/>
    </row>
    <row r="16" spans="2:9" ht="20.25" customHeight="1">
      <c r="D16" s="1552" t="s">
        <v>420</v>
      </c>
      <c r="E16" s="1552"/>
      <c r="F16" s="1552"/>
      <c r="G16" s="1552"/>
      <c r="H16" s="1552"/>
    </row>
    <row r="17" spans="2:9" ht="20.25" customHeight="1">
      <c r="I17" s="1202"/>
    </row>
    <row r="18" spans="2:9" ht="20.25" customHeight="1"/>
    <row r="19" spans="2:9" ht="20.25" customHeight="1"/>
    <row r="20" spans="2:9" ht="20.25" customHeight="1"/>
    <row r="21" spans="2:9" ht="20.25" customHeight="1">
      <c r="D21" s="1551"/>
      <c r="E21" s="1551"/>
      <c r="F21" s="1551"/>
      <c r="G21" s="1551"/>
      <c r="H21" s="1551"/>
    </row>
    <row r="22" spans="2:9" ht="20.25" customHeight="1">
      <c r="D22" s="1551"/>
      <c r="E22" s="1551"/>
      <c r="F22" s="1551"/>
      <c r="G22" s="1551"/>
      <c r="H22" s="1551"/>
    </row>
    <row r="23" spans="2:9" ht="20.25" customHeight="1"/>
    <row r="24" spans="2:9" ht="20.25" customHeight="1"/>
    <row r="25" spans="2:9" ht="20.25" customHeight="1"/>
    <row r="26" spans="2:9" ht="20.25" customHeight="1"/>
    <row r="27" spans="2:9" ht="20.25" customHeight="1"/>
    <row r="28" spans="2:9" ht="20.25" customHeight="1"/>
    <row r="29" spans="2:9" ht="20.25" customHeight="1"/>
    <row r="31" spans="2:9" ht="18.75">
      <c r="B31" s="1203"/>
      <c r="C31" s="1203"/>
      <c r="D31" s="1203"/>
      <c r="E31" s="1203"/>
      <c r="F31" s="1203"/>
      <c r="G31" s="1203"/>
      <c r="H31" s="1203"/>
      <c r="I31" s="1203"/>
    </row>
    <row r="32" spans="2:9" ht="18.75">
      <c r="B32" s="1203"/>
      <c r="C32" s="1203"/>
      <c r="D32" s="1203"/>
      <c r="E32" s="1203"/>
      <c r="F32" s="1203"/>
      <c r="G32" s="1203"/>
      <c r="H32" s="1203"/>
      <c r="I32" s="1203"/>
    </row>
    <row r="33" spans="2:9" ht="18.75">
      <c r="B33" s="1203"/>
      <c r="C33" s="1203"/>
      <c r="D33" s="1203"/>
      <c r="E33" s="1203"/>
      <c r="F33" s="1203"/>
      <c r="G33" s="1203"/>
      <c r="H33" s="1203"/>
      <c r="I33" s="1203"/>
    </row>
    <row r="34" spans="2:9" ht="18.75">
      <c r="B34" s="1203"/>
      <c r="C34" s="1203"/>
      <c r="D34" s="1203"/>
      <c r="E34" s="1203"/>
      <c r="F34" s="1203"/>
      <c r="G34" s="1203"/>
      <c r="H34" s="1203"/>
      <c r="I34" s="1203"/>
    </row>
    <row r="35" spans="2:9" ht="18.75">
      <c r="B35" s="1203"/>
      <c r="C35" s="1203"/>
      <c r="D35" s="1203"/>
      <c r="E35" s="1203"/>
      <c r="F35" s="1203"/>
      <c r="G35" s="1203"/>
      <c r="H35" s="1203"/>
      <c r="I35" s="1203"/>
    </row>
  </sheetData>
  <mergeCells count="8">
    <mergeCell ref="D21:H21"/>
    <mergeCell ref="D22:H22"/>
    <mergeCell ref="D8:H8"/>
    <mergeCell ref="D9:H9"/>
    <mergeCell ref="D12:H12"/>
    <mergeCell ref="D13:H13"/>
    <mergeCell ref="D15:H15"/>
    <mergeCell ref="D16:H16"/>
  </mergeCells>
  <printOptions horizontalCentered="1"/>
  <pageMargins left="0.5" right="0.5" top="0.75" bottom="0.75" header="0.3" footer="0.3"/>
  <pageSetup orientation="portrait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C0B0-22E5-4E27-BFF4-C4877E2705EF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918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'202301 Bk Depr'!R13</f>
        <v>0</v>
      </c>
      <c r="H13" s="1">
        <f>1.62%/12</f>
        <v>1.3500000000000003E-3</v>
      </c>
      <c r="J13" s="278">
        <f>F13*H13</f>
        <v>0</v>
      </c>
      <c r="L13" s="415">
        <f>'Cap&amp;OpEx 2023'!D9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'202301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-556482.17999999959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'202301 Bk Depr'!R15</f>
        <v>17160324.63000001</v>
      </c>
      <c r="H15" s="1">
        <f>3.24%/12</f>
        <v>2.7000000000000006E-3</v>
      </c>
      <c r="J15" s="278">
        <f t="shared" si="0"/>
        <v>46332.876501000035</v>
      </c>
      <c r="L15" s="415">
        <f>'Cap&amp;OpEx 2023'!D10</f>
        <v>622444.02999999991</v>
      </c>
      <c r="N15" s="278">
        <f t="shared" si="1"/>
        <v>840.29944050000006</v>
      </c>
      <c r="P15" s="278">
        <f t="shared" si="2"/>
        <v>47173.175941500034</v>
      </c>
      <c r="R15" s="278">
        <f t="shared" si="3"/>
        <v>17782768.660000011</v>
      </c>
      <c r="Y15" s="488">
        <f>R18</f>
        <v>61978681.649999999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'202301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2023'!D11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61422199.469999999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'202301 Bk Depr'!R17</f>
        <v>43313423.04999999</v>
      </c>
      <c r="H17" s="1">
        <f>3.24%/12</f>
        <v>2.7000000000000006E-3</v>
      </c>
      <c r="J17" s="278">
        <f t="shared" si="0"/>
        <v>116946.242235</v>
      </c>
      <c r="L17" s="415">
        <f>'Cap&amp;OpEx 2023'!D12</f>
        <v>882489.94</v>
      </c>
      <c r="N17" s="278">
        <f t="shared" si="1"/>
        <v>1191.3614190000001</v>
      </c>
      <c r="P17" s="278">
        <f t="shared" si="2"/>
        <v>118137.60365399999</v>
      </c>
      <c r="R17" s="278">
        <f t="shared" si="3"/>
        <v>44195912.989999987</v>
      </c>
      <c r="Y17" s="488">
        <f>'Rev Req 2023-Distr'!F11</f>
        <v>61422199.469999999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60473747.68</v>
      </c>
      <c r="J18" s="276">
        <f>SUM(J13:J17)</f>
        <v>163279.11873600003</v>
      </c>
      <c r="L18" s="276">
        <f>SUM(L13:L17)</f>
        <v>1504933.9699999997</v>
      </c>
      <c r="N18" s="276">
        <f>SUM(N13:N17)</f>
        <v>2031.6608595000002</v>
      </c>
      <c r="P18" s="276">
        <f>SUM(P13:P17)</f>
        <v>165310.77959550003</v>
      </c>
      <c r="R18" s="276">
        <f>SUM(R13:R17)</f>
        <v>61978681.649999999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'202301 Bk Depr'!R21</f>
        <v>0</v>
      </c>
      <c r="H21" s="1">
        <f>1.62%/12</f>
        <v>1.3500000000000003E-3</v>
      </c>
      <c r="J21" s="278">
        <f>F21*H21</f>
        <v>0</v>
      </c>
      <c r="L21" s="415">
        <f>'Cap&amp;OpEx 2023'!D15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'202301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'202301 Bk Depr'!R23</f>
        <v>-553421.32999999961</v>
      </c>
      <c r="H23" s="1">
        <f>3.24%/12</f>
        <v>2.7000000000000006E-3</v>
      </c>
      <c r="J23" s="278">
        <f t="shared" si="4"/>
        <v>-1494.2375909999992</v>
      </c>
      <c r="L23" s="415">
        <f>'Cap&amp;OpEx 2023'!D16</f>
        <v>0</v>
      </c>
      <c r="N23" s="486">
        <f t="shared" si="5"/>
        <v>0</v>
      </c>
      <c r="P23" s="278">
        <f t="shared" si="6"/>
        <v>-1494.2375909999992</v>
      </c>
      <c r="R23" s="278">
        <f t="shared" si="7"/>
        <v>-553421.32999999961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'202301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2023'!D17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'202301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2023'!D18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-556482.17999999959</v>
      </c>
      <c r="J26" s="276">
        <f>SUM(J21:J25)</f>
        <v>-1502.5018859999991</v>
      </c>
      <c r="L26" s="276">
        <f>SUM(L21:L25)</f>
        <v>0</v>
      </c>
      <c r="N26" s="276">
        <f>SUM(N21:N25)</f>
        <v>0</v>
      </c>
      <c r="P26" s="276">
        <f>SUM(P21:P25)</f>
        <v>-1502.5018859999991</v>
      </c>
      <c r="R26" s="276">
        <f>SUM(R21:R25)</f>
        <v>-556482.17999999959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59917265.5</v>
      </c>
      <c r="G28" s="6"/>
      <c r="H28" s="4"/>
      <c r="I28" s="6"/>
      <c r="J28" s="277">
        <f>J18+J26</f>
        <v>161776.61685000002</v>
      </c>
      <c r="K28" s="6"/>
      <c r="L28" s="277">
        <f>L18+L26</f>
        <v>1504933.9699999997</v>
      </c>
      <c r="M28" s="6"/>
      <c r="N28" s="277">
        <f>N18+N26</f>
        <v>2031.6608595000002</v>
      </c>
      <c r="O28" s="6"/>
      <c r="P28" s="277">
        <f>P18+P26</f>
        <v>163808.27770950002</v>
      </c>
      <c r="Q28" s="6"/>
      <c r="R28" s="277">
        <f>R18+R26</f>
        <v>61422199.469999999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'202301 Bk Depr'!R31</f>
        <v>0</v>
      </c>
      <c r="J31" s="278"/>
      <c r="L31" s="415">
        <f>'Cap&amp;OpEx 2023'!D27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'202301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'202301 Bk Depr'!R33</f>
        <v>4253173.8500000006</v>
      </c>
      <c r="J33" s="278"/>
      <c r="L33" s="415">
        <f>'Cap&amp;OpEx 2023'!D28</f>
        <v>80522.009999999995</v>
      </c>
      <c r="N33" s="278"/>
      <c r="P33" s="278"/>
      <c r="R33" s="278">
        <f t="shared" si="8"/>
        <v>4333695.8600000003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'202301 Bk Depr'!R34</f>
        <v>0</v>
      </c>
      <c r="G34" s="397"/>
      <c r="I34" s="397"/>
      <c r="J34" s="274"/>
      <c r="K34" s="397"/>
      <c r="L34" s="415">
        <f>'Cap&amp;OpEx 2023'!D29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'202301 Bk Depr'!R35</f>
        <v>71147.78</v>
      </c>
      <c r="J35" s="278"/>
      <c r="L35" s="415">
        <f>'Cap&amp;OpEx 2023'!D30</f>
        <v>8686.4</v>
      </c>
      <c r="N35" s="278"/>
      <c r="P35" s="278"/>
      <c r="R35" s="278">
        <f t="shared" si="8"/>
        <v>79834.179999999993</v>
      </c>
    </row>
    <row r="36" spans="1:26">
      <c r="A36" s="6">
        <v>19</v>
      </c>
      <c r="B36" s="4"/>
      <c r="C36" s="4" t="s">
        <v>23</v>
      </c>
      <c r="F36" s="276">
        <f>SUM(F31:F35)</f>
        <v>4324321.6300000008</v>
      </c>
      <c r="J36" s="276">
        <f>SUM(J31:J35)</f>
        <v>0</v>
      </c>
      <c r="L36" s="276">
        <f>SUM(L31:L35)</f>
        <v>89208.409999999989</v>
      </c>
      <c r="N36" s="276">
        <f>SUM(N31:N35)</f>
        <v>0</v>
      </c>
      <c r="P36" s="276">
        <f>SUM(P31:P35)</f>
        <v>0</v>
      </c>
      <c r="R36" s="276">
        <f>SUM(R31:R35)</f>
        <v>4413530.04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2023'!D13</f>
        <v>0</v>
      </c>
      <c r="M41" s="389"/>
      <c r="N41" s="585"/>
      <c r="P41" s="785">
        <f>P28-'Rev Req 2023-Distr'!F25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5 of 17&amp;L&amp;1#&amp;"Calibri"&amp;14&amp;K000000Business Use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D9BC-05B1-4BD6-B87D-4AA511A1BB50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919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'202302 Bk Depr'!R13</f>
        <v>0</v>
      </c>
      <c r="H13" s="1">
        <f>1.62%/12</f>
        <v>1.3500000000000003E-3</v>
      </c>
      <c r="J13" s="278">
        <f>F13*H13</f>
        <v>0</v>
      </c>
      <c r="L13" s="415">
        <f>'Cap&amp;OpEx 2023'!E9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'202302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'202302 Bk Depr'!R15</f>
        <v>17782768.660000011</v>
      </c>
      <c r="H15" s="1">
        <f>3.24%/12</f>
        <v>2.7000000000000006E-3</v>
      </c>
      <c r="J15" s="278">
        <f t="shared" si="0"/>
        <v>48013.475382000041</v>
      </c>
      <c r="L15" s="415">
        <f>'Cap&amp;OpEx 2023'!E10</f>
        <v>664492.6</v>
      </c>
      <c r="N15" s="278">
        <f t="shared" si="1"/>
        <v>897.06501000000014</v>
      </c>
      <c r="P15" s="278">
        <f t="shared" si="2"/>
        <v>48910.540392000039</v>
      </c>
      <c r="R15" s="278">
        <f t="shared" si="3"/>
        <v>18447261.260000013</v>
      </c>
      <c r="Y15" s="488">
        <f>R18</f>
        <v>63467846.539999999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'202302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2023'!E11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62910329.880000003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'202302 Bk Depr'!R17</f>
        <v>44195912.989999987</v>
      </c>
      <c r="H17" s="1">
        <f>3.24%/12</f>
        <v>2.7000000000000006E-3</v>
      </c>
      <c r="J17" s="278">
        <f t="shared" si="0"/>
        <v>119328.96507299998</v>
      </c>
      <c r="L17" s="415">
        <f>'Cap&amp;OpEx 2023'!E12</f>
        <v>824672.28999999992</v>
      </c>
      <c r="N17" s="278">
        <f t="shared" si="1"/>
        <v>1113.3075915000002</v>
      </c>
      <c r="P17" s="278">
        <f t="shared" si="2"/>
        <v>120442.27266449998</v>
      </c>
      <c r="R17" s="278">
        <f t="shared" si="3"/>
        <v>45020585.279999986</v>
      </c>
      <c r="Y17" s="488">
        <f>'Rev Req 2023-Distr'!G11</f>
        <v>62910329.879999995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61978681.649999999</v>
      </c>
      <c r="J18" s="276">
        <f>SUM(J13:J17)</f>
        <v>167342.44045500003</v>
      </c>
      <c r="L18" s="276">
        <f>SUM(L13:L17)</f>
        <v>1489164.89</v>
      </c>
      <c r="N18" s="276">
        <f>SUM(N13:N17)</f>
        <v>2010.3726015000002</v>
      </c>
      <c r="P18" s="276">
        <f>SUM(P13:P17)</f>
        <v>169352.81305650002</v>
      </c>
      <c r="R18" s="276">
        <f>SUM(R13:R17)</f>
        <v>63467846.539999999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'202302 Bk Depr'!R21</f>
        <v>0</v>
      </c>
      <c r="H21" s="1">
        <f>1.62%/12</f>
        <v>1.3500000000000003E-3</v>
      </c>
      <c r="J21" s="278">
        <f>F21*H21</f>
        <v>0</v>
      </c>
      <c r="L21" s="415">
        <f>'Cap&amp;OpEx 2023'!E15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'202302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'202302 Bk Depr'!R23</f>
        <v>-553421.32999999961</v>
      </c>
      <c r="H23" s="1">
        <f>3.24%/12</f>
        <v>2.7000000000000006E-3</v>
      </c>
      <c r="J23" s="278">
        <f t="shared" si="4"/>
        <v>-1494.2375909999992</v>
      </c>
      <c r="L23" s="415">
        <f>'Cap&amp;OpEx 2023'!E16</f>
        <v>-1034.48</v>
      </c>
      <c r="N23" s="486">
        <f t="shared" si="5"/>
        <v>-1.3965480000000003</v>
      </c>
      <c r="P23" s="278">
        <f t="shared" si="6"/>
        <v>-1495.6341389999991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'202302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2023'!E17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'202302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2023'!E18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-556482.17999999959</v>
      </c>
      <c r="J26" s="276">
        <f>SUM(J21:J25)</f>
        <v>-1502.5018859999991</v>
      </c>
      <c r="L26" s="276">
        <f>SUM(L21:L25)</f>
        <v>-1034.48</v>
      </c>
      <c r="N26" s="276">
        <f>SUM(N21:N25)</f>
        <v>-1.3965480000000003</v>
      </c>
      <c r="P26" s="276">
        <f>SUM(P21:P25)</f>
        <v>-1503.898433999999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61422199.469999999</v>
      </c>
      <c r="G28" s="6"/>
      <c r="H28" s="4"/>
      <c r="I28" s="6"/>
      <c r="J28" s="277">
        <f>J18+J26</f>
        <v>165839.93856900002</v>
      </c>
      <c r="K28" s="6"/>
      <c r="L28" s="277">
        <f>L18+L26</f>
        <v>1488130.41</v>
      </c>
      <c r="M28" s="6"/>
      <c r="N28" s="277">
        <f>N18+N26</f>
        <v>2008.9760535000003</v>
      </c>
      <c r="O28" s="6"/>
      <c r="P28" s="277">
        <f>P18+P26</f>
        <v>167848.91462250001</v>
      </c>
      <c r="Q28" s="6"/>
      <c r="R28" s="277">
        <f>R18+R26</f>
        <v>62910329.880000003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'202302 Bk Depr'!R31</f>
        <v>0</v>
      </c>
      <c r="J31" s="278"/>
      <c r="L31" s="415">
        <f>'Cap&amp;OpEx 2023'!E27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'202302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'202302 Bk Depr'!R33</f>
        <v>4333695.8600000003</v>
      </c>
      <c r="J33" s="278"/>
      <c r="L33" s="415">
        <f>'Cap&amp;OpEx 2023'!E28</f>
        <v>82572.539999999994</v>
      </c>
      <c r="N33" s="278"/>
      <c r="P33" s="278"/>
      <c r="R33" s="278">
        <f t="shared" si="8"/>
        <v>4416268.4000000004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'202302 Bk Depr'!R34</f>
        <v>0</v>
      </c>
      <c r="G34" s="397"/>
      <c r="I34" s="397"/>
      <c r="J34" s="274"/>
      <c r="K34" s="397"/>
      <c r="L34" s="415">
        <f>'Cap&amp;OpEx 2023'!E29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'202302 Bk Depr'!R35</f>
        <v>79834.179999999993</v>
      </c>
      <c r="J35" s="278"/>
      <c r="L35" s="415">
        <f>'Cap&amp;OpEx 2023'!E30</f>
        <v>10700.92</v>
      </c>
      <c r="N35" s="278"/>
      <c r="P35" s="278"/>
      <c r="R35" s="278">
        <f t="shared" si="8"/>
        <v>90535.099999999991</v>
      </c>
    </row>
    <row r="36" spans="1:26">
      <c r="A36" s="6">
        <v>19</v>
      </c>
      <c r="B36" s="4"/>
      <c r="C36" s="4" t="s">
        <v>23</v>
      </c>
      <c r="F36" s="276">
        <f>SUM(F31:F35)</f>
        <v>4413530.04</v>
      </c>
      <c r="J36" s="276">
        <f>SUM(J31:J35)</f>
        <v>0</v>
      </c>
      <c r="L36" s="276">
        <f>SUM(L31:L35)</f>
        <v>93273.459999999992</v>
      </c>
      <c r="N36" s="276">
        <f>SUM(N31:N35)</f>
        <v>0</v>
      </c>
      <c r="P36" s="276">
        <f>SUM(P31:P35)</f>
        <v>0</v>
      </c>
      <c r="R36" s="276">
        <f>SUM(R31:R35)</f>
        <v>4506803.5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2023'!E13</f>
        <v>-1034.4799999999814</v>
      </c>
      <c r="M41" s="389"/>
      <c r="N41" s="585"/>
      <c r="P41" s="785">
        <f>P28-'Rev Req 2023-Distr'!G25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6 of 17&amp;L&amp;1#&amp;"Calibri"&amp;14&amp;K000000Business Use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5A3F-7ECD-435A-BF4C-BBC95EBE8CB4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'202303 Bk Depr'!R13</f>
        <v>0</v>
      </c>
      <c r="H13" s="1">
        <f>1.62%/12</f>
        <v>1.3500000000000003E-3</v>
      </c>
      <c r="J13" s="278">
        <f>F13*H13</f>
        <v>0</v>
      </c>
      <c r="L13" s="415">
        <f>'Cap&amp;OpEx 2023'!F9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'202303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'202303 Bk Depr'!R15</f>
        <v>18447261.260000013</v>
      </c>
      <c r="H15" s="1">
        <f>3.24%/12</f>
        <v>2.7000000000000006E-3</v>
      </c>
      <c r="J15" s="278">
        <f t="shared" si="0"/>
        <v>49807.605402000045</v>
      </c>
      <c r="L15" s="415">
        <f>'Cap&amp;OpEx 2023'!F10</f>
        <v>714148.05999999994</v>
      </c>
      <c r="N15" s="278">
        <f t="shared" si="1"/>
        <v>964.0998810000001</v>
      </c>
      <c r="P15" s="278">
        <f t="shared" si="2"/>
        <v>50771.705283000047</v>
      </c>
      <c r="R15" s="278">
        <f t="shared" si="3"/>
        <v>19161409.320000011</v>
      </c>
      <c r="Y15" s="488">
        <f>R18</f>
        <v>65068766.579999998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'202303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2023'!F11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64511249.920000002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'202303 Bk Depr'!R17</f>
        <v>45020585.279999986</v>
      </c>
      <c r="H17" s="1">
        <f>3.24%/12</f>
        <v>2.7000000000000006E-3</v>
      </c>
      <c r="J17" s="278">
        <f t="shared" si="0"/>
        <v>121555.58025599999</v>
      </c>
      <c r="L17" s="415">
        <f>'Cap&amp;OpEx 2023'!F12</f>
        <v>886771.98</v>
      </c>
      <c r="N17" s="278">
        <f t="shared" si="1"/>
        <v>1197.1421730000002</v>
      </c>
      <c r="P17" s="278">
        <f t="shared" si="2"/>
        <v>122752.72242899999</v>
      </c>
      <c r="R17" s="278">
        <f t="shared" si="3"/>
        <v>45907357.259999983</v>
      </c>
      <c r="Y17" s="488">
        <f>'Rev Req 2023-Distr'!H11</f>
        <v>64511249.919999994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63467846.539999999</v>
      </c>
      <c r="J18" s="276">
        <f>SUM(J13:J17)</f>
        <v>171363.18565800003</v>
      </c>
      <c r="L18" s="276">
        <f>SUM(L13:L17)</f>
        <v>1600920.04</v>
      </c>
      <c r="N18" s="276">
        <f>SUM(N13:N17)</f>
        <v>2161.2420540000003</v>
      </c>
      <c r="P18" s="276">
        <f>SUM(P13:P17)</f>
        <v>173524.42771200003</v>
      </c>
      <c r="R18" s="276">
        <f>SUM(R13:R17)</f>
        <v>65068766.579999998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'202303 Bk Depr'!R21</f>
        <v>0</v>
      </c>
      <c r="H21" s="1">
        <f>1.62%/12</f>
        <v>1.3500000000000003E-3</v>
      </c>
      <c r="J21" s="278">
        <f>F21*H21</f>
        <v>0</v>
      </c>
      <c r="L21" s="415">
        <f>'Cap&amp;OpEx 2023'!F15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'202303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'202303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2023'!F16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'202303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2023'!F17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'202303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2023'!F18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62910329.880000003</v>
      </c>
      <c r="G28" s="6"/>
      <c r="H28" s="4"/>
      <c r="I28" s="6"/>
      <c r="J28" s="277">
        <f>J18+J26</f>
        <v>169857.89067600004</v>
      </c>
      <c r="K28" s="6"/>
      <c r="L28" s="277">
        <f>L18+L26</f>
        <v>1600920.04</v>
      </c>
      <c r="M28" s="6"/>
      <c r="N28" s="277">
        <f>N18+N26</f>
        <v>2161.2420540000003</v>
      </c>
      <c r="O28" s="6"/>
      <c r="P28" s="277">
        <f>P18+P26</f>
        <v>172019.13273000004</v>
      </c>
      <c r="Q28" s="6"/>
      <c r="R28" s="277">
        <f>R18+R26</f>
        <v>64511249.920000002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'202303 Bk Depr'!R31</f>
        <v>0</v>
      </c>
      <c r="J31" s="278"/>
      <c r="L31" s="415">
        <f>'Cap&amp;OpEx 2023'!F27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'202303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'202303 Bk Depr'!R33</f>
        <v>4416268.4000000004</v>
      </c>
      <c r="J33" s="278"/>
      <c r="L33" s="415">
        <f>'Cap&amp;OpEx 2023'!F28</f>
        <v>60111.94</v>
      </c>
      <c r="N33" s="278"/>
      <c r="P33" s="278"/>
      <c r="R33" s="278">
        <f t="shared" si="8"/>
        <v>4476380.3400000008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'202303 Bk Depr'!R34</f>
        <v>0</v>
      </c>
      <c r="G34" s="397"/>
      <c r="I34" s="397"/>
      <c r="J34" s="274"/>
      <c r="K34" s="397"/>
      <c r="L34" s="415">
        <f>'Cap&amp;OpEx 2023'!F29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'202303 Bk Depr'!R35</f>
        <v>90535.099999999991</v>
      </c>
      <c r="J35" s="278"/>
      <c r="L35" s="415">
        <f>'Cap&amp;OpEx 2023'!F30</f>
        <v>11483.62</v>
      </c>
      <c r="N35" s="278"/>
      <c r="P35" s="278"/>
      <c r="R35" s="278">
        <f t="shared" si="8"/>
        <v>102018.71999999999</v>
      </c>
    </row>
    <row r="36" spans="1:26">
      <c r="A36" s="6">
        <v>19</v>
      </c>
      <c r="B36" s="4"/>
      <c r="C36" s="4" t="s">
        <v>23</v>
      </c>
      <c r="F36" s="276">
        <f>SUM(F31:F35)</f>
        <v>4506803.5</v>
      </c>
      <c r="J36" s="276">
        <f>SUM(J31:J35)</f>
        <v>0</v>
      </c>
      <c r="L36" s="276">
        <f>SUM(L31:L35)</f>
        <v>71595.56</v>
      </c>
      <c r="N36" s="276">
        <f>SUM(N31:N35)</f>
        <v>0</v>
      </c>
      <c r="P36" s="276">
        <f>SUM(P31:P35)</f>
        <v>0</v>
      </c>
      <c r="R36" s="276">
        <f>SUM(R31:R35)</f>
        <v>4578399.0600000005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2023'!F13</f>
        <v>0</v>
      </c>
      <c r="M41" s="389"/>
      <c r="N41" s="390"/>
      <c r="O41" s="389"/>
      <c r="P41" s="785">
        <f>P28-'Rev Req 2023-Distr'!H25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7 of 17&amp;L&amp;1#&amp;"Calibri"&amp;14&amp;K000000Business Use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FDC94-8009-42D5-8580-49633AAECB14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'202304 Bk Depr'!R13</f>
        <v>0</v>
      </c>
      <c r="H13" s="1">
        <f>1.62%/12</f>
        <v>1.3500000000000003E-3</v>
      </c>
      <c r="J13" s="278">
        <f>F13*H13</f>
        <v>0</v>
      </c>
      <c r="L13" s="415">
        <f>'Cap&amp;OpEx 2023'!G9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'202304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'202304 Bk Depr'!R15</f>
        <v>19161409.320000011</v>
      </c>
      <c r="H15" s="1">
        <f>3.24%/12</f>
        <v>2.7000000000000006E-3</v>
      </c>
      <c r="J15" s="278">
        <f t="shared" si="0"/>
        <v>51735.805164000041</v>
      </c>
      <c r="L15" s="415">
        <f>'Cap&amp;OpEx 2023'!G10</f>
        <v>647549.02999999991</v>
      </c>
      <c r="N15" s="278">
        <f t="shared" si="1"/>
        <v>874.19119050000006</v>
      </c>
      <c r="P15" s="278">
        <f t="shared" si="2"/>
        <v>52609.996354500043</v>
      </c>
      <c r="R15" s="278">
        <f t="shared" si="3"/>
        <v>19808958.350000013</v>
      </c>
      <c r="Y15" s="488">
        <f>R18</f>
        <v>66818066.019999996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'202304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2023'!G11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66260549.359999999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'202304 Bk Depr'!R17</f>
        <v>45907357.259999983</v>
      </c>
      <c r="H17" s="1">
        <f>3.24%/12</f>
        <v>2.7000000000000006E-3</v>
      </c>
      <c r="J17" s="278">
        <f t="shared" si="0"/>
        <v>123949.86460199999</v>
      </c>
      <c r="L17" s="415">
        <f>'Cap&amp;OpEx 2023'!G12</f>
        <v>1101750.4099999999</v>
      </c>
      <c r="N17" s="278">
        <f t="shared" si="1"/>
        <v>1487.3630535000002</v>
      </c>
      <c r="P17" s="278">
        <f t="shared" si="2"/>
        <v>125437.22765549998</v>
      </c>
      <c r="R17" s="278">
        <f t="shared" si="3"/>
        <v>47009107.669999979</v>
      </c>
      <c r="Y17" s="488">
        <f>'Rev Req 2023-Distr'!I11</f>
        <v>66260549.359999992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65068766.579999998</v>
      </c>
      <c r="J18" s="276">
        <f>SUM(J13:J17)</f>
        <v>175685.66976600004</v>
      </c>
      <c r="L18" s="276">
        <f>SUM(L13:L17)</f>
        <v>1749299.44</v>
      </c>
      <c r="N18" s="276">
        <f>SUM(N13:N17)</f>
        <v>2361.5542440000004</v>
      </c>
      <c r="P18" s="276">
        <f>SUM(P13:P17)</f>
        <v>178047.22401000003</v>
      </c>
      <c r="R18" s="276">
        <f>SUM(R13:R17)</f>
        <v>66818066.019999996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'202304 Bk Depr'!R21</f>
        <v>0</v>
      </c>
      <c r="H21" s="1">
        <f>1.62%/12</f>
        <v>1.3500000000000003E-3</v>
      </c>
      <c r="J21" s="278">
        <f>F21*H21</f>
        <v>0</v>
      </c>
      <c r="L21" s="415">
        <f>'Cap&amp;OpEx 2023'!G15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'202304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'202304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2023'!G16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'202304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2023'!G17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'202304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2023'!G18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64511249.920000002</v>
      </c>
      <c r="G28" s="6"/>
      <c r="H28" s="4"/>
      <c r="I28" s="6"/>
      <c r="J28" s="277">
        <f>J18+J26</f>
        <v>174180.37478400004</v>
      </c>
      <c r="K28" s="6"/>
      <c r="L28" s="277">
        <f>L18+L26</f>
        <v>1749299.44</v>
      </c>
      <c r="M28" s="6"/>
      <c r="N28" s="277">
        <f>N18+N26</f>
        <v>2361.5542440000004</v>
      </c>
      <c r="O28" s="6"/>
      <c r="P28" s="277">
        <f>P18+P26</f>
        <v>176541.92902800004</v>
      </c>
      <c r="Q28" s="6"/>
      <c r="R28" s="277">
        <f>R18+R26</f>
        <v>66260549.359999999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'202304 Bk Depr'!R31</f>
        <v>0</v>
      </c>
      <c r="J31" s="278"/>
      <c r="L31" s="415">
        <f>'Cap&amp;OpEx 2023'!G27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'202304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'202304 Bk Depr'!R33</f>
        <v>4476380.3400000008</v>
      </c>
      <c r="J33" s="278"/>
      <c r="L33" s="415">
        <f>'Cap&amp;OpEx 2023'!G28</f>
        <v>81296.86</v>
      </c>
      <c r="N33" s="278"/>
      <c r="P33" s="278"/>
      <c r="R33" s="278">
        <f t="shared" si="8"/>
        <v>4557677.2000000011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'202304 Bk Depr'!R34</f>
        <v>0</v>
      </c>
      <c r="G34" s="397"/>
      <c r="I34" s="397"/>
      <c r="J34" s="274"/>
      <c r="K34" s="397"/>
      <c r="L34" s="415">
        <f>'Cap&amp;OpEx 2023'!G29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'202304 Bk Depr'!R35</f>
        <v>102018.71999999999</v>
      </c>
      <c r="J35" s="278"/>
      <c r="L35" s="415">
        <f>'Cap&amp;OpEx 2023'!G30</f>
        <v>4152.1099999999997</v>
      </c>
      <c r="N35" s="278"/>
      <c r="P35" s="278"/>
      <c r="R35" s="278">
        <f t="shared" si="8"/>
        <v>106170.82999999999</v>
      </c>
    </row>
    <row r="36" spans="1:26">
      <c r="A36" s="6">
        <v>19</v>
      </c>
      <c r="B36" s="4"/>
      <c r="C36" s="4" t="s">
        <v>23</v>
      </c>
      <c r="F36" s="276">
        <f>SUM(F31:F35)</f>
        <v>4578399.0600000005</v>
      </c>
      <c r="J36" s="276">
        <f>SUM(J31:J35)</f>
        <v>0</v>
      </c>
      <c r="L36" s="276">
        <f>SUM(L31:L35)</f>
        <v>85448.97</v>
      </c>
      <c r="N36" s="276">
        <f>SUM(N31:N35)</f>
        <v>0</v>
      </c>
      <c r="P36" s="276">
        <f>SUM(P31:P35)</f>
        <v>0</v>
      </c>
      <c r="R36" s="276">
        <f>SUM(R31:R35)</f>
        <v>4663848.0300000012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2023'!G13</f>
        <v>0</v>
      </c>
      <c r="M41" s="389"/>
      <c r="N41" s="390"/>
      <c r="O41" s="389"/>
      <c r="P41" s="785">
        <f>P28-'Rev Req 2023-Distr'!I25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8 of 17&amp;L&amp;1#&amp;"Calibri"&amp;14&amp;K000000Business Use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BF800-8DBC-4348-9BE6-B5179F4BB2F6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'202305 Bk Depr'!R13</f>
        <v>0</v>
      </c>
      <c r="H13" s="1">
        <f>1.62%/12</f>
        <v>1.3500000000000003E-3</v>
      </c>
      <c r="J13" s="278">
        <f>F13*H13</f>
        <v>0</v>
      </c>
      <c r="L13" s="415">
        <f>'Cap&amp;OpEx 2023'!H9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'202305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'202305 Bk Depr'!R15</f>
        <v>19808958.350000013</v>
      </c>
      <c r="H15" s="1">
        <f>3.24%/12</f>
        <v>2.7000000000000006E-3</v>
      </c>
      <c r="J15" s="278">
        <f t="shared" si="0"/>
        <v>53484.187545000044</v>
      </c>
      <c r="L15" s="415">
        <f>'Cap&amp;OpEx 2023'!H10</f>
        <v>698253.02</v>
      </c>
      <c r="N15" s="278">
        <f t="shared" si="1"/>
        <v>942.64157700000021</v>
      </c>
      <c r="P15" s="278">
        <f t="shared" si="2"/>
        <v>54426.829122000046</v>
      </c>
      <c r="R15" s="278">
        <f t="shared" si="3"/>
        <v>20507211.370000012</v>
      </c>
      <c r="Y15" s="488">
        <f>R18</f>
        <v>68897336.530000001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'202305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2023'!H11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68339819.870000005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'202305 Bk Depr'!R17</f>
        <v>47009107.669999979</v>
      </c>
      <c r="H17" s="1">
        <f>3.24%/12</f>
        <v>2.7000000000000006E-3</v>
      </c>
      <c r="J17" s="278">
        <f t="shared" si="0"/>
        <v>126924.59070899997</v>
      </c>
      <c r="L17" s="415">
        <f>'Cap&amp;OpEx 2023'!H12</f>
        <v>1381017.4900000002</v>
      </c>
      <c r="N17" s="278">
        <f t="shared" si="1"/>
        <v>1864.3736115000006</v>
      </c>
      <c r="P17" s="278">
        <f t="shared" si="2"/>
        <v>128788.96432049997</v>
      </c>
      <c r="R17" s="278">
        <f t="shared" si="3"/>
        <v>48390125.159999982</v>
      </c>
      <c r="Y17" s="488">
        <f>'Rev Req 2023-Distr'!J11</f>
        <v>68339819.86999999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66818066.019999996</v>
      </c>
      <c r="J18" s="276">
        <f>SUM(J13:J17)</f>
        <v>180408.778254</v>
      </c>
      <c r="L18" s="276">
        <f>SUM(L13:L17)</f>
        <v>2079270.5100000002</v>
      </c>
      <c r="N18" s="276">
        <f>SUM(N13:N17)</f>
        <v>2807.0151885000009</v>
      </c>
      <c r="P18" s="276">
        <f>SUM(P13:P17)</f>
        <v>183215.79344250003</v>
      </c>
      <c r="R18" s="276">
        <f>SUM(R13:R17)</f>
        <v>68897336.530000001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'202305 Bk Depr'!R21</f>
        <v>0</v>
      </c>
      <c r="H21" s="1">
        <f>1.62%/12</f>
        <v>1.3500000000000003E-3</v>
      </c>
      <c r="J21" s="278">
        <f>F21*H21</f>
        <v>0</v>
      </c>
      <c r="L21" s="415">
        <f>'Cap&amp;OpEx 2023'!H15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'202305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'202305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2023'!H16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'202305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2023'!H17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'202305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2023'!H18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66260549.359999999</v>
      </c>
      <c r="G28" s="6"/>
      <c r="H28" s="4"/>
      <c r="I28" s="6"/>
      <c r="J28" s="277">
        <f>J18+J26</f>
        <v>178903.48327200001</v>
      </c>
      <c r="K28" s="6"/>
      <c r="L28" s="277">
        <f>L18+L26</f>
        <v>2079270.5100000002</v>
      </c>
      <c r="M28" s="6"/>
      <c r="N28" s="277">
        <f>N18+N26</f>
        <v>2807.0151885000009</v>
      </c>
      <c r="O28" s="6"/>
      <c r="P28" s="277">
        <f>P18+P26</f>
        <v>181710.49846050004</v>
      </c>
      <c r="Q28" s="6"/>
      <c r="R28" s="277">
        <f>R18+R26</f>
        <v>68339819.870000005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'202305 Bk Depr'!R31</f>
        <v>0</v>
      </c>
      <c r="J31" s="278"/>
      <c r="L31" s="415">
        <f>'Cap&amp;OpEx 2023'!H27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'202305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'202305 Bk Depr'!R33</f>
        <v>4557677.2000000011</v>
      </c>
      <c r="J33" s="278"/>
      <c r="L33" s="415">
        <f>'Cap&amp;OpEx 2023'!H28</f>
        <v>111203.09</v>
      </c>
      <c r="N33" s="278"/>
      <c r="P33" s="278"/>
      <c r="R33" s="278">
        <f t="shared" si="8"/>
        <v>4668880.290000001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'202305 Bk Depr'!R34</f>
        <v>0</v>
      </c>
      <c r="G34" s="397"/>
      <c r="I34" s="397"/>
      <c r="J34" s="274"/>
      <c r="K34" s="397"/>
      <c r="L34" s="415">
        <f>'Cap&amp;OpEx 2023'!H29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'202305 Bk Depr'!R35</f>
        <v>106170.82999999999</v>
      </c>
      <c r="J35" s="278"/>
      <c r="L35" s="415">
        <f>'Cap&amp;OpEx 2023'!H30</f>
        <v>5222.37</v>
      </c>
      <c r="N35" s="278"/>
      <c r="P35" s="278"/>
      <c r="R35" s="278">
        <f t="shared" si="8"/>
        <v>111393.19999999998</v>
      </c>
    </row>
    <row r="36" spans="1:26">
      <c r="A36" s="6">
        <v>19</v>
      </c>
      <c r="B36" s="4"/>
      <c r="C36" s="4" t="s">
        <v>23</v>
      </c>
      <c r="F36" s="276">
        <f>SUM(F31:F35)</f>
        <v>4663848.0300000012</v>
      </c>
      <c r="J36" s="276">
        <f>SUM(J31:J35)</f>
        <v>0</v>
      </c>
      <c r="L36" s="276">
        <f>SUM(L31:L35)</f>
        <v>116425.45999999999</v>
      </c>
      <c r="N36" s="276">
        <f>SUM(N31:N35)</f>
        <v>0</v>
      </c>
      <c r="P36" s="276">
        <f>SUM(P31:P35)</f>
        <v>0</v>
      </c>
      <c r="R36" s="276">
        <f>SUM(R31:R35)</f>
        <v>4780273.4900000012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2023'!H13</f>
        <v>0</v>
      </c>
      <c r="M41" s="389"/>
      <c r="N41" s="390"/>
      <c r="O41" s="389"/>
      <c r="P41" s="785">
        <f>P28-'Rev Req 2023-Distr'!J25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9 of 17&amp;L&amp;1#&amp;"Calibri"&amp;14&amp;K000000Business Use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9BA5-9EC3-4B17-B7F0-2F07B31FB6A2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'202306 Bk Depr'!R13</f>
        <v>0</v>
      </c>
      <c r="H13" s="1">
        <f>1.62%/12</f>
        <v>1.3500000000000003E-3</v>
      </c>
      <c r="J13" s="278">
        <f>F13*H13</f>
        <v>0</v>
      </c>
      <c r="L13" s="415">
        <f>'Cap&amp;OpEx 2023'!I9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'202306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'202306 Bk Depr'!R15</f>
        <v>20507211.370000012</v>
      </c>
      <c r="H15" s="1">
        <f>3.24%/12</f>
        <v>2.7000000000000006E-3</v>
      </c>
      <c r="J15" s="278">
        <f t="shared" si="0"/>
        <v>55369.470699000041</v>
      </c>
      <c r="L15" s="415">
        <f>'Cap&amp;OpEx 2023'!I10</f>
        <v>675186.41</v>
      </c>
      <c r="N15" s="278">
        <f t="shared" si="1"/>
        <v>911.5016535000002</v>
      </c>
      <c r="P15" s="278">
        <f t="shared" si="2"/>
        <v>56280.972352500045</v>
      </c>
      <c r="R15" s="278">
        <f t="shared" si="3"/>
        <v>21182397.780000012</v>
      </c>
      <c r="Y15" s="488">
        <f>R18</f>
        <v>70497959.839999989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'202306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2023'!I11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69940443.179999992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'202306 Bk Depr'!R17</f>
        <v>48390125.159999982</v>
      </c>
      <c r="H17" s="1">
        <f>3.24%/12</f>
        <v>2.7000000000000006E-3</v>
      </c>
      <c r="J17" s="278">
        <f t="shared" si="0"/>
        <v>130653.33793199998</v>
      </c>
      <c r="L17" s="415">
        <f>'Cap&amp;OpEx 2023'!I12</f>
        <v>925436.9</v>
      </c>
      <c r="N17" s="278">
        <f t="shared" si="1"/>
        <v>1249.3398150000003</v>
      </c>
      <c r="P17" s="278">
        <f t="shared" si="2"/>
        <v>131902.67774699998</v>
      </c>
      <c r="R17" s="278">
        <f t="shared" si="3"/>
        <v>49315562.05999998</v>
      </c>
      <c r="Y17" s="488">
        <f>'Rev Req 2023-Distr'!K11</f>
        <v>69940443.179999992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68897336.530000001</v>
      </c>
      <c r="J18" s="276">
        <f>SUM(J13:J17)</f>
        <v>186022.80863100002</v>
      </c>
      <c r="L18" s="276">
        <f>SUM(L13:L17)</f>
        <v>1600623.31</v>
      </c>
      <c r="N18" s="276">
        <f>SUM(N13:N17)</f>
        <v>2160.8414685000007</v>
      </c>
      <c r="P18" s="276">
        <f>SUM(P13:P17)</f>
        <v>188183.65009950002</v>
      </c>
      <c r="R18" s="276">
        <f>SUM(R13:R17)</f>
        <v>70497959.839999989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'202306 Bk Depr'!R21</f>
        <v>0</v>
      </c>
      <c r="H21" s="1">
        <f>1.62%/12</f>
        <v>1.3500000000000003E-3</v>
      </c>
      <c r="J21" s="278">
        <f>F21*H21</f>
        <v>0</v>
      </c>
      <c r="L21" s="415">
        <f>'Cap&amp;OpEx 2023'!I15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'202306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'202306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2023'!I16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'202306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2023'!I17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'202306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2023'!I18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68339819.870000005</v>
      </c>
      <c r="G28" s="6"/>
      <c r="H28" s="4"/>
      <c r="I28" s="6"/>
      <c r="J28" s="277">
        <f>J18+J26</f>
        <v>184517.51364900003</v>
      </c>
      <c r="K28" s="6"/>
      <c r="L28" s="277">
        <f>L18+L26</f>
        <v>1600623.31</v>
      </c>
      <c r="M28" s="6"/>
      <c r="N28" s="277">
        <f>N18+N26</f>
        <v>2160.8414685000007</v>
      </c>
      <c r="O28" s="6"/>
      <c r="P28" s="277">
        <f>P18+P26</f>
        <v>186678.35511750003</v>
      </c>
      <c r="Q28" s="6"/>
      <c r="R28" s="277">
        <f>R18+R26</f>
        <v>69940443.179999992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'202306 Bk Depr'!R31</f>
        <v>0</v>
      </c>
      <c r="J31" s="278"/>
      <c r="L31" s="415">
        <f>'Cap&amp;OpEx 2023'!I27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'202306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'202306 Bk Depr'!R33</f>
        <v>4668880.290000001</v>
      </c>
      <c r="J33" s="278"/>
      <c r="L33" s="415">
        <f>'Cap&amp;OpEx 2023'!I28</f>
        <v>216147.40999999997</v>
      </c>
      <c r="N33" s="278"/>
      <c r="P33" s="278"/>
      <c r="R33" s="278">
        <f t="shared" si="8"/>
        <v>4885027.7000000011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'202306 Bk Depr'!R34</f>
        <v>0</v>
      </c>
      <c r="G34" s="397"/>
      <c r="I34" s="397"/>
      <c r="J34" s="274"/>
      <c r="K34" s="397"/>
      <c r="L34" s="415">
        <f>'Cap&amp;OpEx 2023'!I29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'202306 Bk Depr'!R35</f>
        <v>111393.19999999998</v>
      </c>
      <c r="J35" s="278"/>
      <c r="L35" s="415">
        <f>'Cap&amp;OpEx 2023'!I30</f>
        <v>2135.37</v>
      </c>
      <c r="N35" s="278"/>
      <c r="P35" s="278"/>
      <c r="R35" s="278">
        <f t="shared" si="8"/>
        <v>113528.56999999998</v>
      </c>
    </row>
    <row r="36" spans="1:26">
      <c r="A36" s="6">
        <v>19</v>
      </c>
      <c r="B36" s="4"/>
      <c r="C36" s="4" t="s">
        <v>23</v>
      </c>
      <c r="F36" s="276">
        <f>SUM(F31:F35)</f>
        <v>4780273.4900000012</v>
      </c>
      <c r="J36" s="276">
        <f>SUM(J31:J35)</f>
        <v>0</v>
      </c>
      <c r="L36" s="276">
        <f>SUM(L31:L35)</f>
        <v>218282.77999999997</v>
      </c>
      <c r="N36" s="276">
        <f>SUM(N31:N35)</f>
        <v>0</v>
      </c>
      <c r="P36" s="276">
        <f>SUM(P31:P35)</f>
        <v>0</v>
      </c>
      <c r="R36" s="276">
        <f>SUM(R31:R35)</f>
        <v>4998556.2700000014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2023'!I13</f>
        <v>0</v>
      </c>
      <c r="M41" s="389"/>
      <c r="N41" s="390"/>
      <c r="O41" s="389"/>
      <c r="P41" s="785">
        <f>P28-'Rev Req 2023-Distr'!K25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10 of 17&amp;L&amp;1#&amp;"Calibri"&amp;14&amp;K000000Business Use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C54DC-623C-4B3A-B7E5-A5D319891529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'202307 Bk Depr'!R13</f>
        <v>0</v>
      </c>
      <c r="H13" s="1">
        <f>1.62%/12</f>
        <v>1.3500000000000003E-3</v>
      </c>
      <c r="J13" s="278">
        <f>F13*H13</f>
        <v>0</v>
      </c>
      <c r="L13" s="415">
        <f>'Cap&amp;OpEx 2023'!J9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'202307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'202307 Bk Depr'!R15</f>
        <v>21182397.780000012</v>
      </c>
      <c r="H15" s="1">
        <f>3.24%/12</f>
        <v>2.7000000000000006E-3</v>
      </c>
      <c r="J15" s="278">
        <f t="shared" si="0"/>
        <v>57192.474006000048</v>
      </c>
      <c r="L15" s="415">
        <f>'Cap&amp;OpEx 2023'!J10</f>
        <v>732525.19</v>
      </c>
      <c r="N15" s="278">
        <f t="shared" si="1"/>
        <v>988.90900650000015</v>
      </c>
      <c r="P15" s="278">
        <f t="shared" si="2"/>
        <v>58181.383012500046</v>
      </c>
      <c r="R15" s="278">
        <f t="shared" si="3"/>
        <v>21914922.970000014</v>
      </c>
      <c r="Y15" s="488">
        <f>R18</f>
        <v>72249883.50999999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'202307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2023'!J11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71692366.849999994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'202307 Bk Depr'!R17</f>
        <v>49315562.05999998</v>
      </c>
      <c r="H17" s="1">
        <f>3.24%/12</f>
        <v>2.7000000000000006E-3</v>
      </c>
      <c r="J17" s="278">
        <f t="shared" si="0"/>
        <v>133152.01756199996</v>
      </c>
      <c r="L17" s="415">
        <f>'Cap&amp;OpEx 2023'!J12</f>
        <v>1019398.48</v>
      </c>
      <c r="N17" s="278">
        <f t="shared" si="1"/>
        <v>1376.1879480000002</v>
      </c>
      <c r="P17" s="278">
        <f t="shared" si="2"/>
        <v>134528.20550999997</v>
      </c>
      <c r="R17" s="278">
        <f t="shared" si="3"/>
        <v>50334960.539999977</v>
      </c>
      <c r="Y17" s="488">
        <f>'Rev Req 2023-Distr'!L11</f>
        <v>71692366.849999994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70497959.839999989</v>
      </c>
      <c r="J18" s="276">
        <f>SUM(J13:J17)</f>
        <v>190344.491568</v>
      </c>
      <c r="L18" s="276">
        <f>SUM(L13:L17)</f>
        <v>1751923.67</v>
      </c>
      <c r="N18" s="276">
        <f>SUM(N13:N17)</f>
        <v>2365.0969545000003</v>
      </c>
      <c r="P18" s="276">
        <f>SUM(P13:P17)</f>
        <v>192709.58852250001</v>
      </c>
      <c r="R18" s="276">
        <f>SUM(R13:R17)</f>
        <v>72249883.50999999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'202307 Bk Depr'!R21</f>
        <v>0</v>
      </c>
      <c r="H21" s="1">
        <f>1.62%/12</f>
        <v>1.3500000000000003E-3</v>
      </c>
      <c r="J21" s="278">
        <f>F21*H21</f>
        <v>0</v>
      </c>
      <c r="L21" s="415">
        <f>'Cap&amp;OpEx 2023'!J15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'202307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'202307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2023'!J16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'202307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2023'!J17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'202307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2023'!J18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69940443.179999992</v>
      </c>
      <c r="G28" s="6"/>
      <c r="H28" s="4"/>
      <c r="I28" s="6"/>
      <c r="J28" s="277">
        <f>J18+J26</f>
        <v>188839.19658600001</v>
      </c>
      <c r="K28" s="6"/>
      <c r="L28" s="277">
        <f>L18+L26</f>
        <v>1751923.67</v>
      </c>
      <c r="M28" s="6"/>
      <c r="N28" s="277">
        <f>N18+N26</f>
        <v>2365.0969545000003</v>
      </c>
      <c r="O28" s="6"/>
      <c r="P28" s="277">
        <f>P18+P26</f>
        <v>191204.29354050002</v>
      </c>
      <c r="Q28" s="6"/>
      <c r="R28" s="277">
        <f>R18+R26</f>
        <v>71692366.849999994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'202307 Bk Depr'!R31</f>
        <v>0</v>
      </c>
      <c r="J31" s="278"/>
      <c r="L31" s="415">
        <f>'Cap&amp;OpEx 2023'!J27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'202307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'202307 Bk Depr'!R33</f>
        <v>4885027.7000000011</v>
      </c>
      <c r="J33" s="278"/>
      <c r="L33" s="415">
        <f>'Cap&amp;OpEx 2023'!J28</f>
        <v>93318.23000000001</v>
      </c>
      <c r="N33" s="278"/>
      <c r="P33" s="278"/>
      <c r="R33" s="278">
        <f t="shared" si="8"/>
        <v>4978345.9300000016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'202307 Bk Depr'!R34</f>
        <v>0</v>
      </c>
      <c r="G34" s="397"/>
      <c r="I34" s="397"/>
      <c r="J34" s="274"/>
      <c r="K34" s="397"/>
      <c r="L34" s="415">
        <f>'Cap&amp;OpEx 2023'!J29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'202307 Bk Depr'!R35</f>
        <v>113528.56999999998</v>
      </c>
      <c r="J35" s="278"/>
      <c r="L35" s="415">
        <f>'Cap&amp;OpEx 2023'!J30</f>
        <v>0</v>
      </c>
      <c r="N35" s="278"/>
      <c r="P35" s="278"/>
      <c r="R35" s="278">
        <f t="shared" si="8"/>
        <v>113528.56999999998</v>
      </c>
    </row>
    <row r="36" spans="1:26">
      <c r="A36" s="6">
        <v>19</v>
      </c>
      <c r="B36" s="4"/>
      <c r="C36" s="4" t="s">
        <v>23</v>
      </c>
      <c r="F36" s="276">
        <f>SUM(F31:F35)</f>
        <v>4998556.2700000014</v>
      </c>
      <c r="J36" s="276">
        <f>SUM(J31:J35)</f>
        <v>0</v>
      </c>
      <c r="L36" s="276">
        <f>SUM(L31:L35)</f>
        <v>93318.23000000001</v>
      </c>
      <c r="N36" s="276">
        <f>SUM(N31:N35)</f>
        <v>0</v>
      </c>
      <c r="P36" s="276">
        <f>SUM(P31:P35)</f>
        <v>0</v>
      </c>
      <c r="R36" s="276">
        <f>SUM(R31:R35)</f>
        <v>5091874.5000000019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2023'!J13</f>
        <v>0</v>
      </c>
      <c r="M41" s="389"/>
      <c r="N41" s="390"/>
      <c r="O41" s="389"/>
      <c r="P41" s="785">
        <f>P28-'Rev Req 2023-Distr'!L25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11 of 17&amp;L&amp;1#&amp;"Calibri"&amp;14&amp;K000000Business Use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0D20-348E-4CF0-A944-DD973FD4276D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'202308 Bk Depr'!R13</f>
        <v>0</v>
      </c>
      <c r="H13" s="1">
        <f>1.62%/12</f>
        <v>1.3500000000000003E-3</v>
      </c>
      <c r="J13" s="278">
        <f>F13*H13</f>
        <v>0</v>
      </c>
      <c r="L13" s="415">
        <f>'Cap&amp;OpEx 2023'!K9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'202308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'202308 Bk Depr'!R15</f>
        <v>21914922.970000014</v>
      </c>
      <c r="H15" s="1">
        <f>3.24%/12</f>
        <v>2.7000000000000006E-3</v>
      </c>
      <c r="J15" s="278">
        <f t="shared" si="0"/>
        <v>59170.292019000051</v>
      </c>
      <c r="L15" s="415">
        <f>'Cap&amp;OpEx 2023'!K10</f>
        <v>684299.18</v>
      </c>
      <c r="N15" s="278">
        <f t="shared" si="1"/>
        <v>923.80389300000024</v>
      </c>
      <c r="P15" s="278">
        <f t="shared" si="2"/>
        <v>60094.095912000048</v>
      </c>
      <c r="R15" s="278">
        <f t="shared" si="3"/>
        <v>22599222.150000013</v>
      </c>
      <c r="Y15" s="488">
        <f>R18</f>
        <v>73853229.639999986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'202308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2023'!K11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73295712.979999989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'202308 Bk Depr'!R17</f>
        <v>50334960.539999977</v>
      </c>
      <c r="H17" s="1">
        <f>3.24%/12</f>
        <v>2.7000000000000006E-3</v>
      </c>
      <c r="J17" s="278">
        <f t="shared" si="0"/>
        <v>135904.39345799998</v>
      </c>
      <c r="L17" s="415">
        <f>'Cap&amp;OpEx 2023'!K12</f>
        <v>919046.95</v>
      </c>
      <c r="N17" s="278">
        <f t="shared" si="1"/>
        <v>1240.7133825000003</v>
      </c>
      <c r="P17" s="278">
        <f t="shared" si="2"/>
        <v>137145.10684049997</v>
      </c>
      <c r="R17" s="278">
        <f t="shared" si="3"/>
        <v>51254007.48999998</v>
      </c>
      <c r="Y17" s="488">
        <f>'Rev Req 2023-Distr'!M11</f>
        <v>73295712.979999989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72249883.50999999</v>
      </c>
      <c r="J18" s="276">
        <f>SUM(J13:J17)</f>
        <v>195074.68547700002</v>
      </c>
      <c r="L18" s="276">
        <f>SUM(L13:L17)</f>
        <v>1603346.13</v>
      </c>
      <c r="N18" s="276">
        <f>SUM(N13:N17)</f>
        <v>2164.5172755000003</v>
      </c>
      <c r="P18" s="276">
        <f>SUM(P13:P17)</f>
        <v>197239.20275250002</v>
      </c>
      <c r="R18" s="276">
        <f>SUM(R13:R17)</f>
        <v>73853229.639999986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'202308 Bk Depr'!R21</f>
        <v>0</v>
      </c>
      <c r="H21" s="1">
        <f>1.62%/12</f>
        <v>1.3500000000000003E-3</v>
      </c>
      <c r="J21" s="278">
        <f>F21*H21</f>
        <v>0</v>
      </c>
      <c r="L21" s="415">
        <f>'Cap&amp;OpEx 2023'!K15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'202308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'202308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2023'!K16</f>
        <v>0</v>
      </c>
      <c r="N23" s="486">
        <f>H23*L23*0.5</f>
        <v>0</v>
      </c>
      <c r="P23" s="278">
        <f t="shared" si="6"/>
        <v>-1497.0306869999993</v>
      </c>
      <c r="R23" s="278">
        <f>L23+F23</f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'202308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2023'!K17</f>
        <v>0</v>
      </c>
      <c r="M24" s="397"/>
      <c r="N24" s="486">
        <f>H24*L24*0.5</f>
        <v>0</v>
      </c>
      <c r="O24" s="397"/>
      <c r="P24" s="278">
        <f t="shared" si="6"/>
        <v>0</v>
      </c>
      <c r="Q24" s="397"/>
      <c r="R24" s="278">
        <f>L24+F24</f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'202308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2023'!K18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71692366.849999994</v>
      </c>
      <c r="G28" s="6"/>
      <c r="H28" s="4"/>
      <c r="I28" s="6"/>
      <c r="J28" s="277">
        <f>J18+J26</f>
        <v>193569.39049500003</v>
      </c>
      <c r="K28" s="6"/>
      <c r="L28" s="277">
        <f>L18+L26</f>
        <v>1603346.13</v>
      </c>
      <c r="M28" s="6"/>
      <c r="N28" s="277">
        <f>N18+N26</f>
        <v>2164.5172755000003</v>
      </c>
      <c r="O28" s="6"/>
      <c r="P28" s="277">
        <f>P18+P26</f>
        <v>195733.90777050002</v>
      </c>
      <c r="Q28" s="6"/>
      <c r="R28" s="277">
        <f>R18+R26</f>
        <v>73295712.979999989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'202308 Bk Depr'!R31</f>
        <v>0</v>
      </c>
      <c r="J31" s="278"/>
      <c r="L31" s="415">
        <f>'Cap&amp;OpEx 2023'!K27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'202308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'202308 Bk Depr'!R33</f>
        <v>4978345.9300000016</v>
      </c>
      <c r="J33" s="278"/>
      <c r="L33" s="415">
        <f>'Cap&amp;OpEx 2023'!K28</f>
        <v>100470.06999999999</v>
      </c>
      <c r="N33" s="278"/>
      <c r="P33" s="278"/>
      <c r="R33" s="278">
        <f t="shared" si="8"/>
        <v>5078816.0000000019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'202308 Bk Depr'!R34</f>
        <v>0</v>
      </c>
      <c r="G34" s="397"/>
      <c r="I34" s="397"/>
      <c r="J34" s="274"/>
      <c r="K34" s="397"/>
      <c r="L34" s="415">
        <f>'Cap&amp;OpEx 2023'!K29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'202308 Bk Depr'!R35</f>
        <v>113528.56999999998</v>
      </c>
      <c r="J35" s="278"/>
      <c r="L35" s="415">
        <f>'Cap&amp;OpEx 2023'!K30</f>
        <v>0</v>
      </c>
      <c r="N35" s="278"/>
      <c r="P35" s="278"/>
      <c r="R35" s="278">
        <f t="shared" si="8"/>
        <v>113528.56999999998</v>
      </c>
    </row>
    <row r="36" spans="1:26">
      <c r="A36" s="6">
        <v>19</v>
      </c>
      <c r="B36" s="4"/>
      <c r="C36" s="4" t="s">
        <v>23</v>
      </c>
      <c r="F36" s="276">
        <f>SUM(F31:F35)</f>
        <v>5091874.5000000019</v>
      </c>
      <c r="J36" s="276">
        <f>SUM(J31:J35)</f>
        <v>0</v>
      </c>
      <c r="L36" s="276">
        <f>SUM(L31:L35)</f>
        <v>100470.06999999999</v>
      </c>
      <c r="N36" s="276">
        <f>SUM(N31:N35)</f>
        <v>0</v>
      </c>
      <c r="P36" s="276">
        <f>SUM(P31:P35)</f>
        <v>0</v>
      </c>
      <c r="R36" s="276">
        <f>SUM(R31:R35)</f>
        <v>5192344.5700000022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2023'!K13</f>
        <v>0</v>
      </c>
      <c r="M41" s="389"/>
      <c r="N41" s="390"/>
      <c r="O41" s="389"/>
      <c r="P41" s="785">
        <f>P28-'Rev Req 2023-Distr'!M25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12 of 17&amp;L&amp;1#&amp;"Calibri"&amp;14&amp;K000000Business Use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A855-B8C8-4B11-BC4B-542D89EFF7C8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'202309 Bk Depr'!R13</f>
        <v>0</v>
      </c>
      <c r="H13" s="1">
        <f>1.62%/12</f>
        <v>1.3500000000000003E-3</v>
      </c>
      <c r="J13" s="278">
        <f>F13*H13</f>
        <v>0</v>
      </c>
      <c r="L13" s="415">
        <f>'Cap&amp;OpEx 2023'!L9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'202309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-557516.65999999957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'202309 Bk Depr'!R15</f>
        <v>22599222.150000013</v>
      </c>
      <c r="H15" s="1">
        <f>3.24%/12</f>
        <v>2.7000000000000006E-3</v>
      </c>
      <c r="J15" s="278">
        <f t="shared" si="0"/>
        <v>61017.899805000052</v>
      </c>
      <c r="L15" s="415">
        <f>'Cap&amp;OpEx 2023'!L10</f>
        <v>595047.91999999993</v>
      </c>
      <c r="N15" s="278">
        <f t="shared" si="1"/>
        <v>803.31469200000004</v>
      </c>
      <c r="P15" s="278">
        <f t="shared" si="2"/>
        <v>61821.214497000052</v>
      </c>
      <c r="R15" s="278">
        <f t="shared" si="3"/>
        <v>23194270.070000015</v>
      </c>
      <c r="Y15" s="488">
        <f>R18</f>
        <v>75649507.459999993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'202309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2023'!L11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75091990.799999997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'202309 Bk Depr'!R17</f>
        <v>51254007.48999998</v>
      </c>
      <c r="H17" s="1">
        <f>3.24%/12</f>
        <v>2.7000000000000006E-3</v>
      </c>
      <c r="J17" s="278">
        <f t="shared" si="0"/>
        <v>138385.82022299999</v>
      </c>
      <c r="L17" s="415">
        <f>'Cap&amp;OpEx 2023'!L12</f>
        <v>1201229.8999999999</v>
      </c>
      <c r="N17" s="278">
        <f t="shared" si="1"/>
        <v>1621.6603650000002</v>
      </c>
      <c r="P17" s="278">
        <f t="shared" si="2"/>
        <v>140007.48058799998</v>
      </c>
      <c r="R17" s="278">
        <f t="shared" si="3"/>
        <v>52455237.389999978</v>
      </c>
      <c r="Y17" s="488">
        <f>'Rev Req 2023-Distr'!N11</f>
        <v>75091990.799999982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73853229.639999986</v>
      </c>
      <c r="J18" s="276">
        <f>SUM(J13:J17)</f>
        <v>199403.72002800004</v>
      </c>
      <c r="L18" s="276">
        <f>SUM(L13:L17)</f>
        <v>1796277.8199999998</v>
      </c>
      <c r="N18" s="276">
        <f>SUM(N13:N17)</f>
        <v>2424.9750570000001</v>
      </c>
      <c r="P18" s="276">
        <f>SUM(P13:P17)</f>
        <v>201828.69508500001</v>
      </c>
      <c r="R18" s="276">
        <f>SUM(R13:R17)</f>
        <v>75649507.459999993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'202309 Bk Depr'!R21</f>
        <v>0</v>
      </c>
      <c r="H21" s="1">
        <f>1.62%/12</f>
        <v>1.3500000000000003E-3</v>
      </c>
      <c r="J21" s="278">
        <f>F21*H21</f>
        <v>0</v>
      </c>
      <c r="L21" s="415">
        <f>'Cap&amp;OpEx 2023'!L15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'202309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'202309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2023'!L16</f>
        <v>0</v>
      </c>
      <c r="N23" s="486">
        <f t="shared" si="5"/>
        <v>0</v>
      </c>
      <c r="P23" s="278">
        <f t="shared" si="6"/>
        <v>-1497.0306869999993</v>
      </c>
      <c r="R23" s="278">
        <f t="shared" si="7"/>
        <v>-554455.80999999959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'202309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2023'!L17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'202309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2023'!L18</f>
        <v>0</v>
      </c>
      <c r="N25" s="486">
        <f t="shared" si="5"/>
        <v>0</v>
      </c>
      <c r="P25" s="278">
        <f t="shared" si="6"/>
        <v>-8.2642950000000024</v>
      </c>
      <c r="R25" s="278">
        <f t="shared" si="7"/>
        <v>-3060.8500000000004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0</v>
      </c>
      <c r="N26" s="276">
        <f>SUM(N21:N25)</f>
        <v>0</v>
      </c>
      <c r="P26" s="276">
        <f>SUM(P21:P25)</f>
        <v>-1505.2949819999992</v>
      </c>
      <c r="R26" s="276">
        <f>SUM(R21:R25)</f>
        <v>-557516.65999999957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73295712.979999989</v>
      </c>
      <c r="G28" s="6"/>
      <c r="H28" s="4"/>
      <c r="I28" s="6"/>
      <c r="J28" s="277">
        <f>J18+J26</f>
        <v>197898.42504600005</v>
      </c>
      <c r="K28" s="6"/>
      <c r="L28" s="277">
        <f>L18+L26</f>
        <v>1796277.8199999998</v>
      </c>
      <c r="M28" s="6"/>
      <c r="N28" s="277">
        <f>N18+N26</f>
        <v>2424.9750570000001</v>
      </c>
      <c r="O28" s="6"/>
      <c r="P28" s="277">
        <f>P18+P26</f>
        <v>200323.40010300002</v>
      </c>
      <c r="Q28" s="6"/>
      <c r="R28" s="277">
        <f>R18+R26</f>
        <v>75091990.799999997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'202309 Bk Depr'!R31</f>
        <v>0</v>
      </c>
      <c r="J31" s="278"/>
      <c r="L31" s="415">
        <f>'Cap&amp;OpEx 2023'!L27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'202309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'202309 Bk Depr'!R33</f>
        <v>5078816.0000000019</v>
      </c>
      <c r="J33" s="278"/>
      <c r="L33" s="415">
        <f>'Cap&amp;OpEx 2023'!L28</f>
        <v>96229.56</v>
      </c>
      <c r="N33" s="278"/>
      <c r="P33" s="278"/>
      <c r="R33" s="278">
        <f t="shared" si="8"/>
        <v>5175045.5600000015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'202309 Bk Depr'!R34</f>
        <v>0</v>
      </c>
      <c r="G34" s="397"/>
      <c r="I34" s="397"/>
      <c r="J34" s="274"/>
      <c r="K34" s="397"/>
      <c r="L34" s="415">
        <f>'Cap&amp;OpEx 2023'!L29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'202309 Bk Depr'!R35</f>
        <v>113528.56999999998</v>
      </c>
      <c r="J35" s="278"/>
      <c r="L35" s="415">
        <f>'Cap&amp;OpEx 2023'!L30</f>
        <v>197.73</v>
      </c>
      <c r="N35" s="278"/>
      <c r="P35" s="278"/>
      <c r="R35" s="278">
        <f t="shared" si="8"/>
        <v>113726.29999999997</v>
      </c>
    </row>
    <row r="36" spans="1:26">
      <c r="A36" s="6">
        <v>19</v>
      </c>
      <c r="B36" s="4"/>
      <c r="C36" s="4" t="s">
        <v>23</v>
      </c>
      <c r="F36" s="276">
        <f>SUM(F31:F35)</f>
        <v>5192344.5700000022</v>
      </c>
      <c r="J36" s="276">
        <f>SUM(J31:J35)</f>
        <v>0</v>
      </c>
      <c r="L36" s="276">
        <f>SUM(L31:L35)</f>
        <v>96427.29</v>
      </c>
      <c r="N36" s="276">
        <f>SUM(N31:N35)</f>
        <v>0</v>
      </c>
      <c r="P36" s="276">
        <f>SUM(P31:P35)</f>
        <v>0</v>
      </c>
      <c r="R36" s="276">
        <f>SUM(R31:R35)</f>
        <v>5288771.8600000013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2023'!L13</f>
        <v>0</v>
      </c>
      <c r="M41" s="389"/>
      <c r="N41" s="390"/>
      <c r="O41" s="389"/>
      <c r="P41" s="785">
        <f>P28-'Rev Req 2023-Distr'!N25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13 of 17&amp;L&amp;1#&amp;"Calibri"&amp;14&amp;K000000Business Use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7B7C4-540D-4072-8F6B-260299F2CE83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'202310 Bk Depr'!R13</f>
        <v>0</v>
      </c>
      <c r="H13" s="1">
        <f>1.62%/12</f>
        <v>1.3500000000000003E-3</v>
      </c>
      <c r="J13" s="278">
        <f>F13*H13</f>
        <v>0</v>
      </c>
      <c r="L13" s="415">
        <f>'Cap&amp;OpEx 2023'!M9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'202310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-1118407.4499999997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'202310 Bk Depr'!R15</f>
        <v>23194270.070000015</v>
      </c>
      <c r="H15" s="1">
        <f>3.24%/12</f>
        <v>2.7000000000000006E-3</v>
      </c>
      <c r="J15" s="278">
        <f t="shared" si="0"/>
        <v>62624.529189000052</v>
      </c>
      <c r="L15" s="415">
        <f>'Cap&amp;OpEx 2023'!M10</f>
        <v>992425.97000000009</v>
      </c>
      <c r="N15" s="278">
        <f t="shared" si="1"/>
        <v>1339.7750595000005</v>
      </c>
      <c r="P15" s="278">
        <f t="shared" si="2"/>
        <v>63964.304248500055</v>
      </c>
      <c r="R15" s="278">
        <f t="shared" si="3"/>
        <v>24186696.040000014</v>
      </c>
      <c r="Y15" s="488">
        <f>R18</f>
        <v>77797590.879999995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'202310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2023'!M11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76679183.429999992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'202310 Bk Depr'!R17</f>
        <v>52455237.389999978</v>
      </c>
      <c r="H17" s="1">
        <f>3.24%/12</f>
        <v>2.7000000000000006E-3</v>
      </c>
      <c r="J17" s="278">
        <f t="shared" si="0"/>
        <v>141629.14095299997</v>
      </c>
      <c r="L17" s="415">
        <f>'Cap&amp;OpEx 2023'!M12</f>
        <v>1155657.45</v>
      </c>
      <c r="N17" s="278">
        <f t="shared" si="1"/>
        <v>1560.1375575000002</v>
      </c>
      <c r="P17" s="278">
        <f t="shared" si="2"/>
        <v>143189.27851049998</v>
      </c>
      <c r="R17" s="278">
        <f t="shared" si="3"/>
        <v>53610894.839999981</v>
      </c>
      <c r="Y17" s="488">
        <f>'Rev Req 2023-Distr'!O11</f>
        <v>76679183.429999977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75649507.459999993</v>
      </c>
      <c r="J18" s="276">
        <f>SUM(J13:J17)</f>
        <v>204253.67014200002</v>
      </c>
      <c r="L18" s="276">
        <f>SUM(L13:L17)</f>
        <v>2148083.42</v>
      </c>
      <c r="N18" s="276">
        <f>SUM(N13:N17)</f>
        <v>2899.9126170000009</v>
      </c>
      <c r="P18" s="276">
        <f>SUM(P13:P17)</f>
        <v>207153.58275900004</v>
      </c>
      <c r="R18" s="276">
        <f>SUM(R13:R17)</f>
        <v>77797590.879999995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'202310 Bk Depr'!R21</f>
        <v>0</v>
      </c>
      <c r="H21" s="1">
        <f>1.62%/12</f>
        <v>1.3500000000000003E-3</v>
      </c>
      <c r="J21" s="278">
        <f>F21*H21</f>
        <v>0</v>
      </c>
      <c r="L21" s="415">
        <f>'Cap&amp;OpEx 2023'!M15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'202310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'202310 Bk Depr'!R23</f>
        <v>-554455.80999999959</v>
      </c>
      <c r="H23" s="1">
        <f>3.24%/12</f>
        <v>2.7000000000000006E-3</v>
      </c>
      <c r="J23" s="278">
        <f t="shared" si="4"/>
        <v>-1497.0306869999993</v>
      </c>
      <c r="L23" s="415">
        <f>'Cap&amp;OpEx 2023'!M16</f>
        <v>-524848.02</v>
      </c>
      <c r="N23" s="486">
        <f t="shared" si="5"/>
        <v>-708.54482700000017</v>
      </c>
      <c r="P23" s="278">
        <f t="shared" si="6"/>
        <v>-2205.5755139999992</v>
      </c>
      <c r="R23" s="278">
        <f t="shared" si="7"/>
        <v>-1079303.8299999996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'202310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2023'!M17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'202310 Bk Depr'!R25</f>
        <v>-3060.8500000000004</v>
      </c>
      <c r="H25" s="1">
        <f>3.24%/12</f>
        <v>2.7000000000000006E-3</v>
      </c>
      <c r="J25" s="278">
        <f t="shared" si="4"/>
        <v>-8.2642950000000024</v>
      </c>
      <c r="L25" s="415">
        <f>'Cap&amp;OpEx 2023'!M18</f>
        <v>-36042.770000000004</v>
      </c>
      <c r="N25" s="486">
        <f t="shared" si="5"/>
        <v>-48.657739500000012</v>
      </c>
      <c r="P25" s="278">
        <f t="shared" si="6"/>
        <v>-56.922034500000017</v>
      </c>
      <c r="R25" s="278">
        <f t="shared" si="7"/>
        <v>-39103.620000000003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-557516.65999999957</v>
      </c>
      <c r="J26" s="276">
        <f>SUM(J21:J25)</f>
        <v>-1505.2949819999992</v>
      </c>
      <c r="L26" s="276">
        <f>SUM(L21:L25)</f>
        <v>-560890.79</v>
      </c>
      <c r="N26" s="276">
        <f>SUM(N21:N25)</f>
        <v>-757.20256650000022</v>
      </c>
      <c r="P26" s="276">
        <f>SUM(P21:P25)</f>
        <v>-2262.4975484999991</v>
      </c>
      <c r="R26" s="276">
        <f>SUM(R21:R25)</f>
        <v>-1118407.4499999997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75091990.799999997</v>
      </c>
      <c r="G28" s="6"/>
      <c r="H28" s="4"/>
      <c r="I28" s="6"/>
      <c r="J28" s="277">
        <f>J18+J26</f>
        <v>202748.37516000003</v>
      </c>
      <c r="K28" s="6"/>
      <c r="L28" s="277">
        <f>L18+L26</f>
        <v>1587192.63</v>
      </c>
      <c r="M28" s="6"/>
      <c r="N28" s="277">
        <f>N18+N26</f>
        <v>2142.7100505000008</v>
      </c>
      <c r="O28" s="6"/>
      <c r="P28" s="277">
        <f>P18+P26</f>
        <v>204891.08521050005</v>
      </c>
      <c r="Q28" s="6"/>
      <c r="R28" s="277">
        <f>R18+R26</f>
        <v>76679183.429999992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'202310 Bk Depr'!R31</f>
        <v>0</v>
      </c>
      <c r="J31" s="278"/>
      <c r="L31" s="415">
        <f>'Cap&amp;OpEx 2023'!M27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'202310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'202310 Bk Depr'!R33</f>
        <v>5175045.5600000015</v>
      </c>
      <c r="J33" s="278"/>
      <c r="L33" s="415">
        <f>'Cap&amp;OpEx 2023'!M28</f>
        <v>58439.21</v>
      </c>
      <c r="N33" s="278"/>
      <c r="P33" s="278"/>
      <c r="R33" s="278">
        <f t="shared" si="8"/>
        <v>5233484.7700000014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'202310 Bk Depr'!R34</f>
        <v>0</v>
      </c>
      <c r="G34" s="397"/>
      <c r="I34" s="397"/>
      <c r="J34" s="274"/>
      <c r="K34" s="397"/>
      <c r="L34" s="415">
        <f>'Cap&amp;OpEx 2023'!M29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'202310 Bk Depr'!R35</f>
        <v>113726.29999999997</v>
      </c>
      <c r="J35" s="278"/>
      <c r="L35" s="415">
        <f>'Cap&amp;OpEx 2023'!M30</f>
        <v>0</v>
      </c>
      <c r="N35" s="278"/>
      <c r="P35" s="278"/>
      <c r="R35" s="278">
        <f t="shared" si="8"/>
        <v>113726.29999999997</v>
      </c>
    </row>
    <row r="36" spans="1:26">
      <c r="A36" s="6">
        <v>19</v>
      </c>
      <c r="B36" s="4"/>
      <c r="C36" s="4" t="s">
        <v>23</v>
      </c>
      <c r="F36" s="276">
        <f>SUM(F31:F35)</f>
        <v>5288771.8600000013</v>
      </c>
      <c r="J36" s="276">
        <f>SUM(J31:J35)</f>
        <v>0</v>
      </c>
      <c r="L36" s="276">
        <f>SUM(L31:L35)</f>
        <v>58439.21</v>
      </c>
      <c r="N36" s="276">
        <f>SUM(N31:N35)</f>
        <v>0</v>
      </c>
      <c r="P36" s="276">
        <f>SUM(P31:P35)</f>
        <v>0</v>
      </c>
      <c r="R36" s="276">
        <f>SUM(R31:R35)</f>
        <v>5347211.0700000012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2023'!M13</f>
        <v>-560890.79</v>
      </c>
      <c r="M41" s="389"/>
      <c r="N41" s="390"/>
      <c r="O41" s="389"/>
      <c r="P41" s="785">
        <f>P28-'Rev Req 2023-Distr'!O25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14 of 17&amp;L&amp;1#&amp;"Calibri"&amp;14&amp;K000000Business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  <pageSetUpPr autoPageBreaks="0"/>
  </sheetPr>
  <dimension ref="A1:M25"/>
  <sheetViews>
    <sheetView showGridLines="0" view="pageBreakPreview" zoomScale="90" zoomScaleNormal="100" zoomScaleSheetLayoutView="90" workbookViewId="0"/>
  </sheetViews>
  <sheetFormatPr defaultColWidth="9.140625" defaultRowHeight="15.75"/>
  <cols>
    <col min="1" max="1" width="6.140625" style="258" bestFit="1" customWidth="1"/>
    <col min="2" max="2" width="68.7109375" style="368" bestFit="1" customWidth="1"/>
    <col min="3" max="3" width="24.140625" style="368" customWidth="1"/>
    <col min="4" max="4" width="14.85546875" style="368" customWidth="1"/>
    <col min="5" max="5" width="19.28515625" style="368" customWidth="1"/>
    <col min="6" max="6" width="24.5703125" style="368" customWidth="1"/>
    <col min="7" max="7" width="20" style="368" customWidth="1"/>
    <col min="8" max="8" width="17.7109375" style="368" customWidth="1"/>
    <col min="9" max="9" width="16.140625" style="368" customWidth="1"/>
    <col min="10" max="10" width="6.140625" style="368" customWidth="1"/>
    <col min="11" max="11" width="9.140625" style="368"/>
    <col min="12" max="12" width="9.140625" style="368" customWidth="1"/>
    <col min="13" max="16384" width="9.140625" style="368"/>
  </cols>
  <sheetData>
    <row r="1" spans="1:13">
      <c r="A1" s="1221" t="s">
        <v>669</v>
      </c>
      <c r="B1" s="1221"/>
      <c r="C1" s="1221"/>
      <c r="D1" s="1221"/>
      <c r="E1" s="1221"/>
      <c r="F1" s="1221"/>
      <c r="G1" s="1221"/>
      <c r="H1" s="1221"/>
      <c r="I1" s="1221"/>
      <c r="M1" s="26"/>
    </row>
    <row r="2" spans="1:13">
      <c r="A2" s="1222" t="s">
        <v>961</v>
      </c>
      <c r="B2" s="1222"/>
      <c r="C2" s="1222"/>
      <c r="D2" s="1222"/>
      <c r="E2" s="1222"/>
      <c r="F2" s="1222"/>
      <c r="G2" s="1222"/>
      <c r="H2" s="1222"/>
      <c r="I2" s="1222"/>
      <c r="K2" s="1200"/>
    </row>
    <row r="3" spans="1:13">
      <c r="A3" s="1221" t="s">
        <v>1013</v>
      </c>
      <c r="B3" s="1221"/>
      <c r="C3" s="1221"/>
      <c r="D3" s="1221"/>
      <c r="E3" s="1221"/>
      <c r="F3" s="1221"/>
      <c r="G3" s="1221"/>
      <c r="H3" s="1221"/>
      <c r="I3" s="1221"/>
    </row>
    <row r="4" spans="1:13" ht="15.75" customHeight="1">
      <c r="A4" s="257"/>
    </row>
    <row r="5" spans="1:13" ht="15.75" customHeight="1"/>
    <row r="6" spans="1:13" s="620" customFormat="1" ht="47.25">
      <c r="A6" s="1223" t="s">
        <v>4</v>
      </c>
      <c r="B6" s="1223" t="s">
        <v>237</v>
      </c>
      <c r="C6" s="1224" t="s">
        <v>1014</v>
      </c>
      <c r="D6" s="1225" t="s">
        <v>64</v>
      </c>
      <c r="E6" s="1225" t="s">
        <v>157</v>
      </c>
      <c r="F6" s="1225" t="s">
        <v>1018</v>
      </c>
      <c r="G6" s="1226" t="s">
        <v>1017</v>
      </c>
      <c r="H6" s="1227" t="s">
        <v>1016</v>
      </c>
      <c r="I6" s="1227" t="s">
        <v>1019</v>
      </c>
    </row>
    <row r="7" spans="1:13" ht="9" customHeight="1">
      <c r="A7" s="1200"/>
      <c r="B7" s="1228"/>
      <c r="C7" s="1229"/>
      <c r="D7" s="1230"/>
      <c r="E7" s="1230"/>
      <c r="F7" s="254"/>
      <c r="G7" s="254"/>
      <c r="H7" s="255"/>
      <c r="I7" s="255"/>
      <c r="J7" s="266"/>
      <c r="K7" s="266"/>
    </row>
    <row r="8" spans="1:13" ht="20.25" customHeight="1">
      <c r="A8" s="368"/>
      <c r="B8" s="1231" t="s">
        <v>1015</v>
      </c>
      <c r="C8" s="1232"/>
      <c r="D8" s="1230"/>
      <c r="E8" s="1230"/>
      <c r="F8" s="254"/>
      <c r="G8" s="254"/>
      <c r="H8" s="255"/>
      <c r="I8" s="255"/>
      <c r="J8" s="266"/>
      <c r="K8" s="266"/>
    </row>
    <row r="9" spans="1:13" s="1167" customFormat="1" ht="19.5" customHeight="1">
      <c r="A9" s="1233">
        <v>1</v>
      </c>
      <c r="B9" s="1234" t="s">
        <v>411</v>
      </c>
      <c r="C9" s="1235">
        <v>252765898.73405454</v>
      </c>
      <c r="D9" s="1236">
        <f>C9/$C$12</f>
        <v>0.67853301448922276</v>
      </c>
      <c r="E9" s="1237">
        <f>D9*E$12</f>
        <v>7397003.1691977689</v>
      </c>
      <c r="F9" s="1238">
        <v>3619902</v>
      </c>
      <c r="G9" s="1165">
        <f>ROUND(E9/F9,2)</f>
        <v>2.04</v>
      </c>
      <c r="H9" s="1166">
        <f>G19</f>
        <v>0.56000000000000005</v>
      </c>
      <c r="I9" s="1166">
        <f>SUM(G9:H9)</f>
        <v>2.6</v>
      </c>
      <c r="J9" s="776"/>
      <c r="K9" s="776"/>
    </row>
    <row r="10" spans="1:13" s="1167" customFormat="1" ht="19.5" customHeight="1">
      <c r="A10" s="1233">
        <v>2</v>
      </c>
      <c r="B10" s="1234" t="s">
        <v>452</v>
      </c>
      <c r="C10" s="1235">
        <v>107533260.24251591</v>
      </c>
      <c r="D10" s="1236">
        <f t="shared" ref="D10:D11" si="0">C10/$C$12</f>
        <v>0.28866578757515771</v>
      </c>
      <c r="E10" s="1237">
        <f>D10*E$12</f>
        <v>3146879.6653023083</v>
      </c>
      <c r="F10" s="1238">
        <v>308882</v>
      </c>
      <c r="G10" s="1165">
        <f>ROUND(E10/F10,2)</f>
        <v>10.19</v>
      </c>
      <c r="H10" s="1166">
        <f t="shared" ref="H10:H11" si="1">G20</f>
        <v>2.82</v>
      </c>
      <c r="I10" s="1166">
        <f>SUM(G10:H10)</f>
        <v>13.01</v>
      </c>
      <c r="J10" s="776"/>
      <c r="K10" s="776"/>
    </row>
    <row r="11" spans="1:13" s="1167" customFormat="1" ht="19.5" customHeight="1">
      <c r="A11" s="1159">
        <v>3</v>
      </c>
      <c r="B11" s="1239" t="s">
        <v>809</v>
      </c>
      <c r="C11" s="1240">
        <v>12219043.28707087</v>
      </c>
      <c r="D11" s="1236">
        <f t="shared" si="0"/>
        <v>3.2801197935619586E-2</v>
      </c>
      <c r="E11" s="1241">
        <f>D11*E$12</f>
        <v>357581.07549992343</v>
      </c>
      <c r="F11" s="1242">
        <v>2565</v>
      </c>
      <c r="G11" s="1165">
        <f>ROUND(E11/F11,2)</f>
        <v>139.41</v>
      </c>
      <c r="H11" s="1166">
        <f t="shared" si="1"/>
        <v>38.53</v>
      </c>
      <c r="I11" s="1166">
        <f>SUM(G11:H11)</f>
        <v>177.94</v>
      </c>
      <c r="J11" s="776"/>
      <c r="K11" s="776"/>
    </row>
    <row r="12" spans="1:13" s="1167" customFormat="1" ht="19.5" customHeight="1">
      <c r="A12" s="1159">
        <v>4</v>
      </c>
      <c r="B12" s="1243" t="s">
        <v>3</v>
      </c>
      <c r="C12" s="1160">
        <f>SUM(C9:C11)</f>
        <v>372518202.2636413</v>
      </c>
      <c r="D12" s="1161">
        <f>SUM(D9:D11)</f>
        <v>1</v>
      </c>
      <c r="E12" s="1244">
        <f>'Rev Req 2024-Distr'!Q30</f>
        <v>10901463.91</v>
      </c>
      <c r="F12" s="1162">
        <f>SUM(F9:F11)</f>
        <v>3931349</v>
      </c>
      <c r="G12" s="1245"/>
      <c r="H12" s="1246"/>
      <c r="I12" s="1245"/>
      <c r="J12" s="776"/>
      <c r="K12" s="776"/>
    </row>
    <row r="13" spans="1:13">
      <c r="E13" s="1247"/>
      <c r="H13" s="370"/>
      <c r="J13" s="266"/>
      <c r="K13" s="266"/>
    </row>
    <row r="14" spans="1:13">
      <c r="E14" s="369"/>
      <c r="H14" s="370"/>
      <c r="J14" s="266"/>
      <c r="K14" s="266"/>
    </row>
    <row r="15" spans="1:13">
      <c r="E15" s="369"/>
      <c r="H15" s="370"/>
      <c r="J15" s="266"/>
      <c r="K15" s="266"/>
    </row>
    <row r="16" spans="1:13" s="620" customFormat="1" ht="63" customHeight="1">
      <c r="A16" s="1163"/>
      <c r="B16" s="1223" t="s">
        <v>237</v>
      </c>
      <c r="C16" s="1224" t="s">
        <v>1014</v>
      </c>
      <c r="D16" s="1225" t="s">
        <v>64</v>
      </c>
      <c r="E16" s="1225" t="s">
        <v>454</v>
      </c>
      <c r="F16" s="1225" t="s">
        <v>1018</v>
      </c>
      <c r="G16" s="1226" t="s">
        <v>1016</v>
      </c>
      <c r="H16" s="1248"/>
      <c r="J16" s="1172"/>
      <c r="K16" s="1172"/>
    </row>
    <row r="17" spans="1:11" ht="9" customHeight="1">
      <c r="E17" s="369"/>
      <c r="H17" s="370"/>
      <c r="J17" s="266"/>
      <c r="K17" s="266"/>
    </row>
    <row r="18" spans="1:11" ht="20.25" customHeight="1">
      <c r="A18" s="368"/>
      <c r="B18" s="1231" t="s">
        <v>1011</v>
      </c>
      <c r="C18" s="1229"/>
      <c r="D18" s="1230"/>
      <c r="E18" s="1249"/>
      <c r="F18" s="254"/>
      <c r="G18" s="254"/>
      <c r="H18" s="1250"/>
      <c r="I18" s="254"/>
      <c r="J18" s="266"/>
      <c r="K18" s="266"/>
    </row>
    <row r="19" spans="1:11" s="1167" customFormat="1" ht="19.5" customHeight="1">
      <c r="A19" s="1233">
        <v>5</v>
      </c>
      <c r="B19" s="1234" t="s">
        <v>411</v>
      </c>
      <c r="C19" s="1235">
        <f>C9</f>
        <v>252765898.73405454</v>
      </c>
      <c r="D19" s="1236">
        <f>C19/$C$22</f>
        <v>0.67853301448922276</v>
      </c>
      <c r="E19" s="1237">
        <f>D19*E$22</f>
        <v>2044158.6356654975</v>
      </c>
      <c r="F19" s="1238">
        <f>F9</f>
        <v>3619902</v>
      </c>
      <c r="G19" s="1165">
        <f>ROUND(IF(E19=0,0,E19/F19),2)</f>
        <v>0.56000000000000005</v>
      </c>
      <c r="H19" s="1166"/>
      <c r="I19" s="1166"/>
      <c r="J19" s="776"/>
      <c r="K19" s="776"/>
    </row>
    <row r="20" spans="1:11" s="1167" customFormat="1" ht="19.5" customHeight="1">
      <c r="A20" s="1233">
        <v>6</v>
      </c>
      <c r="B20" s="1234" t="s">
        <v>452</v>
      </c>
      <c r="C20" s="1235">
        <f>C10</f>
        <v>107533260.24251591</v>
      </c>
      <c r="D20" s="1236">
        <f>C20/$C$22</f>
        <v>0.28866578757515771</v>
      </c>
      <c r="E20" s="1237">
        <f>D20*E$22</f>
        <v>869638.83833586553</v>
      </c>
      <c r="F20" s="1238">
        <f>F10</f>
        <v>308882</v>
      </c>
      <c r="G20" s="1165">
        <f>ROUND(IF(E20=0,0,E20/F20),2)</f>
        <v>2.82</v>
      </c>
      <c r="H20" s="1166"/>
      <c r="I20" s="1166"/>
      <c r="J20" s="776"/>
      <c r="K20" s="776"/>
    </row>
    <row r="21" spans="1:11" s="1167" customFormat="1" ht="19.5" customHeight="1">
      <c r="A21" s="1159">
        <v>7</v>
      </c>
      <c r="B21" s="1251" t="s">
        <v>809</v>
      </c>
      <c r="C21" s="1240">
        <f>C11</f>
        <v>12219043.28707087</v>
      </c>
      <c r="D21" s="1236">
        <f>C21/$C$22</f>
        <v>3.2801197935619586E-2</v>
      </c>
      <c r="E21" s="1241">
        <f>D21*E$22</f>
        <v>98817.375998636897</v>
      </c>
      <c r="F21" s="1242">
        <f>F11</f>
        <v>2565</v>
      </c>
      <c r="G21" s="1165">
        <f>ROUND(IF(E21=0,0,E21/F21),2)</f>
        <v>38.53</v>
      </c>
      <c r="H21" s="1166"/>
      <c r="I21" s="1166"/>
      <c r="J21" s="776"/>
      <c r="K21" s="776"/>
    </row>
    <row r="22" spans="1:11" s="1167" customFormat="1" ht="19.5" customHeight="1">
      <c r="A22" s="1159">
        <v>8</v>
      </c>
      <c r="B22" s="1155" t="s">
        <v>3</v>
      </c>
      <c r="C22" s="1160">
        <f>SUM(C19:C21)</f>
        <v>372518202.2636413</v>
      </c>
      <c r="D22" s="1161">
        <f>SUM(D19:D21)</f>
        <v>1</v>
      </c>
      <c r="E22" s="1244">
        <f>'OU Collection'!G23</f>
        <v>3012614.8499999996</v>
      </c>
      <c r="F22" s="1162">
        <f>SUM(F19:F21)</f>
        <v>3931349</v>
      </c>
      <c r="G22" s="1245"/>
      <c r="H22" s="1246"/>
      <c r="I22" s="1245"/>
      <c r="J22" s="776"/>
      <c r="K22" s="776"/>
    </row>
    <row r="23" spans="1:11">
      <c r="A23" s="1156"/>
      <c r="B23" s="1157"/>
      <c r="C23" s="1157"/>
      <c r="D23" s="1157"/>
      <c r="E23" s="1158"/>
      <c r="F23" s="1157"/>
    </row>
    <row r="24" spans="1:11" ht="15.75" customHeight="1"/>
    <row r="25" spans="1:11" ht="15.75" customHeight="1"/>
  </sheetData>
  <printOptions horizontalCentered="1"/>
  <pageMargins left="0.25" right="0.25" top="0.75" bottom="0.75" header="0.3" footer="0.3"/>
  <pageSetup scale="50" orientation="landscape" blackAndWhite="1" r:id="rId1"/>
  <headerFooter scaleWithDoc="0" alignWithMargins="0">
    <oddFooter>&amp;R&amp;"Times New Roman,Bold"Exhibit 2
Page 1 of 1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D5CD-0057-428F-92AC-1FA4D7CA957B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819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6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413</v>
      </c>
      <c r="D13" s="6">
        <v>376</v>
      </c>
      <c r="F13" s="419">
        <f>'202311 Bk Depr'!R13</f>
        <v>0</v>
      </c>
      <c r="H13" s="1">
        <f>1.62%/12</f>
        <v>1.3500000000000003E-3</v>
      </c>
      <c r="J13" s="278">
        <f>F13*H13</f>
        <v>0</v>
      </c>
      <c r="L13" s="415">
        <f>'Cap&amp;OpEx 2023'!N9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419">
        <f>'202311 Bk Depr'!R14</f>
        <v>0</v>
      </c>
      <c r="H14" s="1">
        <f>1.62%/12</f>
        <v>1.3500000000000003E-3</v>
      </c>
      <c r="J14" s="278">
        <f t="shared" ref="J14:J17" si="0">F14*H14</f>
        <v>0</v>
      </c>
      <c r="L14" s="279">
        <v>0</v>
      </c>
      <c r="N14" s="278">
        <f t="shared" ref="N14:N17" si="1">H14*L14*0.5</f>
        <v>0</v>
      </c>
      <c r="P14" s="278">
        <f t="shared" ref="P14:P17" si="2">J14+N14</f>
        <v>0</v>
      </c>
      <c r="R14" s="278">
        <f t="shared" ref="R14:R17" si="3">L14+F14</f>
        <v>0</v>
      </c>
      <c r="Y14" s="488">
        <f>R26</f>
        <v>-1118407.4499999997</v>
      </c>
      <c r="Z14" s="390" t="s">
        <v>795</v>
      </c>
    </row>
    <row r="15" spans="1:26">
      <c r="A15" s="6">
        <v>3</v>
      </c>
      <c r="B15" s="4"/>
      <c r="C15" s="9" t="s">
        <v>62</v>
      </c>
      <c r="D15" s="6">
        <v>380</v>
      </c>
      <c r="F15" s="419">
        <f>'202311 Bk Depr'!R15</f>
        <v>24186696.040000014</v>
      </c>
      <c r="H15" s="1">
        <f>3.24%/12</f>
        <v>2.7000000000000006E-3</v>
      </c>
      <c r="J15" s="278">
        <f t="shared" si="0"/>
        <v>65304.079308000051</v>
      </c>
      <c r="L15" s="415">
        <f>'Cap&amp;OpEx 2023'!N10</f>
        <v>594168.36</v>
      </c>
      <c r="N15" s="278">
        <f t="shared" si="1"/>
        <v>802.12728600000014</v>
      </c>
      <c r="P15" s="278">
        <f t="shared" si="2"/>
        <v>66106.206594000047</v>
      </c>
      <c r="R15" s="278">
        <f t="shared" si="3"/>
        <v>24780864.400000013</v>
      </c>
      <c r="Y15" s="488">
        <f>R18</f>
        <v>79348345.159999996</v>
      </c>
      <c r="Z15" s="390" t="s">
        <v>664</v>
      </c>
    </row>
    <row r="16" spans="1:26">
      <c r="A16" s="6">
        <v>4</v>
      </c>
      <c r="B16" s="4"/>
      <c r="C16" s="9" t="s">
        <v>63</v>
      </c>
      <c r="D16" s="6">
        <v>380</v>
      </c>
      <c r="F16" s="419">
        <f>'202311 Bk Depr'!R16</f>
        <v>0</v>
      </c>
      <c r="H16" s="1">
        <f>3.24%/12</f>
        <v>2.7000000000000006E-3</v>
      </c>
      <c r="J16" s="278">
        <f t="shared" si="0"/>
        <v>0</v>
      </c>
      <c r="L16" s="415">
        <f>'Cap&amp;OpEx 2023'!N11</f>
        <v>0</v>
      </c>
      <c r="N16" s="278">
        <f t="shared" si="1"/>
        <v>0</v>
      </c>
      <c r="P16" s="278">
        <f t="shared" si="2"/>
        <v>0</v>
      </c>
      <c r="R16" s="278">
        <f t="shared" si="3"/>
        <v>0</v>
      </c>
      <c r="Y16" s="488">
        <f>SUM(Y14:Y15)</f>
        <v>78229937.709999993</v>
      </c>
      <c r="Z16" s="390" t="s">
        <v>3</v>
      </c>
    </row>
    <row r="17" spans="1:26">
      <c r="A17" s="6">
        <v>5</v>
      </c>
      <c r="B17" s="4"/>
      <c r="C17" s="4" t="s">
        <v>160</v>
      </c>
      <c r="D17" s="6">
        <v>380</v>
      </c>
      <c r="F17" s="419">
        <f>'202311 Bk Depr'!R17</f>
        <v>53610894.839999981</v>
      </c>
      <c r="H17" s="1">
        <f>3.24%/12</f>
        <v>2.7000000000000006E-3</v>
      </c>
      <c r="J17" s="278">
        <f t="shared" si="0"/>
        <v>144749.41606799999</v>
      </c>
      <c r="L17" s="415">
        <f>'Cap&amp;OpEx 2023'!N12</f>
        <v>956585.92</v>
      </c>
      <c r="N17" s="278">
        <f t="shared" si="1"/>
        <v>1291.3909920000003</v>
      </c>
      <c r="P17" s="278">
        <f t="shared" si="2"/>
        <v>146040.80705999999</v>
      </c>
      <c r="R17" s="278">
        <f t="shared" si="3"/>
        <v>54567480.759999983</v>
      </c>
      <c r="Y17" s="488">
        <f>'Rev Req 2023-Distr'!P11</f>
        <v>78229937.709999979</v>
      </c>
      <c r="Z17" s="390" t="s">
        <v>859</v>
      </c>
    </row>
    <row r="18" spans="1:26">
      <c r="A18" s="6">
        <v>6</v>
      </c>
      <c r="B18" s="4"/>
      <c r="C18" s="4" t="s">
        <v>21</v>
      </c>
      <c r="F18" s="276">
        <f>SUM(F13:F17)</f>
        <v>77797590.879999995</v>
      </c>
      <c r="J18" s="276">
        <f>SUM(J13:J17)</f>
        <v>210053.49537600004</v>
      </c>
      <c r="L18" s="276">
        <f>SUM(L13:L17)</f>
        <v>1550754.28</v>
      </c>
      <c r="N18" s="276">
        <f>SUM(N13:N17)</f>
        <v>2093.5182780000005</v>
      </c>
      <c r="P18" s="276">
        <f>SUM(P13:P17)</f>
        <v>212147.01365400004</v>
      </c>
      <c r="R18" s="276">
        <f>SUM(R13:R17)</f>
        <v>79348345.159999996</v>
      </c>
      <c r="Y18" s="489">
        <f>Y16-Y17</f>
        <v>0</v>
      </c>
      <c r="Z18" s="390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413</v>
      </c>
      <c r="D21" s="6">
        <v>376</v>
      </c>
      <c r="F21" s="419">
        <f>'202311 Bk Depr'!R21</f>
        <v>0</v>
      </c>
      <c r="H21" s="1">
        <f>1.62%/12</f>
        <v>1.3500000000000003E-3</v>
      </c>
      <c r="J21" s="278">
        <f>F21*H21</f>
        <v>0</v>
      </c>
      <c r="L21" s="415">
        <f>'Cap&amp;OpEx 2023'!N15</f>
        <v>0</v>
      </c>
      <c r="N21" s="486">
        <f>H21*L21*0.5</f>
        <v>0</v>
      </c>
      <c r="P21" s="278">
        <f>J21+N21</f>
        <v>0</v>
      </c>
      <c r="R21" s="27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419">
        <f>'202311 Bk Depr'!R22</f>
        <v>0</v>
      </c>
      <c r="H22" s="1">
        <f>1.62%/12</f>
        <v>1.3500000000000003E-3</v>
      </c>
      <c r="J22" s="278">
        <f t="shared" ref="J22:J25" si="4">F22*H22</f>
        <v>0</v>
      </c>
      <c r="L22" s="279">
        <v>0</v>
      </c>
      <c r="N22" s="486">
        <f t="shared" ref="N22:N25" si="5">H22*L22*0.5</f>
        <v>0</v>
      </c>
      <c r="P22" s="278">
        <f t="shared" ref="P22:P25" si="6">J22+N22</f>
        <v>0</v>
      </c>
      <c r="R22" s="27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419">
        <f>'202311 Bk Depr'!R23</f>
        <v>-1079303.8299999996</v>
      </c>
      <c r="H23" s="1">
        <f>3.24%/12</f>
        <v>2.7000000000000006E-3</v>
      </c>
      <c r="J23" s="278">
        <f t="shared" si="4"/>
        <v>-2914.1203409999994</v>
      </c>
      <c r="L23" s="415">
        <f>'Cap&amp;OpEx 2023'!N16</f>
        <v>0</v>
      </c>
      <c r="N23" s="486">
        <f t="shared" si="5"/>
        <v>0</v>
      </c>
      <c r="P23" s="278">
        <f t="shared" si="6"/>
        <v>-2914.1203409999994</v>
      </c>
      <c r="R23" s="278">
        <f t="shared" si="7"/>
        <v>-1079303.8299999996</v>
      </c>
    </row>
    <row r="24" spans="1:26" s="398" customFormat="1">
      <c r="A24" s="6">
        <v>10</v>
      </c>
      <c r="C24" s="399" t="s">
        <v>63</v>
      </c>
      <c r="D24" s="397">
        <v>380</v>
      </c>
      <c r="E24" s="397"/>
      <c r="F24" s="419">
        <f>'202311 Bk Depr'!R24</f>
        <v>0</v>
      </c>
      <c r="G24" s="397"/>
      <c r="H24" s="400">
        <f>3.24%/12</f>
        <v>2.7000000000000006E-3</v>
      </c>
      <c r="I24" s="397"/>
      <c r="J24" s="278">
        <f t="shared" si="4"/>
        <v>0</v>
      </c>
      <c r="K24" s="397"/>
      <c r="L24" s="415">
        <f>'Cap&amp;OpEx 2023'!N17</f>
        <v>0</v>
      </c>
      <c r="M24" s="397"/>
      <c r="N24" s="486">
        <f t="shared" si="5"/>
        <v>0</v>
      </c>
      <c r="O24" s="397"/>
      <c r="P24" s="278">
        <f t="shared" si="6"/>
        <v>0</v>
      </c>
      <c r="Q24" s="397"/>
      <c r="R24" s="278">
        <f t="shared" si="7"/>
        <v>0</v>
      </c>
      <c r="Y24" s="4"/>
      <c r="Z24" s="4"/>
    </row>
    <row r="25" spans="1:26">
      <c r="A25" s="6">
        <v>11</v>
      </c>
      <c r="B25" s="4"/>
      <c r="C25" s="9" t="s">
        <v>160</v>
      </c>
      <c r="D25" s="6">
        <v>380</v>
      </c>
      <c r="F25" s="419">
        <f>'202311 Bk Depr'!R25</f>
        <v>-39103.620000000003</v>
      </c>
      <c r="H25" s="1">
        <f>3.24%/12</f>
        <v>2.7000000000000006E-3</v>
      </c>
      <c r="J25" s="278">
        <f t="shared" si="4"/>
        <v>-105.57977400000003</v>
      </c>
      <c r="L25" s="415">
        <f>'Cap&amp;OpEx 2023'!N18</f>
        <v>0</v>
      </c>
      <c r="N25" s="486">
        <f t="shared" si="5"/>
        <v>0</v>
      </c>
      <c r="P25" s="278">
        <f t="shared" si="6"/>
        <v>-105.57977400000003</v>
      </c>
      <c r="R25" s="278">
        <f t="shared" si="7"/>
        <v>-39103.620000000003</v>
      </c>
      <c r="Y25" s="414"/>
      <c r="Z25" s="414"/>
    </row>
    <row r="26" spans="1:26">
      <c r="A26" s="6">
        <v>12</v>
      </c>
      <c r="B26" s="4"/>
      <c r="C26" s="4" t="s">
        <v>22</v>
      </c>
      <c r="F26" s="276">
        <f>SUM(F21:F25)</f>
        <v>-1118407.4499999997</v>
      </c>
      <c r="J26" s="276">
        <f>SUM(J21:J25)</f>
        <v>-3019.7001149999992</v>
      </c>
      <c r="L26" s="276">
        <f>SUM(L21:L25)</f>
        <v>0</v>
      </c>
      <c r="N26" s="276">
        <f>SUM(N21:N25)</f>
        <v>0</v>
      </c>
      <c r="P26" s="276">
        <f>SUM(P21:P25)</f>
        <v>-3019.7001149999992</v>
      </c>
      <c r="R26" s="276">
        <f>SUM(R21:R25)</f>
        <v>-1118407.4499999997</v>
      </c>
    </row>
    <row r="27" spans="1:26">
      <c r="B27" s="4"/>
    </row>
    <row r="28" spans="1:26" s="414" customFormat="1" ht="16.5" thickBot="1">
      <c r="A28" s="6">
        <v>13</v>
      </c>
      <c r="B28" s="11" t="s">
        <v>18</v>
      </c>
      <c r="C28" s="11"/>
      <c r="D28" s="6"/>
      <c r="E28" s="6"/>
      <c r="F28" s="277">
        <f>F18+F26</f>
        <v>76679183.429999992</v>
      </c>
      <c r="G28" s="6"/>
      <c r="H28" s="4"/>
      <c r="I28" s="6"/>
      <c r="J28" s="277">
        <f>J18+J26</f>
        <v>207033.79526100005</v>
      </c>
      <c r="K28" s="6"/>
      <c r="L28" s="277">
        <f>L18+L26</f>
        <v>1550754.28</v>
      </c>
      <c r="M28" s="6"/>
      <c r="N28" s="277">
        <f>N18+N26</f>
        <v>2093.5182780000005</v>
      </c>
      <c r="O28" s="6"/>
      <c r="P28" s="277">
        <f>P18+P26</f>
        <v>209127.31353900005</v>
      </c>
      <c r="Q28" s="6"/>
      <c r="R28" s="277">
        <f>R18+R26</f>
        <v>78229937.709999993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413</v>
      </c>
      <c r="D31" s="6">
        <v>376</v>
      </c>
      <c r="F31" s="419">
        <f>'202311 Bk Depr'!R31</f>
        <v>0</v>
      </c>
      <c r="J31" s="278"/>
      <c r="L31" s="415">
        <f>'Cap&amp;OpEx 2023'!N27</f>
        <v>0</v>
      </c>
      <c r="N31" s="278"/>
      <c r="P31" s="278"/>
      <c r="R31" s="27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419">
        <f>'202311 Bk Depr'!R32</f>
        <v>0</v>
      </c>
      <c r="J32" s="278"/>
      <c r="L32" s="279">
        <v>0</v>
      </c>
      <c r="N32" s="278"/>
      <c r="P32" s="278"/>
      <c r="R32" s="27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419">
        <f>'202311 Bk Depr'!R33</f>
        <v>5233484.7700000014</v>
      </c>
      <c r="J33" s="278"/>
      <c r="L33" s="415">
        <f>'Cap&amp;OpEx 2023'!N28</f>
        <v>36502.21</v>
      </c>
      <c r="N33" s="278"/>
      <c r="P33" s="278"/>
      <c r="R33" s="278">
        <f t="shared" si="8"/>
        <v>5269986.9800000014</v>
      </c>
    </row>
    <row r="34" spans="1:26" s="398" customFormat="1">
      <c r="A34" s="6">
        <v>17</v>
      </c>
      <c r="C34" s="399" t="s">
        <v>63</v>
      </c>
      <c r="D34" s="397">
        <v>380</v>
      </c>
      <c r="E34" s="397"/>
      <c r="F34" s="419">
        <f>'202311 Bk Depr'!R34</f>
        <v>0</v>
      </c>
      <c r="G34" s="397"/>
      <c r="I34" s="397"/>
      <c r="J34" s="274"/>
      <c r="K34" s="397"/>
      <c r="L34" s="415">
        <f>'Cap&amp;OpEx 2023'!N29</f>
        <v>0</v>
      </c>
      <c r="M34" s="397"/>
      <c r="N34" s="274"/>
      <c r="O34" s="397"/>
      <c r="P34" s="274"/>
      <c r="Q34" s="397"/>
      <c r="R34" s="278">
        <f t="shared" si="8"/>
        <v>0</v>
      </c>
      <c r="Y34" s="4"/>
      <c r="Z34" s="4"/>
    </row>
    <row r="35" spans="1:26">
      <c r="A35" s="6">
        <v>18</v>
      </c>
      <c r="B35" s="4"/>
      <c r="C35" s="9" t="s">
        <v>160</v>
      </c>
      <c r="D35" s="6">
        <v>380</v>
      </c>
      <c r="F35" s="419">
        <f>'202311 Bk Depr'!R35</f>
        <v>113726.29999999997</v>
      </c>
      <c r="J35" s="278"/>
      <c r="L35" s="415">
        <f>'Cap&amp;OpEx 2023'!N30</f>
        <v>77.73</v>
      </c>
      <c r="N35" s="278"/>
      <c r="P35" s="278"/>
      <c r="R35" s="278">
        <f t="shared" si="8"/>
        <v>113804.02999999997</v>
      </c>
    </row>
    <row r="36" spans="1:26">
      <c r="A36" s="6">
        <v>19</v>
      </c>
      <c r="B36" s="4"/>
      <c r="C36" s="4" t="s">
        <v>23</v>
      </c>
      <c r="F36" s="276">
        <f>SUM(F31:F35)</f>
        <v>5347211.0700000012</v>
      </c>
      <c r="J36" s="276">
        <f>SUM(J31:J35)</f>
        <v>0</v>
      </c>
      <c r="L36" s="276">
        <f>SUM(L31:L35)</f>
        <v>36579.94</v>
      </c>
      <c r="N36" s="276">
        <f>SUM(N31:N35)</f>
        <v>0</v>
      </c>
      <c r="P36" s="276">
        <f>SUM(P31:P35)</f>
        <v>0</v>
      </c>
      <c r="R36" s="276">
        <f>SUM(R31:R35)</f>
        <v>5383791.0100000016</v>
      </c>
    </row>
    <row r="39" spans="1:26">
      <c r="C39" s="668"/>
    </row>
    <row r="40" spans="1:26">
      <c r="L40" s="784" t="s">
        <v>638</v>
      </c>
      <c r="P40" s="784" t="s">
        <v>638</v>
      </c>
      <c r="R40" s="585"/>
    </row>
    <row r="41" spans="1:26">
      <c r="L41" s="785">
        <f>L28-'Cap&amp;OpEx 2023'!N13</f>
        <v>0</v>
      </c>
      <c r="M41" s="389"/>
      <c r="N41" s="390"/>
      <c r="O41" s="389"/>
      <c r="P41" s="785">
        <f>P28-'Rev Req 2023-Distr'!P25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15 of 17&amp;L&amp;1#&amp;"Calibri"&amp;14&amp;K000000Business Use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B15BF-E320-4D3D-823A-9771FC45399C}">
  <sheetPr>
    <tabColor theme="2" tint="-0.249977111117893"/>
    <pageSetUpPr fitToPage="1"/>
  </sheetPr>
  <dimension ref="A1:Q74"/>
  <sheetViews>
    <sheetView showGridLines="0" zoomScaleNormal="100" workbookViewId="0">
      <selection sqref="A1:H1"/>
    </sheetView>
  </sheetViews>
  <sheetFormatPr defaultColWidth="9.140625" defaultRowHeight="15.75"/>
  <cols>
    <col min="1" max="1" width="24.42578125" style="601" customWidth="1"/>
    <col min="2" max="2" width="18.42578125" style="601" customWidth="1"/>
    <col min="3" max="3" width="17.42578125" style="601" customWidth="1"/>
    <col min="4" max="4" width="16.85546875" style="497" bestFit="1" customWidth="1"/>
    <col min="5" max="5" width="16.7109375" style="601" customWidth="1"/>
    <col min="6" max="7" width="12.7109375" style="601" bestFit="1" customWidth="1"/>
    <col min="8" max="9" width="14" style="601" bestFit="1" customWidth="1"/>
    <col min="10" max="11" width="16.85546875" style="601" bestFit="1" customWidth="1"/>
    <col min="12" max="12" width="17.42578125" style="601" bestFit="1" customWidth="1"/>
    <col min="13" max="13" width="12.7109375" style="601" bestFit="1" customWidth="1"/>
    <col min="14" max="14" width="16.85546875" style="601" bestFit="1" customWidth="1"/>
    <col min="15" max="15" width="15.5703125" style="601" bestFit="1" customWidth="1"/>
    <col min="16" max="17" width="10.42578125" style="601" bestFit="1" customWidth="1"/>
    <col min="18" max="16384" width="9.140625" style="601"/>
  </cols>
  <sheetData>
    <row r="1" spans="1:12">
      <c r="A1" s="1584" t="s">
        <v>669</v>
      </c>
      <c r="B1" s="1584"/>
      <c r="C1" s="1584"/>
      <c r="D1" s="1584"/>
      <c r="E1" s="1584"/>
      <c r="F1" s="1584"/>
      <c r="G1" s="1584"/>
      <c r="H1" s="1584"/>
    </row>
    <row r="2" spans="1:12">
      <c r="A2" s="1584" t="s">
        <v>670</v>
      </c>
      <c r="B2" s="1584"/>
      <c r="C2" s="1584"/>
      <c r="D2" s="1584"/>
      <c r="E2" s="1584"/>
      <c r="F2" s="1584"/>
      <c r="G2" s="1584"/>
      <c r="H2" s="1584"/>
    </row>
    <row r="3" spans="1:12">
      <c r="A3" s="1584" t="s">
        <v>671</v>
      </c>
      <c r="B3" s="1584"/>
      <c r="C3" s="1584"/>
      <c r="D3" s="1584"/>
      <c r="E3" s="1584"/>
      <c r="F3" s="1584"/>
      <c r="G3" s="1584"/>
      <c r="H3" s="1584"/>
    </row>
    <row r="4" spans="1:12">
      <c r="A4" s="1585" t="s">
        <v>826</v>
      </c>
      <c r="B4" s="1584"/>
      <c r="C4" s="1584"/>
      <c r="D4" s="1584"/>
      <c r="E4" s="1584"/>
      <c r="F4" s="1584"/>
      <c r="G4" s="1584"/>
      <c r="H4" s="1584"/>
    </row>
    <row r="5" spans="1:12">
      <c r="A5" s="662"/>
      <c r="B5" s="662"/>
      <c r="C5" s="662"/>
      <c r="D5" s="491"/>
      <c r="E5" s="662"/>
      <c r="F5" s="662"/>
      <c r="G5" s="662"/>
      <c r="H5" s="662"/>
    </row>
    <row r="6" spans="1:12">
      <c r="A6" s="603"/>
      <c r="B6" s="662" t="s">
        <v>672</v>
      </c>
      <c r="C6" s="662" t="s">
        <v>672</v>
      </c>
      <c r="D6" s="662"/>
      <c r="E6" s="662"/>
      <c r="H6" s="1187"/>
    </row>
    <row r="7" spans="1:12">
      <c r="A7" s="603"/>
      <c r="B7" s="662" t="s">
        <v>674</v>
      </c>
      <c r="C7" s="662" t="s">
        <v>675</v>
      </c>
      <c r="D7" s="1173" t="s">
        <v>1</v>
      </c>
      <c r="E7" s="1173" t="s">
        <v>676</v>
      </c>
      <c r="H7" s="1187"/>
    </row>
    <row r="8" spans="1:12">
      <c r="A8" s="604" t="s">
        <v>106</v>
      </c>
      <c r="B8" s="604" t="s">
        <v>678</v>
      </c>
      <c r="C8" s="604" t="s">
        <v>0</v>
      </c>
      <c r="D8" s="604" t="s">
        <v>7</v>
      </c>
      <c r="E8" s="604" t="s">
        <v>680</v>
      </c>
      <c r="H8" s="1187"/>
      <c r="J8" s="727"/>
      <c r="K8" s="727"/>
      <c r="L8" s="727"/>
    </row>
    <row r="9" spans="1:12">
      <c r="A9" s="1011" t="s">
        <v>745</v>
      </c>
      <c r="B9" s="497">
        <v>5536977.6299999999</v>
      </c>
      <c r="C9" s="606"/>
      <c r="D9" s="603">
        <v>238020</v>
      </c>
      <c r="E9" s="1023">
        <v>3.2399999999999998E-2</v>
      </c>
      <c r="H9" s="497"/>
      <c r="J9" s="728"/>
      <c r="K9" s="728"/>
      <c r="L9" s="728"/>
    </row>
    <row r="10" spans="1:12">
      <c r="A10" s="1011" t="s">
        <v>751</v>
      </c>
      <c r="B10" s="497">
        <v>63736.040000000008</v>
      </c>
      <c r="C10" s="606"/>
      <c r="D10" s="603">
        <v>238020</v>
      </c>
      <c r="E10" s="1023">
        <v>3.2399999999999998E-2</v>
      </c>
      <c r="H10" s="497"/>
      <c r="J10" s="727"/>
      <c r="K10" s="727"/>
      <c r="L10" s="727"/>
    </row>
    <row r="11" spans="1:12">
      <c r="A11" s="1011" t="s">
        <v>757</v>
      </c>
      <c r="B11" s="497">
        <v>205086.93</v>
      </c>
      <c r="C11" s="606"/>
      <c r="D11" s="603">
        <v>238020</v>
      </c>
      <c r="E11" s="1023">
        <v>3.2399999999999998E-2</v>
      </c>
      <c r="H11" s="497"/>
      <c r="J11" s="728"/>
      <c r="K11" s="728"/>
      <c r="L11" s="728"/>
    </row>
    <row r="12" spans="1:12">
      <c r="A12" s="1011" t="s">
        <v>743</v>
      </c>
      <c r="B12" s="497">
        <v>3144358.6300000004</v>
      </c>
      <c r="C12" s="606"/>
      <c r="D12" s="603">
        <v>238020</v>
      </c>
      <c r="E12" s="1023">
        <v>3.2399999999999998E-2</v>
      </c>
      <c r="H12" s="497"/>
    </row>
    <row r="13" spans="1:12">
      <c r="A13" s="1011" t="s">
        <v>749</v>
      </c>
      <c r="B13" s="497">
        <v>56135.76999999999</v>
      </c>
      <c r="C13" s="606"/>
      <c r="D13" s="603">
        <v>238020</v>
      </c>
      <c r="E13" s="1023">
        <v>3.2399999999999998E-2</v>
      </c>
      <c r="H13" s="497"/>
    </row>
    <row r="14" spans="1:12">
      <c r="A14" s="1011" t="s">
        <v>755</v>
      </c>
      <c r="B14" s="497">
        <v>43138.490000000005</v>
      </c>
      <c r="C14" s="606"/>
      <c r="D14" s="603">
        <v>238020</v>
      </c>
      <c r="E14" s="1023">
        <v>3.2399999999999998E-2</v>
      </c>
      <c r="H14" s="497"/>
    </row>
    <row r="15" spans="1:12">
      <c r="A15" s="1011" t="s">
        <v>1036</v>
      </c>
      <c r="B15" s="1010">
        <v>4977458.7</v>
      </c>
      <c r="C15" s="606"/>
      <c r="D15" s="603">
        <v>238020</v>
      </c>
      <c r="E15" s="1023">
        <v>3.2399999999999998E-2</v>
      </c>
      <c r="H15" s="497"/>
      <c r="I15" s="497"/>
    </row>
    <row r="16" spans="1:12">
      <c r="A16" s="1011" t="s">
        <v>753</v>
      </c>
      <c r="B16" s="497">
        <v>39220.799999999996</v>
      </c>
      <c r="C16" s="606"/>
      <c r="D16" s="603">
        <v>238020</v>
      </c>
      <c r="E16" s="1023">
        <v>3.2399999999999998E-2</v>
      </c>
      <c r="H16" s="497"/>
    </row>
    <row r="17" spans="1:11">
      <c r="A17" s="1011" t="s">
        <v>759</v>
      </c>
      <c r="B17" s="497">
        <v>0</v>
      </c>
      <c r="C17" s="606"/>
      <c r="D17" s="603">
        <v>238020</v>
      </c>
      <c r="E17" s="1023">
        <v>3.2399999999999998E-2</v>
      </c>
      <c r="H17" s="497"/>
    </row>
    <row r="18" spans="1:11">
      <c r="A18" s="1011" t="s">
        <v>111</v>
      </c>
      <c r="B18" s="497">
        <v>10462950.710000001</v>
      </c>
      <c r="C18" s="606"/>
      <c r="D18" s="603">
        <v>238020</v>
      </c>
      <c r="E18" s="1023">
        <v>3.2399999999999998E-2</v>
      </c>
      <c r="H18" s="497"/>
    </row>
    <row r="19" spans="1:11">
      <c r="A19" s="1011" t="s">
        <v>113</v>
      </c>
      <c r="B19" s="497">
        <v>246894.49000000005</v>
      </c>
      <c r="C19" s="606"/>
      <c r="D19" s="603">
        <v>238020</v>
      </c>
      <c r="E19" s="1023">
        <v>3.2399999999999998E-2</v>
      </c>
      <c r="H19" s="497"/>
    </row>
    <row r="20" spans="1:11">
      <c r="A20" s="1011" t="s">
        <v>115</v>
      </c>
      <c r="B20" s="497">
        <v>668071.1</v>
      </c>
      <c r="C20" s="606"/>
      <c r="D20" s="603">
        <v>238020</v>
      </c>
      <c r="E20" s="1023">
        <v>3.2399999999999998E-2</v>
      </c>
      <c r="H20" s="497"/>
    </row>
    <row r="21" spans="1:11">
      <c r="A21" s="1011" t="s">
        <v>117</v>
      </c>
      <c r="B21" s="497">
        <v>21622519.069999997</v>
      </c>
      <c r="C21" s="606"/>
      <c r="D21" s="603">
        <v>238020</v>
      </c>
      <c r="E21" s="1023">
        <v>3.2399999999999998E-2</v>
      </c>
      <c r="H21" s="497"/>
    </row>
    <row r="22" spans="1:11">
      <c r="A22" s="1011" t="s">
        <v>119</v>
      </c>
      <c r="B22" s="497">
        <v>281084.32000000007</v>
      </c>
      <c r="C22" s="606"/>
      <c r="D22" s="603">
        <v>238020</v>
      </c>
      <c r="E22" s="1023">
        <v>3.2399999999999998E-2</v>
      </c>
      <c r="H22" s="497"/>
    </row>
    <row r="23" spans="1:11">
      <c r="A23" s="1011" t="s">
        <v>288</v>
      </c>
      <c r="B23" s="497">
        <v>267263.32999999996</v>
      </c>
      <c r="C23" s="606"/>
      <c r="D23" s="603">
        <v>238020</v>
      </c>
      <c r="E23" s="1023">
        <v>3.2399999999999998E-2</v>
      </c>
      <c r="H23" s="497"/>
    </row>
    <row r="24" spans="1:11">
      <c r="A24" s="1011" t="s">
        <v>127</v>
      </c>
      <c r="B24" s="497">
        <v>11357064.750000006</v>
      </c>
      <c r="C24" s="606"/>
      <c r="D24" s="603">
        <v>238020</v>
      </c>
      <c r="E24" s="1023">
        <v>3.2399999999999998E-2</v>
      </c>
      <c r="H24" s="497"/>
    </row>
    <row r="25" spans="1:11">
      <c r="A25" s="1011" t="s">
        <v>129</v>
      </c>
      <c r="B25" s="499">
        <v>96259.520000000004</v>
      </c>
      <c r="C25" s="1180"/>
      <c r="D25" s="1024">
        <v>238020</v>
      </c>
      <c r="E25" s="1025">
        <v>3.2399999999999998E-2</v>
      </c>
      <c r="H25" s="505"/>
      <c r="K25" s="606"/>
    </row>
    <row r="26" spans="1:11">
      <c r="B26" s="501">
        <f>SUM(B9:B25)</f>
        <v>59068220.280000009</v>
      </c>
      <c r="C26" s="1116"/>
      <c r="D26" s="504"/>
      <c r="E26" s="1182"/>
      <c r="H26" s="1116"/>
      <c r="I26" s="606"/>
      <c r="J26" s="606"/>
    </row>
    <row r="27" spans="1:11">
      <c r="D27" s="505"/>
      <c r="E27" s="726"/>
      <c r="H27" s="726"/>
    </row>
    <row r="28" spans="1:11" ht="16.5" thickBot="1">
      <c r="A28" s="1194" t="s">
        <v>1040</v>
      </c>
      <c r="B28" s="610">
        <f>SUM(B9:B14,B29,B16:B25)</f>
        <v>58554155.900000006</v>
      </c>
      <c r="C28" s="610">
        <v>4457653.5599999996</v>
      </c>
      <c r="D28" s="1195" t="s">
        <v>1038</v>
      </c>
      <c r="E28" s="1182"/>
      <c r="F28" s="1121"/>
      <c r="G28" s="1121"/>
      <c r="H28" s="1182"/>
    </row>
    <row r="29" spans="1:11" ht="21" customHeight="1" thickTop="1">
      <c r="A29" s="1194" t="s">
        <v>1039</v>
      </c>
      <c r="B29" s="1193">
        <v>4463394.3199999994</v>
      </c>
      <c r="D29" s="1195" t="s">
        <v>1025</v>
      </c>
      <c r="E29" s="1180"/>
    </row>
    <row r="30" spans="1:11" ht="19.5" customHeight="1">
      <c r="A30" s="1192" t="s">
        <v>1032</v>
      </c>
      <c r="C30" s="504"/>
      <c r="D30" s="505"/>
      <c r="E30" s="504"/>
      <c r="F30" s="505"/>
      <c r="G30" s="505"/>
      <c r="H30" s="504"/>
    </row>
    <row r="31" spans="1:11">
      <c r="B31" s="497"/>
      <c r="C31" s="497"/>
      <c r="E31" s="497"/>
      <c r="F31" s="497"/>
      <c r="G31" s="497"/>
      <c r="H31" s="497"/>
    </row>
    <row r="32" spans="1:11" ht="27" customHeight="1">
      <c r="A32" s="601" t="s">
        <v>1037</v>
      </c>
      <c r="B32" s="612"/>
      <c r="C32" s="612"/>
      <c r="D32" s="612"/>
      <c r="E32" s="612"/>
      <c r="F32" s="497"/>
      <c r="G32" s="497"/>
      <c r="H32" s="497"/>
    </row>
    <row r="34" spans="1:17">
      <c r="A34" s="1127" t="s">
        <v>993</v>
      </c>
      <c r="B34" s="733"/>
      <c r="C34" s="733"/>
      <c r="D34" s="734"/>
      <c r="E34" s="733"/>
      <c r="F34" s="1122"/>
      <c r="G34" s="733"/>
      <c r="H34" s="733"/>
      <c r="I34" s="733"/>
      <c r="J34" s="733"/>
      <c r="K34" s="733"/>
      <c r="L34" s="733"/>
      <c r="M34" s="733"/>
      <c r="N34" s="733"/>
    </row>
    <row r="35" spans="1:17">
      <c r="A35" s="1117" t="s">
        <v>106</v>
      </c>
      <c r="B35" s="1118" t="s">
        <v>840</v>
      </c>
      <c r="C35" s="1119">
        <v>44562</v>
      </c>
      <c r="D35" s="1119">
        <v>44593</v>
      </c>
      <c r="E35" s="1119">
        <v>44621</v>
      </c>
      <c r="F35" s="1119">
        <v>44652</v>
      </c>
      <c r="G35" s="1119">
        <v>44682</v>
      </c>
      <c r="H35" s="1119">
        <v>44713</v>
      </c>
      <c r="I35" s="1119">
        <v>44743</v>
      </c>
      <c r="J35" s="1119">
        <v>44774</v>
      </c>
      <c r="K35" s="1119">
        <v>44805</v>
      </c>
      <c r="L35" s="1119">
        <v>44835</v>
      </c>
      <c r="M35" s="1119">
        <v>44866</v>
      </c>
      <c r="N35" s="1119">
        <v>44896</v>
      </c>
    </row>
    <row r="36" spans="1:17">
      <c r="A36" s="1012" t="s">
        <v>745</v>
      </c>
      <c r="B36" s="730">
        <v>0</v>
      </c>
      <c r="C36" s="730">
        <v>352742.93</v>
      </c>
      <c r="D36" s="730">
        <v>587664.89</v>
      </c>
      <c r="E36" s="730">
        <v>439075.11</v>
      </c>
      <c r="F36" s="730">
        <v>478704.25</v>
      </c>
      <c r="G36" s="730">
        <v>385785.13</v>
      </c>
      <c r="H36" s="730">
        <v>335358.99</v>
      </c>
      <c r="I36" s="730">
        <v>424423.11</v>
      </c>
      <c r="J36" s="730">
        <v>556509.18000000005</v>
      </c>
      <c r="K36" s="730">
        <v>447057.21</v>
      </c>
      <c r="L36" s="730">
        <v>501050.88</v>
      </c>
      <c r="M36" s="730">
        <v>498228.18</v>
      </c>
      <c r="N36" s="730">
        <v>530377.77</v>
      </c>
    </row>
    <row r="37" spans="1:17">
      <c r="A37" s="1012" t="s">
        <v>751</v>
      </c>
      <c r="B37" s="730">
        <v>0</v>
      </c>
      <c r="C37" s="730">
        <v>3043.71</v>
      </c>
      <c r="D37" s="730">
        <v>3212.67</v>
      </c>
      <c r="E37" s="730">
        <v>6186.14</v>
      </c>
      <c r="F37" s="730">
        <v>9897.16</v>
      </c>
      <c r="G37" s="730">
        <v>9723</v>
      </c>
      <c r="H37" s="730">
        <v>4851.1499999999996</v>
      </c>
      <c r="I37" s="730">
        <v>3806.5</v>
      </c>
      <c r="J37" s="730">
        <v>1538.61</v>
      </c>
      <c r="K37" s="730">
        <v>11480.39</v>
      </c>
      <c r="L37" s="730">
        <v>2622.9</v>
      </c>
      <c r="M37" s="730">
        <v>3551.84</v>
      </c>
      <c r="N37" s="730">
        <v>3821.97</v>
      </c>
    </row>
    <row r="38" spans="1:17">
      <c r="A38" s="1012" t="s">
        <v>757</v>
      </c>
      <c r="B38" s="730">
        <v>0</v>
      </c>
      <c r="C38" s="730">
        <v>0</v>
      </c>
      <c r="D38" s="730">
        <v>0</v>
      </c>
      <c r="E38" s="730">
        <v>0</v>
      </c>
      <c r="F38" s="730">
        <v>0</v>
      </c>
      <c r="G38" s="730">
        <v>824.03</v>
      </c>
      <c r="H38" s="730">
        <v>4903.12</v>
      </c>
      <c r="I38" s="730">
        <v>2869.23</v>
      </c>
      <c r="J38" s="730">
        <v>73126.66</v>
      </c>
      <c r="K38" s="730">
        <v>99854.98</v>
      </c>
      <c r="L38" s="730">
        <v>47466.05</v>
      </c>
      <c r="M38" s="730">
        <v>-75561.210000000006</v>
      </c>
      <c r="N38" s="730">
        <v>51604.07</v>
      </c>
    </row>
    <row r="39" spans="1:17">
      <c r="A39" s="1012" t="s">
        <v>743</v>
      </c>
      <c r="B39" s="730">
        <v>0</v>
      </c>
      <c r="C39" s="730">
        <v>80242.11</v>
      </c>
      <c r="D39" s="730">
        <v>114870.67</v>
      </c>
      <c r="E39" s="730">
        <v>273999.83</v>
      </c>
      <c r="F39" s="730">
        <v>239866.22</v>
      </c>
      <c r="G39" s="730">
        <v>281655.11</v>
      </c>
      <c r="H39" s="730">
        <v>236837.76000000001</v>
      </c>
      <c r="I39" s="730">
        <v>390635.45</v>
      </c>
      <c r="J39" s="730">
        <v>465030.58</v>
      </c>
      <c r="K39" s="730">
        <v>206011.38</v>
      </c>
      <c r="L39" s="730">
        <v>279506.75</v>
      </c>
      <c r="M39" s="730">
        <v>303183.98</v>
      </c>
      <c r="N39" s="730">
        <v>272518.78999999998</v>
      </c>
    </row>
    <row r="40" spans="1:17">
      <c r="A40" s="1012" t="s">
        <v>749</v>
      </c>
      <c r="B40" s="730">
        <v>0</v>
      </c>
      <c r="C40" s="730">
        <v>0</v>
      </c>
      <c r="D40" s="730">
        <v>363.85</v>
      </c>
      <c r="E40" s="730">
        <v>5700.57</v>
      </c>
      <c r="F40" s="730">
        <v>5356.84</v>
      </c>
      <c r="G40" s="730">
        <v>5563.83</v>
      </c>
      <c r="H40" s="730">
        <v>5012.41</v>
      </c>
      <c r="I40" s="730">
        <v>5159.2299999999996</v>
      </c>
      <c r="J40" s="730">
        <v>3255.64</v>
      </c>
      <c r="K40" s="730">
        <v>3219.31</v>
      </c>
      <c r="L40" s="730">
        <v>9848.1200000000008</v>
      </c>
      <c r="M40" s="730">
        <v>4981.66</v>
      </c>
      <c r="N40" s="730">
        <v>7674.31</v>
      </c>
      <c r="P40" s="1189" t="s">
        <v>1026</v>
      </c>
    </row>
    <row r="41" spans="1:17">
      <c r="A41" s="1012" t="s">
        <v>755</v>
      </c>
      <c r="B41" s="730">
        <v>0</v>
      </c>
      <c r="C41" s="730">
        <v>0</v>
      </c>
      <c r="D41" s="730">
        <v>0</v>
      </c>
      <c r="E41" s="730">
        <v>956.23</v>
      </c>
      <c r="F41" s="730">
        <v>0</v>
      </c>
      <c r="G41" s="730">
        <v>1534.33</v>
      </c>
      <c r="H41" s="730">
        <v>0</v>
      </c>
      <c r="I41" s="730">
        <v>0</v>
      </c>
      <c r="J41" s="730">
        <v>6488.9</v>
      </c>
      <c r="K41" s="730">
        <v>28610.28</v>
      </c>
      <c r="L41" s="730">
        <v>0</v>
      </c>
      <c r="M41" s="730">
        <v>0</v>
      </c>
      <c r="N41" s="730">
        <v>5548.75</v>
      </c>
      <c r="P41" s="1190" t="s">
        <v>90</v>
      </c>
      <c r="Q41" s="1190" t="s">
        <v>91</v>
      </c>
    </row>
    <row r="42" spans="1:17">
      <c r="A42" s="1012" t="s">
        <v>747</v>
      </c>
      <c r="B42" s="730">
        <v>0</v>
      </c>
      <c r="C42" s="730">
        <v>70256.61</v>
      </c>
      <c r="D42" s="730">
        <f>262133.6-70256.61</f>
        <v>191876.99</v>
      </c>
      <c r="E42" s="730">
        <v>331932.98</v>
      </c>
      <c r="F42" s="730">
        <v>383501.59</v>
      </c>
      <c r="G42" s="730">
        <v>565333.84</v>
      </c>
      <c r="H42" s="730">
        <v>450481</v>
      </c>
      <c r="I42" s="730">
        <v>789214.89</v>
      </c>
      <c r="J42" s="730">
        <v>502190.76</v>
      </c>
      <c r="K42" s="730">
        <v>613740.81999999995</v>
      </c>
      <c r="L42" s="730">
        <v>50800.5</v>
      </c>
      <c r="M42" s="1006">
        <f>497202.98</f>
        <v>497202.98</v>
      </c>
      <c r="N42" s="1006">
        <v>530925.74</v>
      </c>
      <c r="P42" s="1188">
        <v>248601.48</v>
      </c>
      <c r="Q42" s="1188">
        <v>265462.86</v>
      </c>
    </row>
    <row r="43" spans="1:17">
      <c r="A43" s="1012" t="s">
        <v>753</v>
      </c>
      <c r="B43" s="730">
        <v>0</v>
      </c>
      <c r="C43" s="730">
        <v>0</v>
      </c>
      <c r="D43" s="730">
        <v>0</v>
      </c>
      <c r="E43" s="730">
        <v>2371.5300000000002</v>
      </c>
      <c r="F43" s="730">
        <v>715.04</v>
      </c>
      <c r="G43" s="730">
        <v>0</v>
      </c>
      <c r="H43" s="730">
        <v>2756.13</v>
      </c>
      <c r="I43" s="730">
        <v>5867.56</v>
      </c>
      <c r="J43" s="730">
        <v>2608.04</v>
      </c>
      <c r="K43" s="730">
        <v>2282</v>
      </c>
      <c r="L43" s="730">
        <v>6575.3</v>
      </c>
      <c r="M43" s="730">
        <v>3990.88</v>
      </c>
      <c r="N43" s="730">
        <v>12054.32</v>
      </c>
    </row>
    <row r="44" spans="1:17">
      <c r="A44" s="1012" t="s">
        <v>759</v>
      </c>
      <c r="B44" s="730">
        <v>0</v>
      </c>
      <c r="C44" s="730">
        <v>0</v>
      </c>
      <c r="D44" s="730">
        <v>0</v>
      </c>
      <c r="E44" s="730">
        <v>0</v>
      </c>
      <c r="F44" s="730">
        <v>0</v>
      </c>
      <c r="G44" s="730">
        <v>0</v>
      </c>
      <c r="H44" s="730">
        <v>0</v>
      </c>
      <c r="I44" s="730">
        <v>0</v>
      </c>
      <c r="J44" s="730">
        <v>0</v>
      </c>
      <c r="K44" s="730">
        <v>0</v>
      </c>
      <c r="L44" s="730">
        <v>0</v>
      </c>
      <c r="M44" s="730">
        <v>0</v>
      </c>
      <c r="N44" s="730">
        <v>0</v>
      </c>
    </row>
    <row r="45" spans="1:17">
      <c r="A45" s="1013" t="s">
        <v>111</v>
      </c>
      <c r="B45" s="730">
        <v>10304723.919999998</v>
      </c>
      <c r="C45" s="730">
        <v>50412.35</v>
      </c>
      <c r="D45" s="730">
        <v>32291.71</v>
      </c>
      <c r="E45" s="730">
        <v>22341.7</v>
      </c>
      <c r="F45" s="730">
        <v>17400.14</v>
      </c>
      <c r="G45" s="730">
        <v>18860.7</v>
      </c>
      <c r="H45" s="730">
        <v>18454.07</v>
      </c>
      <c r="I45" s="730">
        <v>-3475.18</v>
      </c>
      <c r="J45" s="730">
        <v>1941.3</v>
      </c>
      <c r="K45" s="730">
        <v>0</v>
      </c>
      <c r="L45" s="730">
        <v>0</v>
      </c>
      <c r="M45" s="730">
        <v>0</v>
      </c>
      <c r="N45" s="730">
        <v>0</v>
      </c>
    </row>
    <row r="46" spans="1:17">
      <c r="A46" s="1013" t="s">
        <v>113</v>
      </c>
      <c r="B46" s="730">
        <v>238930.32999999993</v>
      </c>
      <c r="C46" s="730">
        <v>3511.48</v>
      </c>
      <c r="D46" s="730">
        <v>1844.25</v>
      </c>
      <c r="E46" s="730">
        <v>1262.08</v>
      </c>
      <c r="F46" s="730">
        <v>0</v>
      </c>
      <c r="G46" s="730">
        <v>1346.35</v>
      </c>
      <c r="H46" s="730">
        <v>0</v>
      </c>
      <c r="I46" s="730">
        <v>0</v>
      </c>
      <c r="J46" s="730">
        <v>0</v>
      </c>
      <c r="K46" s="730">
        <v>0</v>
      </c>
      <c r="L46" s="730">
        <v>0</v>
      </c>
      <c r="M46" s="730">
        <v>0</v>
      </c>
      <c r="N46" s="730">
        <v>0</v>
      </c>
    </row>
    <row r="47" spans="1:17">
      <c r="A47" s="1013" t="s">
        <v>115</v>
      </c>
      <c r="B47" s="730">
        <v>666993.77999999968</v>
      </c>
      <c r="C47" s="730">
        <v>0</v>
      </c>
      <c r="D47" s="730">
        <v>0</v>
      </c>
      <c r="E47" s="730">
        <v>1077.32</v>
      </c>
      <c r="F47" s="730">
        <v>0</v>
      </c>
      <c r="G47" s="730">
        <v>0</v>
      </c>
      <c r="H47" s="730">
        <v>0</v>
      </c>
      <c r="I47" s="730">
        <v>0</v>
      </c>
      <c r="J47" s="730">
        <v>0</v>
      </c>
      <c r="K47" s="730">
        <v>0</v>
      </c>
      <c r="L47" s="730">
        <v>0</v>
      </c>
      <c r="M47" s="730">
        <v>0</v>
      </c>
      <c r="N47" s="730">
        <v>0</v>
      </c>
    </row>
    <row r="48" spans="1:17">
      <c r="A48" s="1013" t="s">
        <v>117</v>
      </c>
      <c r="B48" s="730">
        <v>21256997.760000002</v>
      </c>
      <c r="C48" s="730">
        <f>30058.06+32221.56+129572.16+2285.6</f>
        <v>194137.38</v>
      </c>
      <c r="D48" s="730">
        <f>2994.28+52038.51</f>
        <v>55032.79</v>
      </c>
      <c r="E48" s="730">
        <v>41381.050000000003</v>
      </c>
      <c r="F48" s="730">
        <v>22633.69</v>
      </c>
      <c r="G48" s="730">
        <v>18406.13</v>
      </c>
      <c r="H48" s="730">
        <v>20485.22</v>
      </c>
      <c r="I48" s="730">
        <v>-2677.59</v>
      </c>
      <c r="J48" s="730">
        <v>8784.1</v>
      </c>
      <c r="K48" s="730">
        <v>0</v>
      </c>
      <c r="L48" s="730">
        <v>586.16</v>
      </c>
      <c r="M48" s="730">
        <v>9037.98</v>
      </c>
      <c r="N48" s="730">
        <v>0</v>
      </c>
    </row>
    <row r="49" spans="1:14">
      <c r="A49" s="1013" t="s">
        <v>119</v>
      </c>
      <c r="B49" s="730">
        <v>278798.72000000003</v>
      </c>
      <c r="C49" s="730">
        <v>0</v>
      </c>
      <c r="D49" s="730">
        <v>0</v>
      </c>
      <c r="E49" s="730">
        <v>0</v>
      </c>
      <c r="F49" s="730">
        <v>0</v>
      </c>
      <c r="G49" s="730">
        <v>0</v>
      </c>
      <c r="H49" s="730">
        <v>0</v>
      </c>
      <c r="I49" s="730">
        <v>0</v>
      </c>
      <c r="J49" s="730">
        <v>0</v>
      </c>
      <c r="K49" s="730">
        <v>0</v>
      </c>
      <c r="L49" s="730">
        <v>0</v>
      </c>
      <c r="M49" s="730">
        <v>0</v>
      </c>
      <c r="N49" s="730">
        <v>0</v>
      </c>
    </row>
    <row r="50" spans="1:14">
      <c r="A50" s="1013" t="s">
        <v>288</v>
      </c>
      <c r="B50" s="730">
        <v>266099.88999999996</v>
      </c>
      <c r="C50" s="730">
        <v>834.44</v>
      </c>
      <c r="D50" s="730">
        <v>0</v>
      </c>
      <c r="E50" s="730">
        <v>636.98</v>
      </c>
      <c r="F50" s="730">
        <v>0</v>
      </c>
      <c r="G50" s="730">
        <v>0</v>
      </c>
      <c r="H50" s="730">
        <v>0</v>
      </c>
      <c r="I50" s="730">
        <v>0</v>
      </c>
      <c r="J50" s="730">
        <v>0</v>
      </c>
      <c r="K50" s="730">
        <v>0</v>
      </c>
      <c r="L50" s="730">
        <v>-307.98</v>
      </c>
      <c r="M50" s="730">
        <v>0</v>
      </c>
      <c r="N50" s="730">
        <v>0</v>
      </c>
    </row>
    <row r="51" spans="1:14">
      <c r="A51" s="1013" t="s">
        <v>127</v>
      </c>
      <c r="B51" s="730">
        <v>11265652.960000005</v>
      </c>
      <c r="C51" s="730">
        <v>40637.22</v>
      </c>
      <c r="D51" s="730">
        <v>2651.66</v>
      </c>
      <c r="E51" s="730">
        <v>32138.55</v>
      </c>
      <c r="F51" s="730">
        <v>8679.2099999999991</v>
      </c>
      <c r="G51" s="730">
        <v>1112.93</v>
      </c>
      <c r="H51" s="730">
        <v>0</v>
      </c>
      <c r="I51" s="730">
        <v>753.93</v>
      </c>
      <c r="J51" s="730">
        <v>5734.86</v>
      </c>
      <c r="K51" s="730">
        <v>-296.57</v>
      </c>
      <c r="L51" s="730">
        <v>0</v>
      </c>
      <c r="M51" s="730">
        <v>0</v>
      </c>
      <c r="N51" s="730">
        <v>0</v>
      </c>
    </row>
    <row r="52" spans="1:14">
      <c r="A52" s="1013" t="s">
        <v>129</v>
      </c>
      <c r="B52" s="730">
        <v>96259.520000000004</v>
      </c>
      <c r="C52" s="730">
        <v>0</v>
      </c>
      <c r="D52" s="730">
        <v>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0">
        <v>0</v>
      </c>
      <c r="N52" s="730">
        <v>0</v>
      </c>
    </row>
    <row r="53" spans="1:14">
      <c r="A53" s="359"/>
      <c r="B53" s="731">
        <f>SUM(B36:B52)</f>
        <v>44374456.880000003</v>
      </c>
      <c r="C53" s="731">
        <f>SUM(C36:C52)</f>
        <v>795818.22999999986</v>
      </c>
      <c r="D53" s="731">
        <f>SUM(D36:D52)</f>
        <v>989809.4800000001</v>
      </c>
      <c r="E53" s="731">
        <f>SUM(E36:E52)</f>
        <v>1159060.07</v>
      </c>
      <c r="F53" s="731">
        <f t="shared" ref="F53:N53" si="0">SUM(F36:F52)</f>
        <v>1166754.1399999999</v>
      </c>
      <c r="G53" s="731">
        <f t="shared" si="0"/>
        <v>1290145.3799999999</v>
      </c>
      <c r="H53" s="731">
        <f t="shared" si="0"/>
        <v>1079139.8500000001</v>
      </c>
      <c r="I53" s="731">
        <f t="shared" si="0"/>
        <v>1616577.1300000001</v>
      </c>
      <c r="J53" s="731">
        <f t="shared" si="0"/>
        <v>1627208.6300000001</v>
      </c>
      <c r="K53" s="731">
        <f t="shared" si="0"/>
        <v>1411959.8</v>
      </c>
      <c r="L53" s="731">
        <f t="shared" si="0"/>
        <v>898148.68000000017</v>
      </c>
      <c r="M53" s="731">
        <f t="shared" si="0"/>
        <v>1244616.29</v>
      </c>
      <c r="N53" s="731">
        <f t="shared" si="0"/>
        <v>1414525.72</v>
      </c>
    </row>
    <row r="54" spans="1:14">
      <c r="C54" s="732">
        <f>B53+C53</f>
        <v>45170275.109999999</v>
      </c>
      <c r="D54" s="485">
        <f>C54+D53</f>
        <v>46160084.589999996</v>
      </c>
      <c r="E54" s="485">
        <f t="shared" ref="E54:N54" si="1">D54+E53</f>
        <v>47319144.659999996</v>
      </c>
      <c r="F54" s="485">
        <f t="shared" si="1"/>
        <v>48485898.799999997</v>
      </c>
      <c r="G54" s="485">
        <f t="shared" si="1"/>
        <v>49776044.18</v>
      </c>
      <c r="H54" s="485">
        <f t="shared" si="1"/>
        <v>50855184.030000001</v>
      </c>
      <c r="I54" s="485">
        <f t="shared" si="1"/>
        <v>52471761.160000004</v>
      </c>
      <c r="J54" s="485">
        <f t="shared" si="1"/>
        <v>54098969.790000007</v>
      </c>
      <c r="K54" s="485">
        <f t="shared" si="1"/>
        <v>55510929.590000004</v>
      </c>
      <c r="L54" s="485">
        <f t="shared" si="1"/>
        <v>56409078.270000003</v>
      </c>
      <c r="M54" s="485">
        <f t="shared" si="1"/>
        <v>57653694.560000002</v>
      </c>
      <c r="N54" s="1020">
        <f t="shared" si="1"/>
        <v>59068220.280000001</v>
      </c>
    </row>
    <row r="57" spans="1:14">
      <c r="A57" s="1127" t="s">
        <v>37</v>
      </c>
      <c r="B57" s="733"/>
      <c r="C57" s="733"/>
      <c r="D57" s="734"/>
      <c r="E57" s="733"/>
      <c r="F57" s="1123"/>
      <c r="G57" s="733"/>
      <c r="H57" s="733"/>
      <c r="I57" s="733"/>
      <c r="J57" s="733"/>
      <c r="K57" s="733"/>
      <c r="L57" s="733"/>
      <c r="M57" s="733"/>
      <c r="N57" s="733"/>
    </row>
    <row r="58" spans="1:14">
      <c r="A58" s="1117" t="s">
        <v>106</v>
      </c>
      <c r="B58" s="1118" t="s">
        <v>840</v>
      </c>
      <c r="C58" s="1119">
        <v>44562</v>
      </c>
      <c r="D58" s="1119">
        <v>44593</v>
      </c>
      <c r="E58" s="1119">
        <v>44621</v>
      </c>
      <c r="F58" s="1119">
        <v>44652</v>
      </c>
      <c r="G58" s="1119">
        <v>44682</v>
      </c>
      <c r="H58" s="1119">
        <v>44713</v>
      </c>
      <c r="I58" s="1119">
        <v>44743</v>
      </c>
      <c r="J58" s="1119">
        <v>44774</v>
      </c>
      <c r="K58" s="1119">
        <v>44805</v>
      </c>
      <c r="L58" s="1119">
        <v>44835</v>
      </c>
      <c r="M58" s="1119">
        <v>44866</v>
      </c>
      <c r="N58" s="1119">
        <v>44896</v>
      </c>
    </row>
    <row r="59" spans="1:14">
      <c r="A59" s="1012" t="s">
        <v>113</v>
      </c>
      <c r="B59" s="730">
        <v>2508.7799999999997</v>
      </c>
      <c r="C59" s="730">
        <v>0</v>
      </c>
      <c r="D59" s="730">
        <v>0</v>
      </c>
      <c r="E59" s="730">
        <v>0</v>
      </c>
      <c r="F59" s="730">
        <v>0</v>
      </c>
      <c r="G59" s="730">
        <v>0</v>
      </c>
      <c r="H59" s="730"/>
      <c r="I59" s="730"/>
      <c r="J59" s="730"/>
      <c r="K59" s="730"/>
      <c r="L59" s="730"/>
      <c r="M59" s="730"/>
      <c r="N59" s="730"/>
    </row>
    <row r="60" spans="1:14">
      <c r="A60" s="1012" t="s">
        <v>115</v>
      </c>
      <c r="B60" s="730">
        <v>2263.0500000000002</v>
      </c>
      <c r="C60" s="730">
        <v>0</v>
      </c>
      <c r="D60" s="730">
        <v>0</v>
      </c>
      <c r="E60" s="730">
        <v>0</v>
      </c>
      <c r="F60" s="730">
        <v>0</v>
      </c>
      <c r="G60" s="730">
        <v>0</v>
      </c>
      <c r="H60" s="730"/>
      <c r="I60" s="730"/>
      <c r="J60" s="730"/>
      <c r="K60" s="730"/>
      <c r="L60" s="730"/>
      <c r="M60" s="730"/>
      <c r="N60" s="730"/>
    </row>
    <row r="61" spans="1:14">
      <c r="A61" s="1012" t="s">
        <v>119</v>
      </c>
      <c r="B61" s="730">
        <v>1630.37</v>
      </c>
      <c r="C61" s="730">
        <v>0</v>
      </c>
      <c r="D61" s="730">
        <v>0</v>
      </c>
      <c r="E61" s="730">
        <v>0</v>
      </c>
      <c r="F61" s="730">
        <v>0</v>
      </c>
      <c r="G61" s="730">
        <v>0</v>
      </c>
      <c r="H61" s="730"/>
      <c r="I61" s="730"/>
      <c r="J61" s="730"/>
      <c r="K61" s="730"/>
      <c r="L61" s="730"/>
      <c r="M61" s="730"/>
      <c r="N61" s="730"/>
    </row>
    <row r="62" spans="1:14">
      <c r="A62" s="1012" t="s">
        <v>745</v>
      </c>
      <c r="B62" s="730">
        <v>0</v>
      </c>
      <c r="C62" s="730">
        <v>0</v>
      </c>
      <c r="D62" s="730">
        <v>0</v>
      </c>
      <c r="E62" s="730">
        <v>0</v>
      </c>
      <c r="F62" s="730">
        <v>0</v>
      </c>
      <c r="G62" s="730">
        <v>0</v>
      </c>
      <c r="H62" s="730"/>
      <c r="I62" s="730"/>
      <c r="J62" s="730"/>
      <c r="K62" s="730"/>
      <c r="L62" s="730"/>
      <c r="M62" s="730"/>
      <c r="N62" s="730">
        <v>1930.9</v>
      </c>
    </row>
    <row r="63" spans="1:14">
      <c r="A63" s="1012" t="s">
        <v>751</v>
      </c>
      <c r="B63" s="730">
        <v>0</v>
      </c>
      <c r="C63" s="730">
        <v>0</v>
      </c>
      <c r="D63" s="730">
        <v>0</v>
      </c>
      <c r="E63" s="730">
        <v>0</v>
      </c>
      <c r="F63" s="730">
        <v>0</v>
      </c>
      <c r="G63" s="730">
        <v>0</v>
      </c>
      <c r="H63" s="730"/>
      <c r="I63" s="730"/>
      <c r="J63" s="730"/>
      <c r="K63" s="730"/>
      <c r="L63" s="730"/>
      <c r="M63" s="730"/>
      <c r="N63" s="730"/>
    </row>
    <row r="64" spans="1:14">
      <c r="A64" s="1012" t="s">
        <v>757</v>
      </c>
      <c r="B64" s="730">
        <v>0</v>
      </c>
      <c r="C64" s="730">
        <v>0</v>
      </c>
      <c r="D64" s="730">
        <v>0</v>
      </c>
      <c r="E64" s="730">
        <v>0</v>
      </c>
      <c r="F64" s="730">
        <v>0</v>
      </c>
      <c r="G64" s="730">
        <v>0</v>
      </c>
      <c r="H64" s="730"/>
      <c r="I64" s="730"/>
      <c r="J64" s="730"/>
      <c r="K64" s="730"/>
      <c r="L64" s="730"/>
      <c r="M64" s="730"/>
      <c r="N64" s="730"/>
    </row>
    <row r="65" spans="1:14">
      <c r="A65" s="1012" t="s">
        <v>743</v>
      </c>
      <c r="B65" s="730">
        <v>0</v>
      </c>
      <c r="C65" s="730">
        <v>0</v>
      </c>
      <c r="D65" s="730">
        <v>0</v>
      </c>
      <c r="E65" s="730">
        <v>0</v>
      </c>
      <c r="F65" s="730">
        <v>0</v>
      </c>
      <c r="G65" s="730">
        <v>0</v>
      </c>
      <c r="H65" s="730"/>
      <c r="I65" s="730"/>
      <c r="J65" s="730"/>
      <c r="K65" s="730"/>
      <c r="L65" s="730"/>
      <c r="M65" s="1006"/>
      <c r="N65" s="1006"/>
    </row>
    <row r="66" spans="1:14">
      <c r="A66" s="1012" t="s">
        <v>749</v>
      </c>
      <c r="B66" s="730">
        <v>0</v>
      </c>
      <c r="C66" s="730">
        <v>0</v>
      </c>
      <c r="D66" s="730">
        <v>1600.03</v>
      </c>
      <c r="E66" s="730">
        <v>10497.34</v>
      </c>
      <c r="F66" s="730">
        <v>5971.86</v>
      </c>
      <c r="G66" s="730">
        <v>2061.71</v>
      </c>
      <c r="H66" s="730">
        <v>8451.86</v>
      </c>
      <c r="I66" s="730">
        <v>6366.58</v>
      </c>
      <c r="J66" s="730">
        <v>8613.56</v>
      </c>
      <c r="K66" s="730">
        <v>4039.5</v>
      </c>
      <c r="L66" s="730">
        <v>2006.57</v>
      </c>
      <c r="M66" s="730">
        <v>2288.7399999999998</v>
      </c>
      <c r="N66" s="730">
        <v>2261.71</v>
      </c>
    </row>
    <row r="67" spans="1:14">
      <c r="A67" s="1012" t="s">
        <v>755</v>
      </c>
      <c r="B67" s="730">
        <v>0</v>
      </c>
      <c r="C67" s="730">
        <v>0</v>
      </c>
      <c r="D67" s="730"/>
      <c r="E67" s="730">
        <v>0</v>
      </c>
      <c r="F67" s="730">
        <v>0</v>
      </c>
      <c r="G67" s="730">
        <v>0</v>
      </c>
      <c r="H67" s="730"/>
      <c r="I67" s="730"/>
      <c r="J67" s="730"/>
      <c r="K67" s="730"/>
      <c r="L67" s="730"/>
      <c r="M67" s="730"/>
      <c r="N67" s="730"/>
    </row>
    <row r="68" spans="1:14">
      <c r="A68" s="1013" t="s">
        <v>747</v>
      </c>
      <c r="B68" s="730">
        <v>0</v>
      </c>
      <c r="C68" s="730">
        <v>19491.759999999998</v>
      </c>
      <c r="D68" s="730">
        <v>21233.9</v>
      </c>
      <c r="E68" s="730">
        <v>33702.160000000003</v>
      </c>
      <c r="F68" s="730">
        <v>8535.56</v>
      </c>
      <c r="G68" s="730">
        <v>45427.01</v>
      </c>
      <c r="H68" s="730">
        <v>-29455.94</v>
      </c>
      <c r="I68" s="730">
        <v>89277.87</v>
      </c>
      <c r="J68" s="730">
        <v>70307.02</v>
      </c>
      <c r="K68" s="730">
        <v>71813.61</v>
      </c>
      <c r="L68" s="730">
        <v>15205.72</v>
      </c>
      <c r="M68" s="730">
        <v>-19418.240000000002</v>
      </c>
      <c r="N68" s="730">
        <v>101431.18</v>
      </c>
    </row>
    <row r="69" spans="1:14">
      <c r="A69" s="1013" t="s">
        <v>753</v>
      </c>
      <c r="B69" s="730">
        <v>0</v>
      </c>
      <c r="C69" s="730">
        <v>5340.07</v>
      </c>
      <c r="D69" s="730">
        <v>6532.04</v>
      </c>
      <c r="E69" s="730">
        <v>8717.14</v>
      </c>
      <c r="F69" s="730">
        <v>6403.86</v>
      </c>
      <c r="G69" s="730">
        <v>10784.98</v>
      </c>
      <c r="H69" s="730">
        <v>18527.689999999999</v>
      </c>
      <c r="I69" s="730">
        <v>16397.68</v>
      </c>
      <c r="J69" s="730">
        <v>11030.29</v>
      </c>
      <c r="K69" s="730">
        <v>13842.7</v>
      </c>
      <c r="L69" s="730">
        <v>5511.5</v>
      </c>
      <c r="M69" s="730">
        <v>10038.040000000001</v>
      </c>
      <c r="N69" s="730">
        <v>4485.29</v>
      </c>
    </row>
    <row r="70" spans="1:14">
      <c r="A70" s="1013" t="s">
        <v>759</v>
      </c>
      <c r="B70" s="730">
        <v>0</v>
      </c>
      <c r="C70" s="730">
        <v>0</v>
      </c>
      <c r="D70" s="730"/>
      <c r="E70" s="730">
        <v>0</v>
      </c>
      <c r="F70" s="730">
        <v>0</v>
      </c>
      <c r="G70" s="730">
        <v>0</v>
      </c>
      <c r="H70" s="730"/>
      <c r="I70" s="730"/>
      <c r="J70" s="730"/>
      <c r="K70" s="730"/>
      <c r="L70" s="730"/>
      <c r="M70" s="730"/>
      <c r="N70" s="730"/>
    </row>
    <row r="71" spans="1:14">
      <c r="A71" s="1013" t="s">
        <v>127</v>
      </c>
      <c r="B71" s="730">
        <v>1631114.49</v>
      </c>
      <c r="C71" s="730">
        <v>5258.48</v>
      </c>
      <c r="D71" s="730">
        <v>1034.51</v>
      </c>
      <c r="E71" s="730">
        <v>0</v>
      </c>
      <c r="F71" s="730">
        <v>0</v>
      </c>
      <c r="G71" s="730">
        <v>0</v>
      </c>
      <c r="H71" s="730"/>
      <c r="I71" s="730"/>
      <c r="J71" s="730"/>
      <c r="K71" s="730"/>
      <c r="L71" s="730"/>
      <c r="M71" s="730"/>
      <c r="N71" s="730"/>
    </row>
    <row r="72" spans="1:14">
      <c r="A72" s="1013" t="s">
        <v>129</v>
      </c>
      <c r="B72" s="1120">
        <v>1966325.2099999997</v>
      </c>
      <c r="C72" s="1120">
        <v>13304.59</v>
      </c>
      <c r="D72" s="1120">
        <v>2418.9700000000003</v>
      </c>
      <c r="E72" s="1120">
        <v>3087.53</v>
      </c>
      <c r="F72" s="1120">
        <v>0</v>
      </c>
      <c r="G72" s="1120">
        <v>0</v>
      </c>
      <c r="H72" s="1120"/>
      <c r="I72" s="1120"/>
      <c r="J72" s="1120"/>
      <c r="K72" s="1120"/>
      <c r="L72" s="1120"/>
      <c r="M72" s="1120"/>
      <c r="N72" s="1120"/>
    </row>
    <row r="73" spans="1:14">
      <c r="A73" s="1013"/>
      <c r="B73" s="730">
        <v>3603841.8999999994</v>
      </c>
      <c r="C73" s="730">
        <v>43394.899999999994</v>
      </c>
      <c r="D73" s="730">
        <v>32819.449999999997</v>
      </c>
      <c r="E73" s="730">
        <v>56004.17</v>
      </c>
      <c r="F73" s="730">
        <v>20911.28</v>
      </c>
      <c r="G73" s="730">
        <v>58273.7</v>
      </c>
      <c r="H73" s="730">
        <v>-2476.3899999999994</v>
      </c>
      <c r="I73" s="730">
        <v>112042.13</v>
      </c>
      <c r="J73" s="730">
        <v>89950.87</v>
      </c>
      <c r="K73" s="730">
        <v>89695.81</v>
      </c>
      <c r="L73" s="730">
        <v>22723.79</v>
      </c>
      <c r="M73" s="730">
        <v>-7091.4599999999991</v>
      </c>
      <c r="N73" s="730">
        <v>110109.07999999999</v>
      </c>
    </row>
    <row r="74" spans="1:14">
      <c r="A74" s="1013"/>
      <c r="B74" s="730"/>
      <c r="C74" s="730">
        <f>B73+C73</f>
        <v>3647236.7999999993</v>
      </c>
      <c r="D74" s="730">
        <f>C74+D73</f>
        <v>3680056.2499999995</v>
      </c>
      <c r="E74" s="730">
        <f t="shared" ref="E74:N74" si="2">D74+E73</f>
        <v>3736060.4199999995</v>
      </c>
      <c r="F74" s="730">
        <f t="shared" si="2"/>
        <v>3756971.6999999993</v>
      </c>
      <c r="G74" s="730">
        <f t="shared" si="2"/>
        <v>3815245.3999999994</v>
      </c>
      <c r="H74" s="730">
        <f t="shared" si="2"/>
        <v>3812769.0099999993</v>
      </c>
      <c r="I74" s="730">
        <f t="shared" si="2"/>
        <v>3924811.1399999992</v>
      </c>
      <c r="J74" s="730">
        <f t="shared" si="2"/>
        <v>4014762.0099999993</v>
      </c>
      <c r="K74" s="730">
        <f t="shared" si="2"/>
        <v>4104457.8199999994</v>
      </c>
      <c r="L74" s="730">
        <f t="shared" si="2"/>
        <v>4127181.6099999994</v>
      </c>
      <c r="M74" s="730">
        <f t="shared" si="2"/>
        <v>4120090.1499999994</v>
      </c>
      <c r="N74" s="1034">
        <f t="shared" si="2"/>
        <v>4230199.2299999995</v>
      </c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37" orientation="portrait" r:id="rId1"/>
  <headerFooter>
    <oddFooter>&amp;L&amp;"Calibri"&amp;11&amp;K000000&amp;Z&amp;F&amp;F&amp;A_x000D_&amp;1#&amp;"Calibri"&amp;14&amp;K000000Business Use</oddFooter>
  </headerFooter>
  <ignoredErrors>
    <ignoredError sqref="E53:N53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FF0E-C0D1-4854-8380-046FDBF381FA}">
  <sheetPr>
    <tabColor theme="2" tint="-0.249977111117893"/>
    <pageSetUpPr fitToPage="1"/>
  </sheetPr>
  <dimension ref="A1:J15"/>
  <sheetViews>
    <sheetView showGridLines="0" zoomScaleNormal="100" zoomScaleSheetLayoutView="100" workbookViewId="0">
      <selection sqref="A1:G1"/>
    </sheetView>
  </sheetViews>
  <sheetFormatPr defaultColWidth="9.140625" defaultRowHeight="15"/>
  <cols>
    <col min="1" max="1" width="5.85546875" style="839" customWidth="1"/>
    <col min="2" max="2" width="17.42578125" style="839" bestFit="1" customWidth="1"/>
    <col min="3" max="3" width="10" style="839" customWidth="1"/>
    <col min="4" max="4" width="7.7109375" style="839" customWidth="1"/>
    <col min="5" max="5" width="10.5703125" style="839" customWidth="1"/>
    <col min="6" max="6" width="14.7109375" style="839" customWidth="1"/>
    <col min="7" max="7" width="11.140625" style="839" customWidth="1"/>
    <col min="8" max="16384" width="9.140625" style="839"/>
  </cols>
  <sheetData>
    <row r="1" spans="1:10" ht="15.75">
      <c r="A1" s="1564" t="s">
        <v>65</v>
      </c>
      <c r="B1" s="1564"/>
      <c r="C1" s="1564"/>
      <c r="D1" s="1564"/>
      <c r="E1" s="1564"/>
      <c r="F1" s="1564"/>
      <c r="G1" s="1564"/>
      <c r="J1" s="668"/>
    </row>
    <row r="2" spans="1:10" ht="15.75">
      <c r="A2" s="1564" t="s">
        <v>251</v>
      </c>
      <c r="B2" s="1564"/>
      <c r="C2" s="1564"/>
      <c r="D2" s="1564"/>
      <c r="E2" s="1564"/>
      <c r="F2" s="1564"/>
      <c r="G2" s="1564"/>
    </row>
    <row r="3" spans="1:10" ht="15.75">
      <c r="A3" s="1564" t="s">
        <v>66</v>
      </c>
      <c r="B3" s="1564"/>
      <c r="C3" s="1564"/>
      <c r="D3" s="1564"/>
      <c r="E3" s="1564"/>
      <c r="F3" s="1564"/>
      <c r="G3" s="1564"/>
    </row>
    <row r="5" spans="1:10" ht="15.75">
      <c r="A5" s="66"/>
      <c r="B5" s="26"/>
      <c r="C5" s="26"/>
      <c r="D5" s="26"/>
      <c r="E5" s="26"/>
      <c r="F5" s="26"/>
    </row>
    <row r="6" spans="1:10" ht="15.75">
      <c r="A6" s="43" t="s">
        <v>4</v>
      </c>
      <c r="B6" s="26"/>
      <c r="C6" s="26"/>
      <c r="D6" s="26"/>
      <c r="E6" s="915" t="s">
        <v>46</v>
      </c>
      <c r="F6" s="915" t="s">
        <v>47</v>
      </c>
      <c r="G6" s="915" t="s">
        <v>935</v>
      </c>
    </row>
    <row r="7" spans="1:10" ht="15.75">
      <c r="A7" s="189" t="s">
        <v>5</v>
      </c>
      <c r="B7" s="189" t="s">
        <v>44</v>
      </c>
      <c r="C7" s="189" t="s">
        <v>45</v>
      </c>
      <c r="D7" s="189" t="s">
        <v>35</v>
      </c>
      <c r="E7" s="917" t="s">
        <v>35</v>
      </c>
      <c r="F7" s="916" t="s">
        <v>457</v>
      </c>
      <c r="G7" s="917" t="s">
        <v>934</v>
      </c>
    </row>
    <row r="8" spans="1:10" ht="6.75" customHeight="1">
      <c r="A8" s="66"/>
      <c r="B8" s="26"/>
      <c r="C8" s="26"/>
      <c r="D8" s="26"/>
      <c r="E8" s="26"/>
      <c r="F8" s="26"/>
      <c r="G8" s="26"/>
    </row>
    <row r="9" spans="1:10" s="842" customFormat="1" ht="18" customHeight="1">
      <c r="A9" s="843">
        <v>1</v>
      </c>
      <c r="B9" s="841" t="s">
        <v>48</v>
      </c>
      <c r="C9" s="898">
        <f>'ROR 2022'!C10</f>
        <v>1.2622813021079897E-2</v>
      </c>
      <c r="D9" s="898">
        <f>'ROR 2022'!D10</f>
        <v>4.6002316569744824E-3</v>
      </c>
      <c r="E9" s="887">
        <f>C9*D9</f>
        <v>5.8067864059641441E-5</v>
      </c>
      <c r="F9" s="888"/>
      <c r="G9" s="888">
        <f>E9</f>
        <v>5.8067864059641441E-5</v>
      </c>
    </row>
    <row r="10" spans="1:10" s="842" customFormat="1" ht="18" customHeight="1">
      <c r="A10" s="843">
        <v>2</v>
      </c>
      <c r="B10" s="847" t="s">
        <v>50</v>
      </c>
      <c r="C10" s="898">
        <f>'ROR 2022'!C11</f>
        <v>0.45547230700144359</v>
      </c>
      <c r="D10" s="898">
        <f>'ROR 2022'!D11</f>
        <v>4.0023828792907258E-2</v>
      </c>
      <c r="E10" s="887">
        <f>C10*D10</f>
        <v>1.8229745635336272E-2</v>
      </c>
      <c r="F10" s="888"/>
      <c r="G10" s="888">
        <f>E10</f>
        <v>1.8229745635336272E-2</v>
      </c>
    </row>
    <row r="11" spans="1:10" s="842" customFormat="1" ht="18" customHeight="1">
      <c r="A11" s="889">
        <v>3</v>
      </c>
      <c r="B11" s="890" t="s">
        <v>49</v>
      </c>
      <c r="C11" s="849">
        <f>'ROR 2022'!C12</f>
        <v>0.53190487997747649</v>
      </c>
      <c r="D11" s="914">
        <f>'ROR 2022'!D12</f>
        <v>9.35E-2</v>
      </c>
      <c r="E11" s="891">
        <f>C11*D11</f>
        <v>4.9733106277894054E-2</v>
      </c>
      <c r="F11" s="892">
        <f>E11*(0.2495/(1-0.2495))</f>
        <v>1.6533524338886833E-2</v>
      </c>
      <c r="G11" s="892">
        <f>E11/(1-0.2495)</f>
        <v>6.6266630616780883E-2</v>
      </c>
    </row>
    <row r="12" spans="1:10" s="842" customFormat="1" ht="18" customHeight="1">
      <c r="A12" s="843">
        <v>4</v>
      </c>
      <c r="B12" s="841" t="s">
        <v>3</v>
      </c>
      <c r="C12" s="888">
        <f>SUM(C9:C11)</f>
        <v>1</v>
      </c>
      <c r="D12" s="841"/>
      <c r="E12" s="888">
        <f>SUM(E9:E11)</f>
        <v>6.8020919777289968E-2</v>
      </c>
      <c r="F12" s="888">
        <f>SUM(F9:F11)</f>
        <v>1.6533524338886833E-2</v>
      </c>
      <c r="G12" s="918">
        <f>ROUND(SUM(G9:G11),4)</f>
        <v>8.4599999999999995E-2</v>
      </c>
    </row>
    <row r="13" spans="1:10" ht="15.75">
      <c r="A13" s="66"/>
      <c r="B13" s="26"/>
      <c r="C13" s="69"/>
      <c r="D13" s="26"/>
      <c r="E13" s="69"/>
      <c r="F13" s="69"/>
      <c r="G13" s="69"/>
    </row>
    <row r="14" spans="1:10" ht="15.75">
      <c r="A14" s="66"/>
      <c r="B14" s="26"/>
      <c r="C14" s="26"/>
      <c r="D14" s="26"/>
      <c r="E14" s="26"/>
      <c r="F14" s="26"/>
      <c r="G14" s="26"/>
    </row>
    <row r="15" spans="1:10" ht="15.75">
      <c r="A15" s="913" t="s">
        <v>704</v>
      </c>
      <c r="B15" s="190"/>
      <c r="C15" s="190"/>
      <c r="D15" s="190"/>
      <c r="E15" s="190"/>
      <c r="F15" s="190"/>
      <c r="G15" s="190"/>
      <c r="H15" s="190"/>
    </row>
  </sheetData>
  <mergeCells count="3">
    <mergeCell ref="A1:G1"/>
    <mergeCell ref="A2:G2"/>
    <mergeCell ref="A3:G3"/>
  </mergeCells>
  <printOptions horizontalCentered="1"/>
  <pageMargins left="0.7" right="0.7" top="0.75" bottom="0.75" header="0.3" footer="0.3"/>
  <pageSetup orientation="landscape" blackAndWhite="1" r:id="rId1"/>
  <headerFooter scaleWithDoc="0" alignWithMargins="0">
    <oddFooter>&amp;RExhibit 4
Page 2 of 17&amp;L&amp;1#&amp;"Calibri"&amp;14&amp;K000000Business Use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F0E7-3117-4818-B995-5361AFD58121}">
  <sheetPr>
    <tabColor theme="2" tint="-0.249977111117893"/>
    <pageSetUpPr autoPageBreaks="0" fitToPage="1"/>
  </sheetPr>
  <dimension ref="A1:S38"/>
  <sheetViews>
    <sheetView showGridLines="0" zoomScaleNormal="100" zoomScaleSheetLayoutView="90" workbookViewId="0">
      <selection activeCell="P32" sqref="P32"/>
    </sheetView>
  </sheetViews>
  <sheetFormatPr defaultColWidth="9.140625" defaultRowHeight="15"/>
  <cols>
    <col min="1" max="2" width="17.7109375" style="819" customWidth="1"/>
    <col min="3" max="3" width="16.7109375" style="820" customWidth="1"/>
    <col min="4" max="4" width="16.7109375" style="821" customWidth="1"/>
    <col min="5" max="5" width="9.140625" style="819"/>
    <col min="6" max="8" width="14.7109375" style="819" customWidth="1"/>
    <col min="9" max="9" width="8.7109375" style="819" customWidth="1"/>
    <col min="10" max="12" width="14.7109375" style="819" customWidth="1"/>
    <col min="13" max="13" width="10.7109375" style="819" bestFit="1" customWidth="1"/>
    <col min="14" max="16384" width="9.140625" style="819"/>
  </cols>
  <sheetData>
    <row r="1" spans="1:19" s="903" customFormat="1" ht="18" customHeight="1">
      <c r="A1" s="1587" t="s">
        <v>65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671"/>
      <c r="O1" s="673"/>
      <c r="R1" s="671"/>
      <c r="S1" s="673"/>
    </row>
    <row r="2" spans="1:19" s="903" customFormat="1" ht="18" customHeight="1">
      <c r="A2" s="1588" t="s">
        <v>928</v>
      </c>
      <c r="B2" s="1588"/>
      <c r="C2" s="1588"/>
      <c r="D2" s="1588"/>
      <c r="E2" s="1588"/>
      <c r="F2" s="1588"/>
      <c r="G2" s="1588"/>
      <c r="H2" s="1588"/>
      <c r="I2" s="1588"/>
      <c r="J2" s="1588"/>
      <c r="K2" s="1588"/>
      <c r="L2" s="1588"/>
      <c r="M2" s="1588"/>
      <c r="N2" s="671"/>
      <c r="O2" s="673"/>
      <c r="R2" s="671"/>
      <c r="S2" s="673"/>
    </row>
    <row r="3" spans="1:19" s="903" customFormat="1" ht="18" customHeight="1">
      <c r="A3" s="1589" t="s">
        <v>1010</v>
      </c>
      <c r="B3" s="1589"/>
      <c r="C3" s="1589"/>
      <c r="D3" s="1589"/>
      <c r="E3" s="1589"/>
      <c r="F3" s="1589"/>
      <c r="G3" s="1589"/>
      <c r="H3" s="1589"/>
      <c r="I3" s="1589"/>
      <c r="J3" s="1589"/>
      <c r="K3" s="1589"/>
      <c r="L3" s="1589"/>
      <c r="M3" s="1589"/>
      <c r="N3" s="671"/>
      <c r="O3" s="673"/>
      <c r="R3" s="671"/>
      <c r="S3" s="673"/>
    </row>
    <row r="4" spans="1:19" s="256" customFormat="1" ht="15" customHeight="1">
      <c r="B4" s="259"/>
      <c r="C4" s="371"/>
      <c r="D4" s="371"/>
      <c r="E4" s="259"/>
      <c r="F4" s="259"/>
      <c r="J4" s="672"/>
      <c r="K4" s="670"/>
      <c r="L4" s="672"/>
      <c r="M4" s="670"/>
      <c r="N4" s="672"/>
      <c r="O4" s="670"/>
      <c r="R4" s="672"/>
      <c r="S4" s="670"/>
    </row>
    <row r="5" spans="1:19" s="830" customFormat="1" ht="21.75" customHeight="1">
      <c r="A5" s="896" t="s">
        <v>924</v>
      </c>
      <c r="C5" s="831"/>
      <c r="D5" s="832"/>
      <c r="F5" s="1586" t="s">
        <v>863</v>
      </c>
      <c r="G5" s="1586"/>
      <c r="H5" s="1586"/>
      <c r="J5" s="1586" t="s">
        <v>864</v>
      </c>
      <c r="K5" s="1586"/>
      <c r="L5" s="1586"/>
    </row>
    <row r="6" spans="1:19" ht="34.5">
      <c r="A6" s="807" t="s">
        <v>865</v>
      </c>
      <c r="B6" s="807" t="s">
        <v>866</v>
      </c>
      <c r="C6" s="808" t="s">
        <v>867</v>
      </c>
      <c r="D6" s="809" t="s">
        <v>868</v>
      </c>
      <c r="F6" s="810" t="s">
        <v>869</v>
      </c>
      <c r="G6" s="810" t="s">
        <v>870</v>
      </c>
      <c r="H6" s="810" t="s">
        <v>871</v>
      </c>
      <c r="J6" s="810" t="s">
        <v>872</v>
      </c>
      <c r="K6" s="810" t="s">
        <v>873</v>
      </c>
      <c r="L6" s="810" t="s">
        <v>914</v>
      </c>
      <c r="M6" s="811" t="s">
        <v>874</v>
      </c>
    </row>
    <row r="7" spans="1:19">
      <c r="A7" s="825" t="s">
        <v>875</v>
      </c>
      <c r="B7" s="819" t="s">
        <v>876</v>
      </c>
      <c r="C7" s="826">
        <v>102955393.47450906</v>
      </c>
      <c r="D7" s="822">
        <v>3076594.9100796557</v>
      </c>
      <c r="F7" s="823">
        <v>2.1600000000000001E-2</v>
      </c>
      <c r="G7" s="823">
        <v>8.2799999999999992E-3</v>
      </c>
      <c r="H7" s="823">
        <v>2.988E-2</v>
      </c>
      <c r="J7" s="824">
        <v>2223836.4990493958</v>
      </c>
      <c r="K7" s="824">
        <v>852470.65796893497</v>
      </c>
      <c r="L7" s="824">
        <v>3076307.1570183309</v>
      </c>
      <c r="M7" s="824">
        <v>-287.75306132482365</v>
      </c>
    </row>
    <row r="8" spans="1:19">
      <c r="A8" s="825" t="s">
        <v>877</v>
      </c>
      <c r="B8" s="819" t="s">
        <v>878</v>
      </c>
      <c r="C8" s="826">
        <v>54136131.207140803</v>
      </c>
      <c r="D8" s="822">
        <v>1305753.5629179205</v>
      </c>
      <c r="F8" s="823">
        <v>1.7440000000000001E-2</v>
      </c>
      <c r="G8" s="823">
        <v>6.6800000000000002E-3</v>
      </c>
      <c r="H8" s="823">
        <v>2.4119999999999999E-2</v>
      </c>
      <c r="J8" s="824">
        <v>944134.12825253559</v>
      </c>
      <c r="K8" s="824">
        <v>361629.35646370059</v>
      </c>
      <c r="L8" s="824">
        <v>1305763.4847162361</v>
      </c>
      <c r="M8" s="824">
        <v>9.9217983155976981</v>
      </c>
    </row>
    <row r="9" spans="1:19">
      <c r="A9" s="825" t="s">
        <v>879</v>
      </c>
      <c r="B9" s="819" t="s">
        <v>880</v>
      </c>
      <c r="C9" s="826">
        <v>2588806.2079620408</v>
      </c>
      <c r="D9" s="822">
        <v>38055.402025319956</v>
      </c>
      <c r="F9" s="823">
        <v>1.0619999999999999E-2</v>
      </c>
      <c r="G9" s="823">
        <v>4.0699999999999998E-3</v>
      </c>
      <c r="H9" s="823">
        <v>1.47E-2</v>
      </c>
      <c r="J9" s="824">
        <v>27493.12192855687</v>
      </c>
      <c r="K9" s="824">
        <v>10536.441266405505</v>
      </c>
      <c r="L9" s="824">
        <v>38055.451257041997</v>
      </c>
      <c r="M9" s="824">
        <v>4.9231722041440662E-2</v>
      </c>
    </row>
    <row r="10" spans="1:19">
      <c r="A10" s="825" t="s">
        <v>877</v>
      </c>
      <c r="B10" s="819" t="s">
        <v>881</v>
      </c>
      <c r="C10" s="826">
        <v>2411.9322893306885</v>
      </c>
      <c r="D10" s="822">
        <v>48.238645786613773</v>
      </c>
      <c r="F10" s="823">
        <v>1.7440000000000001E-2</v>
      </c>
      <c r="G10" s="823">
        <v>6.6800000000000002E-3</v>
      </c>
      <c r="H10" s="823">
        <v>2.4119999999999999E-2</v>
      </c>
      <c r="J10" s="824">
        <v>42.064099125927207</v>
      </c>
      <c r="K10" s="824">
        <v>16.111707692728999</v>
      </c>
      <c r="L10" s="824">
        <v>58.175806818656206</v>
      </c>
      <c r="M10" s="824">
        <v>9.9371610320424324</v>
      </c>
    </row>
    <row r="11" spans="1:19">
      <c r="A11" s="825" t="s">
        <v>879</v>
      </c>
      <c r="B11" s="819" t="s">
        <v>882</v>
      </c>
      <c r="C11" s="826">
        <v>2868659.0241881576</v>
      </c>
      <c r="D11" s="822">
        <v>42169.177236233132</v>
      </c>
      <c r="F11" s="823">
        <v>1.0619999999999999E-2</v>
      </c>
      <c r="G11" s="823">
        <v>4.0699999999999998E-3</v>
      </c>
      <c r="H11" s="823">
        <v>1.47E-2</v>
      </c>
      <c r="J11" s="824">
        <v>30465.158836878232</v>
      </c>
      <c r="K11" s="824">
        <v>11675.442228445801</v>
      </c>
      <c r="L11" s="824">
        <v>42169.287655565917</v>
      </c>
      <c r="M11" s="824">
        <v>0.11041933278465876</v>
      </c>
    </row>
    <row r="12" spans="1:19">
      <c r="A12" s="825" t="s">
        <v>883</v>
      </c>
      <c r="B12" s="819" t="s">
        <v>884</v>
      </c>
      <c r="C12" s="826">
        <v>102368.1875</v>
      </c>
      <c r="D12" s="822">
        <v>1504.818125</v>
      </c>
      <c r="F12" s="823">
        <v>1.0619999999999999E-2</v>
      </c>
      <c r="G12" s="823">
        <v>4.0699999999999998E-3</v>
      </c>
      <c r="H12" s="823">
        <v>1.47E-2</v>
      </c>
      <c r="J12" s="824">
        <v>1087.1501512499999</v>
      </c>
      <c r="K12" s="824">
        <v>416.63852312500001</v>
      </c>
      <c r="L12" s="824">
        <v>1504.81235625</v>
      </c>
      <c r="M12" s="824">
        <v>-5.7687500000156433E-3</v>
      </c>
    </row>
    <row r="13" spans="1:19">
      <c r="A13" s="825" t="s">
        <v>885</v>
      </c>
      <c r="B13" s="819" t="s">
        <v>886</v>
      </c>
      <c r="C13" s="826">
        <v>58.803519061583579</v>
      </c>
      <c r="D13" s="822">
        <v>0.86797653958944287</v>
      </c>
      <c r="F13" s="823">
        <v>1.0619999999999999E-2</v>
      </c>
      <c r="G13" s="823">
        <v>4.0699999999999998E-3</v>
      </c>
      <c r="H13" s="823">
        <v>1.47E-2</v>
      </c>
      <c r="J13" s="824">
        <v>0.62449337243401759</v>
      </c>
      <c r="K13" s="824">
        <v>0.23933032258064516</v>
      </c>
      <c r="L13" s="824">
        <v>0.86441173020527862</v>
      </c>
      <c r="M13" s="824">
        <v>-3.5648093841642581E-3</v>
      </c>
    </row>
    <row r="14" spans="1:19">
      <c r="A14" s="825" t="s">
        <v>887</v>
      </c>
      <c r="B14" s="819" t="s">
        <v>888</v>
      </c>
      <c r="C14" s="826">
        <v>7203.0942223385455</v>
      </c>
      <c r="D14" s="822">
        <v>215.23731597199503</v>
      </c>
      <c r="F14" s="823">
        <v>2.1600000000000001E-2</v>
      </c>
      <c r="G14" s="823">
        <v>8.2799999999999992E-3</v>
      </c>
      <c r="H14" s="823">
        <v>2.988E-2</v>
      </c>
      <c r="J14" s="824">
        <v>155.58683520251259</v>
      </c>
      <c r="K14" s="824">
        <v>59.64162016096315</v>
      </c>
      <c r="L14" s="824">
        <v>215.22845536347575</v>
      </c>
      <c r="M14" s="824">
        <v>-8.8606085192850514E-3</v>
      </c>
    </row>
    <row r="15" spans="1:19">
      <c r="A15" s="825" t="s">
        <v>889</v>
      </c>
      <c r="B15" s="819" t="s">
        <v>890</v>
      </c>
      <c r="C15" s="826">
        <v>668789</v>
      </c>
      <c r="D15" s="822">
        <v>9831.19</v>
      </c>
      <c r="F15" s="823">
        <v>1.0619999999999999E-2</v>
      </c>
      <c r="G15" s="823">
        <v>4.0699999999999998E-3</v>
      </c>
      <c r="H15" s="823">
        <v>1.47E-2</v>
      </c>
      <c r="J15" s="824">
        <v>7102.5391799999998</v>
      </c>
      <c r="K15" s="824">
        <v>2721.9712300000001</v>
      </c>
      <c r="L15" s="824">
        <v>9831.1983</v>
      </c>
      <c r="M15" s="824">
        <v>8.2999999995081453E-3</v>
      </c>
    </row>
    <row r="16" spans="1:19">
      <c r="A16" s="825" t="s">
        <v>883</v>
      </c>
      <c r="B16" s="819" t="s">
        <v>891</v>
      </c>
      <c r="C16" s="826">
        <v>78267.53125</v>
      </c>
      <c r="D16" s="822">
        <v>1150.5321875</v>
      </c>
      <c r="F16" s="823">
        <v>1.0619999999999999E-2</v>
      </c>
      <c r="G16" s="823">
        <v>4.0699999999999998E-3</v>
      </c>
      <c r="H16" s="823">
        <v>1.47E-2</v>
      </c>
      <c r="J16" s="824">
        <v>831.20118187499997</v>
      </c>
      <c r="K16" s="824">
        <v>318.54885218749996</v>
      </c>
      <c r="L16" s="824">
        <v>1150.532709375</v>
      </c>
      <c r="M16" s="824">
        <v>5.2187500000400178E-4</v>
      </c>
    </row>
    <row r="17" spans="1:13">
      <c r="A17" s="825" t="s">
        <v>877</v>
      </c>
      <c r="B17" s="819" t="s">
        <v>892</v>
      </c>
      <c r="C17" s="826">
        <v>1021.9354838709678</v>
      </c>
      <c r="D17" s="822">
        <v>24.648064516129033</v>
      </c>
      <c r="F17" s="823">
        <v>1.7440000000000001E-2</v>
      </c>
      <c r="G17" s="823">
        <v>6.6800000000000002E-3</v>
      </c>
      <c r="H17" s="823">
        <v>2.4119999999999999E-2</v>
      </c>
      <c r="J17" s="824">
        <v>17.822554838709678</v>
      </c>
      <c r="K17" s="824">
        <v>6.8265290322580654</v>
      </c>
      <c r="L17" s="824">
        <v>24.649083870967743</v>
      </c>
      <c r="M17" s="824">
        <v>1.0193548387107398E-3</v>
      </c>
    </row>
    <row r="18" spans="1:13">
      <c r="A18" s="825" t="s">
        <v>893</v>
      </c>
      <c r="B18" s="819" t="s">
        <v>894</v>
      </c>
      <c r="C18" s="826">
        <v>40878</v>
      </c>
      <c r="D18" s="822">
        <v>985.97</v>
      </c>
      <c r="F18" s="823">
        <v>1.7440000000000001E-2</v>
      </c>
      <c r="G18" s="823">
        <v>6.6800000000000002E-3</v>
      </c>
      <c r="H18" s="823">
        <v>2.4119999999999999E-2</v>
      </c>
      <c r="J18" s="824">
        <v>712.91232000000002</v>
      </c>
      <c r="K18" s="824">
        <v>273.06504000000001</v>
      </c>
      <c r="L18" s="824">
        <v>985.97735999999998</v>
      </c>
      <c r="M18" s="824">
        <v>7.3599999999487409E-3</v>
      </c>
    </row>
    <row r="19" spans="1:13">
      <c r="C19" s="616"/>
      <c r="D19" s="822"/>
    </row>
    <row r="20" spans="1:13" ht="16.5" customHeight="1">
      <c r="A20" s="812"/>
      <c r="B20" s="813" t="s">
        <v>895</v>
      </c>
      <c r="C20" s="828">
        <v>163449988.39806467</v>
      </c>
      <c r="D20" s="815">
        <v>4476334.554574444</v>
      </c>
      <c r="E20" s="812"/>
      <c r="F20" s="812"/>
      <c r="G20" s="812"/>
      <c r="H20" s="812"/>
      <c r="I20" s="813" t="s">
        <v>896</v>
      </c>
      <c r="J20" s="816">
        <v>3235878.8088830314</v>
      </c>
      <c r="K20" s="816">
        <v>1240124.9407600081</v>
      </c>
      <c r="L20" s="816">
        <v>4476066.8191305837</v>
      </c>
      <c r="M20" s="812"/>
    </row>
    <row r="21" spans="1:13">
      <c r="A21" s="812"/>
      <c r="B21" s="813"/>
      <c r="C21" s="814"/>
      <c r="D21" s="815"/>
      <c r="E21" s="812"/>
      <c r="F21" s="812"/>
      <c r="G21" s="812"/>
      <c r="H21" s="812"/>
      <c r="I21" s="813"/>
      <c r="J21" s="816"/>
      <c r="K21" s="816"/>
      <c r="L21" s="816"/>
      <c r="M21" s="812"/>
    </row>
    <row r="22" spans="1:13" s="830" customFormat="1" ht="21.75" customHeight="1">
      <c r="C22" s="831"/>
      <c r="D22" s="832"/>
      <c r="F22" s="1586" t="s">
        <v>863</v>
      </c>
      <c r="G22" s="1586"/>
      <c r="H22" s="1586"/>
      <c r="J22" s="1586" t="s">
        <v>864</v>
      </c>
      <c r="K22" s="1586"/>
      <c r="L22" s="1586"/>
    </row>
    <row r="23" spans="1:13" ht="34.5">
      <c r="A23" s="807" t="s">
        <v>865</v>
      </c>
      <c r="B23" s="807" t="s">
        <v>897</v>
      </c>
      <c r="C23" s="808" t="s">
        <v>898</v>
      </c>
      <c r="D23" s="809" t="s">
        <v>868</v>
      </c>
      <c r="F23" s="810" t="s">
        <v>899</v>
      </c>
      <c r="G23" s="810" t="s">
        <v>900</v>
      </c>
      <c r="H23" s="810" t="s">
        <v>901</v>
      </c>
      <c r="J23" s="810" t="s">
        <v>872</v>
      </c>
      <c r="K23" s="810" t="s">
        <v>873</v>
      </c>
      <c r="L23" s="810" t="s">
        <v>914</v>
      </c>
      <c r="M23" s="811" t="s">
        <v>874</v>
      </c>
    </row>
    <row r="24" spans="1:13">
      <c r="A24" s="825" t="s">
        <v>902</v>
      </c>
      <c r="B24" s="819" t="s">
        <v>903</v>
      </c>
      <c r="C24" s="826">
        <v>125809</v>
      </c>
      <c r="D24" s="822">
        <v>1547.5</v>
      </c>
      <c r="F24" s="823">
        <v>8.8999999999999999E-3</v>
      </c>
      <c r="G24" s="823">
        <v>3.4000000000000002E-3</v>
      </c>
      <c r="H24" s="823">
        <v>1.23E-2</v>
      </c>
      <c r="J24" s="824">
        <v>1119.7001</v>
      </c>
      <c r="K24" s="824">
        <v>427.75060000000002</v>
      </c>
      <c r="L24" s="824">
        <v>1547.4507000000001</v>
      </c>
      <c r="M24" s="824">
        <v>-4.9299999999902866E-2</v>
      </c>
    </row>
    <row r="25" spans="1:13">
      <c r="A25" s="825" t="s">
        <v>902</v>
      </c>
      <c r="B25" s="819" t="s">
        <v>904</v>
      </c>
      <c r="C25" s="826">
        <v>5122057</v>
      </c>
      <c r="D25" s="822">
        <v>63002.38</v>
      </c>
      <c r="F25" s="823">
        <v>8.8999999999999999E-3</v>
      </c>
      <c r="G25" s="823">
        <v>3.4000000000000002E-3</v>
      </c>
      <c r="H25" s="823">
        <v>1.23E-2</v>
      </c>
      <c r="J25" s="824">
        <v>45586.3073</v>
      </c>
      <c r="K25" s="824">
        <v>17414.9938</v>
      </c>
      <c r="L25" s="824">
        <v>63001.301100000004</v>
      </c>
      <c r="M25" s="824">
        <v>-1.0788999999931548</v>
      </c>
    </row>
    <row r="26" spans="1:13">
      <c r="A26" s="825" t="s">
        <v>905</v>
      </c>
      <c r="B26" s="819" t="s">
        <v>906</v>
      </c>
      <c r="C26" s="827">
        <v>43546</v>
      </c>
      <c r="D26" s="821">
        <v>6402.52</v>
      </c>
      <c r="F26" s="823">
        <v>0.10619999999999999</v>
      </c>
      <c r="G26" s="823">
        <v>4.07E-2</v>
      </c>
      <c r="H26" s="823">
        <v>0.14699999999999999</v>
      </c>
      <c r="J26" s="824">
        <v>4624.5851999999995</v>
      </c>
      <c r="K26" s="824">
        <v>1772.3222000000001</v>
      </c>
      <c r="L26" s="824">
        <v>6401.2619999999997</v>
      </c>
      <c r="M26" s="824">
        <v>-1.2580000000007203</v>
      </c>
    </row>
    <row r="27" spans="1:13">
      <c r="A27" s="825" t="s">
        <v>902</v>
      </c>
      <c r="B27" s="819" t="s">
        <v>907</v>
      </c>
      <c r="C27" s="827">
        <v>408131</v>
      </c>
      <c r="D27" s="821">
        <v>5020.3500000000004</v>
      </c>
      <c r="F27" s="823">
        <v>8.8999999999999999E-3</v>
      </c>
      <c r="G27" s="823">
        <v>3.4000000000000002E-3</v>
      </c>
      <c r="H27" s="823">
        <v>1.23E-2</v>
      </c>
      <c r="J27" s="824">
        <v>3632.3658999999998</v>
      </c>
      <c r="K27" s="824">
        <v>1387.6454000000001</v>
      </c>
      <c r="L27" s="824">
        <v>5020.0113000000001</v>
      </c>
      <c r="M27" s="824">
        <v>-0.33870000000024447</v>
      </c>
    </row>
    <row r="28" spans="1:13">
      <c r="A28" s="825" t="s">
        <v>902</v>
      </c>
      <c r="B28" s="819" t="s">
        <v>908</v>
      </c>
      <c r="C28" s="827">
        <v>181998</v>
      </c>
      <c r="D28" s="821">
        <v>2238.77</v>
      </c>
      <c r="F28" s="823">
        <v>8.8999999999999999E-3</v>
      </c>
      <c r="G28" s="823">
        <v>3.4000000000000002E-3</v>
      </c>
      <c r="H28" s="823">
        <v>1.23E-2</v>
      </c>
      <c r="J28" s="824">
        <v>1619.7821999999999</v>
      </c>
      <c r="K28" s="824">
        <v>618.79320000000007</v>
      </c>
      <c r="L28" s="824">
        <v>2238.5754000000002</v>
      </c>
      <c r="M28" s="824">
        <v>-0.19459999999980937</v>
      </c>
    </row>
    <row r="29" spans="1:13">
      <c r="A29" s="825" t="s">
        <v>905</v>
      </c>
      <c r="B29" s="819" t="s">
        <v>909</v>
      </c>
      <c r="C29" s="827">
        <v>29356</v>
      </c>
      <c r="D29" s="821">
        <v>4315.49</v>
      </c>
      <c r="F29" s="823">
        <v>0.10619999999999999</v>
      </c>
      <c r="G29" s="823">
        <v>4.07E-2</v>
      </c>
      <c r="H29" s="823">
        <v>0.14699999999999999</v>
      </c>
      <c r="J29" s="824">
        <v>3117.6071999999995</v>
      </c>
      <c r="K29" s="824">
        <v>1194.7891999999999</v>
      </c>
      <c r="L29" s="824">
        <v>4315.3319999999994</v>
      </c>
      <c r="M29" s="824">
        <v>-0.15800000000035652</v>
      </c>
    </row>
    <row r="30" spans="1:13">
      <c r="A30" s="825" t="s">
        <v>902</v>
      </c>
      <c r="B30" s="819" t="s">
        <v>910</v>
      </c>
      <c r="C30" s="827">
        <v>46680</v>
      </c>
      <c r="D30" s="821">
        <v>574.20000000000005</v>
      </c>
      <c r="F30" s="823">
        <v>8.8999999999999999E-3</v>
      </c>
      <c r="G30" s="823">
        <v>3.4000000000000002E-3</v>
      </c>
      <c r="H30" s="823">
        <v>1.23E-2</v>
      </c>
      <c r="J30" s="824">
        <v>415.452</v>
      </c>
      <c r="K30" s="824">
        <v>158.71200000000002</v>
      </c>
      <c r="L30" s="824">
        <v>574.16399999999999</v>
      </c>
      <c r="M30" s="824">
        <v>-3.6000000000058208E-2</v>
      </c>
    </row>
    <row r="31" spans="1:13">
      <c r="A31" s="825" t="s">
        <v>905</v>
      </c>
      <c r="B31" s="819" t="s">
        <v>911</v>
      </c>
      <c r="C31" s="827">
        <v>170407</v>
      </c>
      <c r="D31" s="821">
        <v>25050.15</v>
      </c>
      <c r="F31" s="823">
        <v>0.10619999999999999</v>
      </c>
      <c r="G31" s="823">
        <v>4.07E-2</v>
      </c>
      <c r="H31" s="823">
        <v>0.14699999999999999</v>
      </c>
      <c r="J31" s="824">
        <v>18097.223399999999</v>
      </c>
      <c r="K31" s="824">
        <v>6935.5649000000003</v>
      </c>
      <c r="L31" s="824">
        <v>25049.828999999998</v>
      </c>
      <c r="M31" s="824">
        <v>-0.32100000000355067</v>
      </c>
    </row>
    <row r="32" spans="1:13">
      <c r="F32" s="823"/>
      <c r="G32" s="823"/>
      <c r="H32" s="823"/>
    </row>
    <row r="33" spans="1:13" ht="16.5" customHeight="1">
      <c r="A33" s="812"/>
      <c r="B33" s="813" t="s">
        <v>912</v>
      </c>
      <c r="C33" s="829">
        <v>6127984</v>
      </c>
      <c r="D33" s="817">
        <v>108151.36000000002</v>
      </c>
      <c r="E33" s="812"/>
      <c r="F33" s="818"/>
      <c r="G33" s="818"/>
      <c r="H33" s="818"/>
      <c r="I33" s="813" t="s">
        <v>913</v>
      </c>
      <c r="J33" s="816">
        <v>78213.023300000001</v>
      </c>
      <c r="K33" s="816">
        <v>29910.5713</v>
      </c>
      <c r="L33" s="816">
        <v>108147.9255</v>
      </c>
      <c r="M33" s="812"/>
    </row>
    <row r="35" spans="1:13" ht="16.5" customHeight="1">
      <c r="I35" s="813" t="s">
        <v>321</v>
      </c>
      <c r="J35" s="838">
        <v>3314091.8321830314</v>
      </c>
      <c r="K35" s="816">
        <v>1270035.512060008</v>
      </c>
      <c r="L35" s="816">
        <v>4584214.7446305836</v>
      </c>
    </row>
    <row r="38" spans="1:13">
      <c r="J38" s="825"/>
    </row>
  </sheetData>
  <mergeCells count="7">
    <mergeCell ref="F5:H5"/>
    <mergeCell ref="J5:L5"/>
    <mergeCell ref="F22:H22"/>
    <mergeCell ref="J22:L22"/>
    <mergeCell ref="A1:M1"/>
    <mergeCell ref="A2:M2"/>
    <mergeCell ref="A3:M3"/>
  </mergeCells>
  <pageMargins left="0.7" right="0.7" top="0.75" bottom="0.75" header="0.3" footer="0.3"/>
  <pageSetup orientation="landscape" r:id="rId1"/>
  <headerFooter scaleWithDoc="0" alignWithMargins="0">
    <oddFooter>&amp;RExhibit 3
Page 5 of 5&amp;L&amp;1#&amp;"Calibri"&amp;14&amp;K000000Business Use</oddFooter>
  </headerFooter>
  <colBreaks count="1" manualBreakCount="1">
    <brk id="12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15B7B-FCE7-4A0B-B7A1-B6B80F77C475}">
  <sheetPr>
    <tabColor rgb="FF002060"/>
  </sheetPr>
  <dimension ref="A1"/>
  <sheetViews>
    <sheetView showGridLines="0"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948FA-8963-4C07-AD3E-6F2ADC78B350}">
  <sheetPr>
    <tabColor rgb="FF002060"/>
    <pageSetUpPr fitToPage="1"/>
  </sheetPr>
  <dimension ref="A1:AI131"/>
  <sheetViews>
    <sheetView showGridLines="0" zoomScale="70" zoomScaleNormal="70" zoomScaleSheetLayoutView="70" workbookViewId="0"/>
  </sheetViews>
  <sheetFormatPr defaultColWidth="9.140625" defaultRowHeight="20.25"/>
  <cols>
    <col min="1" max="1" width="9" style="72" customWidth="1"/>
    <col min="2" max="2" width="6.28515625" style="72" customWidth="1"/>
    <col min="3" max="3" width="45.85546875" style="72" bestFit="1" customWidth="1"/>
    <col min="4" max="16" width="20.85546875" style="72" customWidth="1"/>
    <col min="17" max="17" width="23.42578125" style="72" bestFit="1" customWidth="1"/>
    <col min="18" max="18" width="5.140625" customWidth="1"/>
    <col min="19" max="19" width="5" style="72" customWidth="1"/>
    <col min="20" max="20" width="17" style="72" customWidth="1"/>
    <col min="21" max="21" width="14.85546875" style="72" bestFit="1" customWidth="1"/>
    <col min="22" max="22" width="14.5703125" style="72" bestFit="1" customWidth="1"/>
    <col min="23" max="23" width="13.140625" style="72" bestFit="1" customWidth="1"/>
    <col min="24" max="24" width="14" style="72" customWidth="1"/>
    <col min="25" max="25" width="15.5703125" style="72" customWidth="1"/>
    <col min="26" max="26" width="14.42578125" style="72" bestFit="1" customWidth="1"/>
    <col min="27" max="27" width="14.85546875" style="72" customWidth="1"/>
    <col min="28" max="28" width="15.85546875" style="72" customWidth="1"/>
    <col min="29" max="29" width="13.42578125" style="72" customWidth="1"/>
    <col min="30" max="30" width="12.140625" style="72" bestFit="1" customWidth="1"/>
    <col min="31" max="31" width="16.5703125" style="72" customWidth="1"/>
    <col min="32" max="32" width="14.42578125" style="72" customWidth="1"/>
    <col min="33" max="33" width="15.140625" style="72" customWidth="1"/>
    <col min="34" max="34" width="9.42578125" style="72" bestFit="1" customWidth="1"/>
    <col min="35" max="35" width="12.85546875" style="72" customWidth="1"/>
    <col min="36" max="16384" width="9.140625" style="72"/>
  </cols>
  <sheetData>
    <row r="1" spans="1:35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5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5">
      <c r="A3" s="193" t="s">
        <v>549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5" s="31" customFormat="1">
      <c r="A4" s="73"/>
      <c r="D4" s="28"/>
      <c r="R4"/>
      <c r="T4" s="13"/>
      <c r="U4" s="13"/>
      <c r="V4" s="13"/>
      <c r="W4" s="13"/>
      <c r="X4" s="13"/>
      <c r="Y4" s="13"/>
      <c r="Z4" s="13"/>
      <c r="AA4" s="13"/>
      <c r="AB4" s="14"/>
      <c r="AC4" s="13"/>
      <c r="AD4" s="13"/>
      <c r="AE4" s="13"/>
      <c r="AF4" s="13"/>
      <c r="AG4" s="13"/>
      <c r="AH4" s="13"/>
      <c r="AI4" s="13"/>
    </row>
    <row r="5" spans="1:35" s="743" customFormat="1" ht="23.25" customHeight="1">
      <c r="D5" s="771" t="s">
        <v>705</v>
      </c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3"/>
      <c r="R5" s="742"/>
      <c r="T5" s="774"/>
      <c r="U5" s="775"/>
      <c r="V5" s="775"/>
      <c r="W5" s="775"/>
      <c r="X5" s="775"/>
      <c r="Y5" s="775"/>
      <c r="Z5" s="775"/>
      <c r="AA5" s="775"/>
      <c r="AB5" s="1590"/>
      <c r="AC5" s="1590"/>
      <c r="AD5" s="1590"/>
      <c r="AE5" s="1590"/>
      <c r="AF5" s="1590"/>
      <c r="AG5" s="1590"/>
      <c r="AH5" s="1590"/>
      <c r="AI5" s="1590"/>
    </row>
    <row r="6" spans="1:35" s="31" customFormat="1">
      <c r="A6" s="224" t="s">
        <v>4</v>
      </c>
      <c r="B6" s="32"/>
      <c r="D6" s="115">
        <v>2021</v>
      </c>
      <c r="E6" s="95">
        <v>2022</v>
      </c>
      <c r="F6" s="95">
        <f>$E$6</f>
        <v>2022</v>
      </c>
      <c r="G6" s="95">
        <f>$E$6</f>
        <v>2022</v>
      </c>
      <c r="H6" s="95">
        <f>$E$6</f>
        <v>2022</v>
      </c>
      <c r="I6" s="95">
        <f>$E$6</f>
        <v>2022</v>
      </c>
      <c r="J6" s="95">
        <f>$E$6</f>
        <v>2022</v>
      </c>
      <c r="K6" s="95">
        <f t="shared" ref="K6:Q6" si="0">$E$6</f>
        <v>2022</v>
      </c>
      <c r="L6" s="95">
        <f t="shared" si="0"/>
        <v>2022</v>
      </c>
      <c r="M6" s="95">
        <f t="shared" si="0"/>
        <v>2022</v>
      </c>
      <c r="N6" s="95">
        <f t="shared" si="0"/>
        <v>2022</v>
      </c>
      <c r="O6" s="95">
        <f t="shared" si="0"/>
        <v>2022</v>
      </c>
      <c r="P6" s="95">
        <f t="shared" si="0"/>
        <v>2022</v>
      </c>
      <c r="Q6" s="133">
        <f t="shared" si="0"/>
        <v>2022</v>
      </c>
      <c r="R6"/>
      <c r="T6" s="95"/>
      <c r="U6" s="16"/>
      <c r="V6" s="95"/>
      <c r="W6" s="95"/>
      <c r="X6" s="95"/>
      <c r="Y6" s="95"/>
      <c r="Z6" s="95"/>
      <c r="AA6" s="95"/>
      <c r="AB6" s="95"/>
      <c r="AC6" s="95"/>
      <c r="AD6" s="95"/>
      <c r="AE6" s="16"/>
      <c r="AF6" s="95"/>
      <c r="AG6" s="95"/>
      <c r="AH6" s="95"/>
      <c r="AI6" s="95"/>
    </row>
    <row r="7" spans="1:35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1042</v>
      </c>
      <c r="P7" s="75" t="s">
        <v>1034</v>
      </c>
      <c r="Q7" s="118" t="s">
        <v>27</v>
      </c>
      <c r="R7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16"/>
      <c r="AF7" s="95"/>
      <c r="AG7" s="95"/>
      <c r="AH7" s="95"/>
      <c r="AI7" s="95"/>
    </row>
    <row r="8" spans="1:35" s="31" customFormat="1" ht="20.45" customHeigh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T8" s="95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35" s="31" customFormat="1" ht="12" customHeigh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T9" s="95"/>
      <c r="U9" s="17"/>
      <c r="V9" s="17"/>
      <c r="W9" s="17"/>
      <c r="X9" s="17"/>
      <c r="Y9" s="17"/>
      <c r="Z9" s="17"/>
      <c r="AA9" s="18"/>
      <c r="AB9" s="17"/>
      <c r="AC9" s="18"/>
      <c r="AD9" s="18"/>
      <c r="AE9" s="18"/>
      <c r="AF9" s="17"/>
      <c r="AG9" s="17"/>
      <c r="AH9" s="17"/>
      <c r="AI9" s="17"/>
    </row>
    <row r="10" spans="1:35" s="31" customFormat="1">
      <c r="A10" s="32"/>
      <c r="B10" s="77" t="s">
        <v>51</v>
      </c>
      <c r="D10" s="284"/>
      <c r="E10" s="285"/>
      <c r="F10" s="285"/>
      <c r="G10" s="285"/>
      <c r="H10" s="285"/>
      <c r="I10" s="285"/>
      <c r="J10" s="285"/>
      <c r="K10" s="13"/>
      <c r="L10" s="13"/>
      <c r="M10" s="13"/>
      <c r="N10" s="13"/>
      <c r="O10" s="13"/>
      <c r="P10" s="281"/>
      <c r="Q10" s="123"/>
      <c r="R10"/>
      <c r="T10" s="95"/>
      <c r="U10" s="17"/>
      <c r="V10" s="17"/>
      <c r="W10" s="17"/>
      <c r="X10" s="17"/>
      <c r="Y10" s="17"/>
      <c r="Z10" s="17"/>
      <c r="AA10" s="18"/>
      <c r="AB10" s="17"/>
      <c r="AC10" s="17"/>
      <c r="AD10" s="17"/>
      <c r="AE10" s="18"/>
      <c r="AF10" s="17"/>
      <c r="AG10" s="17"/>
      <c r="AH10" s="17"/>
      <c r="AI10" s="17"/>
    </row>
    <row r="11" spans="1:35" s="743" customFormat="1" ht="22.5" customHeight="1">
      <c r="A11" s="737">
        <v>1</v>
      </c>
      <c r="B11" s="737"/>
      <c r="C11" s="738" t="s">
        <v>412</v>
      </c>
      <c r="D11" s="739">
        <f>'Rev Req 2021-Distr'!R11</f>
        <v>43881787.200000003</v>
      </c>
      <c r="E11" s="740">
        <f>D11+SUM('Cap&amp;OpEx 2022'!C9,'Cap&amp;OpEx 2022'!C11:C13,'Cap&amp;OpEx 2022'!C16,'Cap&amp;OpEx 2022'!C18:C20)</f>
        <v>44677605.43</v>
      </c>
      <c r="F11" s="740">
        <f>E11+SUM('Cap&amp;OpEx 2022'!D9,'Cap&amp;OpEx 2022'!D11:D13,'Cap&amp;OpEx 2022'!D16,'Cap&amp;OpEx 2022'!D18:D20)</f>
        <v>45667414.909999996</v>
      </c>
      <c r="G11" s="740">
        <f>F11+SUM('Cap&amp;OpEx 2022'!E9,'Cap&amp;OpEx 2022'!E11:E13,'Cap&amp;OpEx 2022'!E16,'Cap&amp;OpEx 2022'!E18:E20)</f>
        <v>46794055.859999999</v>
      </c>
      <c r="H11" s="740">
        <f>G11+SUM('Cap&amp;OpEx 2022'!F9,'Cap&amp;OpEx 2022'!F11:F13,'Cap&amp;OpEx 2022'!F16,'Cap&amp;OpEx 2022'!F18:F20)</f>
        <v>47960810</v>
      </c>
      <c r="I11" s="740">
        <f>H11+SUM('Cap&amp;OpEx 2022'!G9,'Cap&amp;OpEx 2022'!G11:G13,'Cap&amp;OpEx 2022'!G16,'Cap&amp;OpEx 2022'!G18:G20)</f>
        <v>49250955.380000003</v>
      </c>
      <c r="J11" s="740">
        <f>I11+SUM('Cap&amp;OpEx 2022'!H9,'Cap&amp;OpEx 2022'!H11:H13,'Cap&amp;OpEx 2022'!H16,'Cap&amp;OpEx 2022'!H18:H20)</f>
        <v>50330095.230000004</v>
      </c>
      <c r="K11" s="740">
        <f>J11+SUM('Cap&amp;OpEx 2022'!I9,'Cap&amp;OpEx 2022'!I11:I13,'Cap&amp;OpEx 2022'!I16,'Cap&amp;OpEx 2022'!I18:I20)</f>
        <v>51946672.360000007</v>
      </c>
      <c r="L11" s="740">
        <f>K11+SUM('Cap&amp;OpEx 2022'!J9,'Cap&amp;OpEx 2022'!J11:J13,'Cap&amp;OpEx 2022'!J16,'Cap&amp;OpEx 2022'!J18:J20)</f>
        <v>53573880.99000001</v>
      </c>
      <c r="M11" s="740">
        <f>L11+SUM('Cap&amp;OpEx 2022'!K9,'Cap&amp;OpEx 2022'!K11:K13,'Cap&amp;OpEx 2022'!K16,'Cap&amp;OpEx 2022'!K18:K20)</f>
        <v>54985840.790000007</v>
      </c>
      <c r="N11" s="740">
        <f>M11+SUM('Cap&amp;OpEx 2022'!L9,'Cap&amp;OpEx 2022'!L11:L13,'Cap&amp;OpEx 2022'!L16,'Cap&amp;OpEx 2022'!L18:L20)</f>
        <v>55852596.090000004</v>
      </c>
      <c r="O11" s="740">
        <f>N11+SUM('Cap&amp;OpEx 2022'!M9,'Cap&amp;OpEx 2022'!M11:M13,'Cap&amp;OpEx 2022'!M16,'Cap&amp;OpEx 2022'!M18:M20)</f>
        <v>57097212.380000003</v>
      </c>
      <c r="P11" s="740">
        <f>O11+SUM('Cap&amp;OpEx 2022'!N9,'Cap&amp;OpEx 2022'!N11:N13,'Cap&amp;OpEx 2022'!N16,'Cap&amp;OpEx 2022'!N18:N20)</f>
        <v>58511738.100000001</v>
      </c>
      <c r="Q11" s="741">
        <f>AVERAGE(D11:P11)</f>
        <v>50810051.132307693</v>
      </c>
      <c r="R11" s="742"/>
      <c r="T11" s="744"/>
      <c r="U11" s="745"/>
      <c r="V11" s="745"/>
      <c r="W11" s="745"/>
      <c r="X11" s="745"/>
      <c r="Y11" s="745"/>
      <c r="Z11" s="745"/>
      <c r="AA11" s="746"/>
      <c r="AB11" s="745"/>
      <c r="AC11" s="745"/>
      <c r="AD11" s="745"/>
      <c r="AE11" s="746"/>
      <c r="AF11" s="745"/>
      <c r="AG11" s="745"/>
      <c r="AH11" s="745"/>
      <c r="AI11" s="745"/>
    </row>
    <row r="12" spans="1:35" s="743" customFormat="1" ht="22.5" customHeight="1">
      <c r="A12" s="737">
        <v>2</v>
      </c>
      <c r="B12" s="737"/>
      <c r="C12" s="743" t="s">
        <v>19</v>
      </c>
      <c r="D12" s="739">
        <f>'Rev Req 2021-Distr'!R12</f>
        <v>3603841.9000000004</v>
      </c>
      <c r="E12" s="740">
        <f>D12+'Cap&amp;OpEx 2022'!C35</f>
        <v>3647236.8000000003</v>
      </c>
      <c r="F12" s="740">
        <f>E12+'Cap&amp;OpEx 2022'!D35</f>
        <v>3680056.2500000005</v>
      </c>
      <c r="G12" s="740">
        <f>F12+'Cap&amp;OpEx 2022'!E35</f>
        <v>3736060.4200000004</v>
      </c>
      <c r="H12" s="740">
        <f>G12+'Cap&amp;OpEx 2022'!F35</f>
        <v>3756971.7</v>
      </c>
      <c r="I12" s="740">
        <f>H12+'Cap&amp;OpEx 2022'!G35</f>
        <v>3815245.4000000004</v>
      </c>
      <c r="J12" s="740">
        <f>I12+'Cap&amp;OpEx 2022'!H35</f>
        <v>3812769.0100000002</v>
      </c>
      <c r="K12" s="740">
        <f>J12+'Cap&amp;OpEx 2022'!I35</f>
        <v>3924811.14</v>
      </c>
      <c r="L12" s="740">
        <f>K12+'Cap&amp;OpEx 2022'!J35</f>
        <v>4014762.0100000002</v>
      </c>
      <c r="M12" s="740">
        <f>L12+'Cap&amp;OpEx 2022'!K35</f>
        <v>4104457.8200000003</v>
      </c>
      <c r="N12" s="740">
        <f>M12+'Cap&amp;OpEx 2022'!L35</f>
        <v>4127181.6100000003</v>
      </c>
      <c r="O12" s="740">
        <f>N12+'Cap&amp;OpEx 2022'!M35</f>
        <v>4120090.1500000004</v>
      </c>
      <c r="P12" s="740">
        <f>O12+'Cap&amp;OpEx 2022'!N35</f>
        <v>4230199.2300000004</v>
      </c>
      <c r="Q12" s="741">
        <f t="shared" ref="Q12:Q13" si="1">AVERAGE(D12:P12)</f>
        <v>3890283.3415384614</v>
      </c>
      <c r="R12" s="742"/>
      <c r="T12" s="744"/>
      <c r="U12" s="745"/>
      <c r="V12" s="745"/>
      <c r="W12" s="745"/>
      <c r="X12" s="745"/>
      <c r="Y12" s="745"/>
      <c r="Z12" s="745"/>
      <c r="AA12" s="746"/>
      <c r="AB12" s="745"/>
      <c r="AC12" s="745"/>
      <c r="AD12" s="745"/>
      <c r="AE12" s="746"/>
      <c r="AF12" s="745"/>
      <c r="AG12" s="745"/>
      <c r="AH12" s="745"/>
      <c r="AI12" s="745"/>
    </row>
    <row r="13" spans="1:35" s="743" customFormat="1" ht="22.5" customHeight="1">
      <c r="A13" s="737">
        <v>3</v>
      </c>
      <c r="B13" s="737"/>
      <c r="C13" s="743" t="s">
        <v>52</v>
      </c>
      <c r="D13" s="739">
        <f>'Rev Req 2021-Distr'!R13</f>
        <v>-2493030.9553952399</v>
      </c>
      <c r="E13" s="747">
        <f>'Cap&amp;OpEx 2022'!C28-'202201 Bk Depr'!$P$19+D13</f>
        <v>-2614226.8635817398</v>
      </c>
      <c r="F13" s="747">
        <f>'Cap&amp;OpEx 2022'!D28-'202202 Bk Depr'!$P$19+E13</f>
        <v>-2737679.1791767399</v>
      </c>
      <c r="G13" s="747">
        <f>'Cap&amp;OpEx 2022'!E28-'202203 Bk Depr'!$P$19+F13</f>
        <v>-2832234.1486642398</v>
      </c>
      <c r="H13" s="747">
        <f>'Cap&amp;OpEx 2022'!F28-'202204 Bk Depr'!$P$19+G13</f>
        <v>-2961570.9573352397</v>
      </c>
      <c r="I13" s="747">
        <f>'Cap&amp;OpEx 2022'!G28-'202205 Bk Depr'!$P$19+H13</f>
        <v>-3094224.5803582398</v>
      </c>
      <c r="J13" s="747">
        <f>'Cap&amp;OpEx 2022'!H28-'202206 Bk Depr'!$P$19+I13</f>
        <v>-3230076.7384417397</v>
      </c>
      <c r="K13" s="747">
        <f>'Cap&amp;OpEx 2022'!I28-'202207 Bk Depr'!$P$19+J13</f>
        <v>-3369568.1144482396</v>
      </c>
      <c r="L13" s="747">
        <f>'Cap&amp;OpEx 2022'!J28-'202208 Bk Depr'!$P$19+K13</f>
        <v>-3513438.6012307396</v>
      </c>
      <c r="M13" s="747">
        <f>'Cap&amp;OpEx 2022'!K28-'202209 Bk Depr'!$P$19+L13</f>
        <v>-3661411.9653937398</v>
      </c>
      <c r="N13" s="747">
        <f>'Cap&amp;OpEx 2022'!L28-'202210 Bk Depr'!$P$19+M13</f>
        <v>-3786184.5760047399</v>
      </c>
      <c r="O13" s="747">
        <f>'Cap&amp;OpEx 2022'!M28-'202211 Bk Depr'!$P$19+N13</f>
        <v>-3940169.3193252399</v>
      </c>
      <c r="P13" s="747">
        <f>'Cap&amp;OpEx 2022'!N28-'202212 Bk Depr'!$P$19+O13</f>
        <v>-4097743.9043592401</v>
      </c>
      <c r="Q13" s="748">
        <f t="shared" si="1"/>
        <v>-3256273.838747317</v>
      </c>
      <c r="R13" s="742"/>
      <c r="S13" s="749"/>
      <c r="T13" s="744"/>
      <c r="U13" s="745"/>
      <c r="V13" s="745"/>
      <c r="W13" s="745"/>
      <c r="X13" s="745"/>
      <c r="Y13" s="745"/>
      <c r="Z13" s="745"/>
      <c r="AA13" s="746"/>
      <c r="AB13" s="745"/>
      <c r="AC13" s="745"/>
      <c r="AD13" s="745"/>
      <c r="AE13" s="746"/>
      <c r="AF13" s="745"/>
      <c r="AG13" s="745"/>
      <c r="AH13" s="745"/>
      <c r="AI13" s="745"/>
    </row>
    <row r="14" spans="1:35" s="743" customFormat="1" ht="22.5" customHeight="1">
      <c r="A14" s="737">
        <v>4</v>
      </c>
      <c r="B14" s="737"/>
      <c r="C14" s="743" t="s">
        <v>53</v>
      </c>
      <c r="D14" s="750">
        <f t="shared" ref="D14:P14" si="2">SUM(D11:D13)</f>
        <v>44992598.144604765</v>
      </c>
      <c r="E14" s="751">
        <f t="shared" si="2"/>
        <v>45710615.366418257</v>
      </c>
      <c r="F14" s="751">
        <f t="shared" si="2"/>
        <v>46609791.980823256</v>
      </c>
      <c r="G14" s="751">
        <f t="shared" si="2"/>
        <v>47697882.131335765</v>
      </c>
      <c r="H14" s="751">
        <f t="shared" si="2"/>
        <v>48756210.742664762</v>
      </c>
      <c r="I14" s="751">
        <f t="shared" si="2"/>
        <v>49971976.199641764</v>
      </c>
      <c r="J14" s="751">
        <f t="shared" si="2"/>
        <v>50912787.501558259</v>
      </c>
      <c r="K14" s="751">
        <f t="shared" si="2"/>
        <v>52501915.385551766</v>
      </c>
      <c r="L14" s="751">
        <f t="shared" si="2"/>
        <v>54075204.398769267</v>
      </c>
      <c r="M14" s="751">
        <f t="shared" si="2"/>
        <v>55428886.64460627</v>
      </c>
      <c r="N14" s="751">
        <f t="shared" si="2"/>
        <v>56193593.123995259</v>
      </c>
      <c r="O14" s="751">
        <f t="shared" si="2"/>
        <v>57277133.210674763</v>
      </c>
      <c r="P14" s="751">
        <f t="shared" si="2"/>
        <v>58644193.425640762</v>
      </c>
      <c r="Q14" s="741">
        <f>SUM(Q11:Q13)</f>
        <v>51444060.635098837</v>
      </c>
      <c r="R14" s="742"/>
      <c r="T14" s="744"/>
      <c r="U14" s="752"/>
      <c r="V14" s="752"/>
      <c r="W14" s="752"/>
      <c r="X14" s="752"/>
      <c r="Y14" s="752"/>
      <c r="Z14" s="752"/>
      <c r="AA14" s="746"/>
      <c r="AB14" s="745"/>
      <c r="AC14" s="745"/>
      <c r="AD14" s="745"/>
      <c r="AE14" s="746"/>
      <c r="AF14" s="745"/>
      <c r="AG14" s="745"/>
      <c r="AH14" s="745"/>
      <c r="AI14" s="745"/>
    </row>
    <row r="15" spans="1:35" s="743" customFormat="1">
      <c r="A15" s="737"/>
      <c r="B15" s="737"/>
      <c r="D15" s="753"/>
      <c r="E15" s="754"/>
      <c r="F15" s="754"/>
      <c r="G15" s="754"/>
      <c r="H15" s="754"/>
      <c r="I15" s="754"/>
      <c r="J15" s="754"/>
      <c r="K15" s="754"/>
      <c r="L15" s="754"/>
      <c r="M15" s="754"/>
      <c r="N15" s="754"/>
      <c r="O15" s="754"/>
      <c r="P15" s="754"/>
      <c r="Q15" s="755"/>
      <c r="R15" s="742"/>
      <c r="T15" s="756"/>
      <c r="U15" s="752"/>
      <c r="V15" s="752"/>
      <c r="W15" s="752"/>
      <c r="X15" s="752"/>
      <c r="Y15" s="752"/>
      <c r="Z15" s="752"/>
      <c r="AA15" s="746"/>
      <c r="AB15" s="745"/>
      <c r="AC15" s="745"/>
      <c r="AD15" s="745"/>
      <c r="AE15" s="746"/>
      <c r="AF15" s="745"/>
      <c r="AG15" s="745"/>
      <c r="AH15" s="745"/>
      <c r="AI15" s="745"/>
    </row>
    <row r="16" spans="1:35" s="743" customFormat="1" ht="22.5" customHeight="1">
      <c r="A16" s="737">
        <v>5</v>
      </c>
      <c r="B16" s="737"/>
      <c r="C16" s="743" t="s">
        <v>54</v>
      </c>
      <c r="D16" s="805">
        <f>'Rev Req 2021-Distr'!R16</f>
        <v>-7345431.5698972521</v>
      </c>
      <c r="E16" s="747">
        <f>-'Tax Depr 2022 - Dist'!X17</f>
        <v>-7358000.6702781646</v>
      </c>
      <c r="F16" s="747">
        <f>-'Tax Depr 2022 - Dist'!X18</f>
        <v>-7382675.9108435214</v>
      </c>
      <c r="G16" s="747">
        <f>-'Tax Depr 2022 - Dist'!X19</f>
        <v>-7447645.3161182245</v>
      </c>
      <c r="H16" s="747">
        <f>-'Tax Depr 2022 - Dist'!X20</f>
        <v>-7530686.5587260211</v>
      </c>
      <c r="I16" s="747">
        <f>-'Tax Depr 2022 - Dist'!X21</f>
        <v>-7672761.0623389045</v>
      </c>
      <c r="J16" s="747">
        <f>-'Tax Depr 2022 - Dist'!X22</f>
        <v>-7815506.8306023385</v>
      </c>
      <c r="K16" s="747">
        <f>-'Tax Depr 2022 - Dist'!X23</f>
        <v>-8085577.5802085428</v>
      </c>
      <c r="L16" s="747">
        <f>-'Tax Depr 2022 - Dist'!X24</f>
        <v>-8367021.6562116025</v>
      </c>
      <c r="M16" s="747">
        <f>-'Tax Depr 2022 - Dist'!X25</f>
        <v>-8627537.719516227</v>
      </c>
      <c r="N16" s="747">
        <f>-'Tax Depr 2022 - Dist'!X26</f>
        <v>-8837568.2542587072</v>
      </c>
      <c r="O16" s="747">
        <f>-'Tax Depr 2022 - Dist'!X27</f>
        <v>-9160771.7462812848</v>
      </c>
      <c r="P16" s="747">
        <f>-'Tax Depr 2022 - Dist'!X28</f>
        <v>-9549777.8457705304</v>
      </c>
      <c r="Q16" s="748">
        <f t="shared" ref="Q16" si="3">AVERAGE(D16:P16)</f>
        <v>-8090843.2862347178</v>
      </c>
      <c r="R16" s="742"/>
      <c r="T16" s="893"/>
      <c r="U16" s="745"/>
      <c r="V16" s="745"/>
      <c r="W16" s="745"/>
      <c r="X16" s="745"/>
      <c r="Y16" s="745"/>
      <c r="Z16" s="745"/>
      <c r="AA16" s="745"/>
      <c r="AB16" s="745"/>
      <c r="AC16" s="745"/>
      <c r="AD16" s="745"/>
      <c r="AE16" s="745"/>
      <c r="AF16" s="745"/>
      <c r="AG16" s="745"/>
      <c r="AH16" s="745"/>
      <c r="AI16" s="745"/>
    </row>
    <row r="17" spans="1:19" s="743" customFormat="1">
      <c r="A17" s="737"/>
      <c r="B17" s="737"/>
      <c r="D17" s="753"/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O17" s="754"/>
      <c r="P17" s="754"/>
      <c r="Q17" s="755"/>
      <c r="R17" s="742"/>
    </row>
    <row r="18" spans="1:19" s="743" customFormat="1" ht="22.5" customHeight="1">
      <c r="A18" s="737">
        <v>6</v>
      </c>
      <c r="B18" s="737"/>
      <c r="C18" s="738" t="s">
        <v>55</v>
      </c>
      <c r="D18" s="757">
        <f>SUM(D14:D16)</f>
        <v>37647166.574707516</v>
      </c>
      <c r="E18" s="751">
        <f>SUM(E14:E16)</f>
        <v>38352614.696140096</v>
      </c>
      <c r="F18" s="751">
        <f t="shared" ref="F18:P18" si="4">SUM(F14:F16)</f>
        <v>39227116.069979735</v>
      </c>
      <c r="G18" s="751">
        <f t="shared" si="4"/>
        <v>40250236.81521754</v>
      </c>
      <c r="H18" s="751">
        <f t="shared" si="4"/>
        <v>41225524.183938742</v>
      </c>
      <c r="I18" s="751">
        <f t="shared" si="4"/>
        <v>42299215.137302861</v>
      </c>
      <c r="J18" s="751">
        <f t="shared" si="4"/>
        <v>43097280.670955919</v>
      </c>
      <c r="K18" s="751">
        <f t="shared" si="4"/>
        <v>44416337.805343226</v>
      </c>
      <c r="L18" s="751">
        <f t="shared" si="4"/>
        <v>45708182.742557667</v>
      </c>
      <c r="M18" s="751">
        <f t="shared" si="4"/>
        <v>46801348.925090045</v>
      </c>
      <c r="N18" s="751">
        <f t="shared" si="4"/>
        <v>47356024.869736552</v>
      </c>
      <c r="O18" s="751">
        <f t="shared" si="4"/>
        <v>48116361.464393482</v>
      </c>
      <c r="P18" s="751">
        <f t="shared" si="4"/>
        <v>49094415.579870231</v>
      </c>
      <c r="Q18" s="741">
        <f>SUM(Q14:Q16)</f>
        <v>43353217.348864123</v>
      </c>
      <c r="R18" s="742"/>
    </row>
    <row r="19" spans="1:19" s="743" customFormat="1">
      <c r="A19" s="737"/>
      <c r="B19" s="737"/>
      <c r="D19" s="758"/>
      <c r="E19" s="752"/>
      <c r="F19" s="752"/>
      <c r="G19" s="752"/>
      <c r="H19" s="752"/>
      <c r="I19" s="752"/>
      <c r="J19" s="752"/>
      <c r="K19" s="752"/>
      <c r="L19" s="752"/>
      <c r="M19" s="752"/>
      <c r="N19" s="752"/>
      <c r="O19" s="752"/>
      <c r="P19" s="752"/>
      <c r="Q19" s="759"/>
      <c r="R19" s="742"/>
    </row>
    <row r="20" spans="1:19" s="743" customFormat="1" ht="22.5" customHeight="1">
      <c r="A20" s="737">
        <v>7</v>
      </c>
      <c r="B20" s="737"/>
      <c r="C20" s="743" t="s">
        <v>56</v>
      </c>
      <c r="D20" s="760">
        <f>'Rev Req 2021-Distr'!R20</f>
        <v>7.0499999999999998E-3</v>
      </c>
      <c r="E20" s="761">
        <f>'ROR 2022'!$G$13/12</f>
        <v>7.0499999999999998E-3</v>
      </c>
      <c r="F20" s="761">
        <f>'ROR 2022'!$G$13/12</f>
        <v>7.0499999999999998E-3</v>
      </c>
      <c r="G20" s="761">
        <f>'ROR 2022'!$G$13/12</f>
        <v>7.0499999999999998E-3</v>
      </c>
      <c r="H20" s="761">
        <f>'ROR 2022'!$G$13/12</f>
        <v>7.0499999999999998E-3</v>
      </c>
      <c r="I20" s="761">
        <f>'ROR 2022'!$G$13/12</f>
        <v>7.0499999999999998E-3</v>
      </c>
      <c r="J20" s="761">
        <f>'ROR 2022'!$G$13/12</f>
        <v>7.0499999999999998E-3</v>
      </c>
      <c r="K20" s="761">
        <f>'ROR 2022'!$G$13/12</f>
        <v>7.0499999999999998E-3</v>
      </c>
      <c r="L20" s="761">
        <f>'ROR 2022'!$G$13/12</f>
        <v>7.0499999999999998E-3</v>
      </c>
      <c r="M20" s="761">
        <f>'ROR 2022'!$G$13/12</f>
        <v>7.0499999999999998E-3</v>
      </c>
      <c r="N20" s="761">
        <f>'ROR 2022'!$G$13/12</f>
        <v>7.0499999999999998E-3</v>
      </c>
      <c r="O20" s="761">
        <f>'ROR 2022'!$G$13/12</f>
        <v>7.0499999999999998E-3</v>
      </c>
      <c r="P20" s="761">
        <f>'ROR 2022'!$G$13/12</f>
        <v>7.0499999999999998E-3</v>
      </c>
      <c r="Q20" s="762">
        <f>SUM(E20:P20)</f>
        <v>8.4599999999999995E-2</v>
      </c>
      <c r="R20" s="742"/>
    </row>
    <row r="21" spans="1:19" s="743" customFormat="1">
      <c r="A21" s="737"/>
      <c r="B21" s="737"/>
      <c r="D21" s="763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9"/>
      <c r="R21" s="742"/>
    </row>
    <row r="22" spans="1:19" s="743" customFormat="1" ht="22.5" customHeight="1">
      <c r="A22" s="737">
        <v>8</v>
      </c>
      <c r="B22" s="737"/>
      <c r="C22" s="743" t="s">
        <v>57</v>
      </c>
      <c r="D22" s="764">
        <f>D18*D20</f>
        <v>265412.52435168799</v>
      </c>
      <c r="E22" s="765">
        <f>E18*E20</f>
        <v>270385.93360778765</v>
      </c>
      <c r="F22" s="765">
        <f t="shared" ref="F22:P22" si="5">F18*F20</f>
        <v>276551.16829335713</v>
      </c>
      <c r="G22" s="765">
        <f t="shared" si="5"/>
        <v>283764.16954728367</v>
      </c>
      <c r="H22" s="765">
        <f t="shared" si="5"/>
        <v>290639.94549676811</v>
      </c>
      <c r="I22" s="765">
        <f t="shared" si="5"/>
        <v>298209.46671798517</v>
      </c>
      <c r="J22" s="765">
        <f t="shared" si="5"/>
        <v>303835.82873023924</v>
      </c>
      <c r="K22" s="765">
        <f t="shared" si="5"/>
        <v>313135.18152766972</v>
      </c>
      <c r="L22" s="765">
        <f t="shared" si="5"/>
        <v>322242.68833503156</v>
      </c>
      <c r="M22" s="765">
        <f t="shared" si="5"/>
        <v>329949.5099218848</v>
      </c>
      <c r="N22" s="765">
        <f t="shared" si="5"/>
        <v>333859.97533164266</v>
      </c>
      <c r="O22" s="765">
        <f t="shared" si="5"/>
        <v>339220.34832397406</v>
      </c>
      <c r="P22" s="765">
        <f t="shared" si="5"/>
        <v>346115.62983808515</v>
      </c>
      <c r="Q22" s="766">
        <f>Q18*Q20</f>
        <v>3667682.1877139048</v>
      </c>
      <c r="R22" s="742"/>
    </row>
    <row r="23" spans="1:19" s="743" customFormat="1">
      <c r="A23" s="737"/>
      <c r="B23" s="737"/>
      <c r="D23" s="763"/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9"/>
      <c r="R23" s="742"/>
    </row>
    <row r="24" spans="1:19" s="743" customFormat="1">
      <c r="A24" s="737"/>
      <c r="B24" s="767" t="s">
        <v>58</v>
      </c>
      <c r="D24" s="758"/>
      <c r="E24" s="752"/>
      <c r="F24" s="752"/>
      <c r="G24" s="752"/>
      <c r="H24" s="752"/>
      <c r="I24" s="752"/>
      <c r="J24" s="752"/>
      <c r="K24" s="752"/>
      <c r="L24" s="752"/>
      <c r="M24" s="752"/>
      <c r="N24" s="752"/>
      <c r="O24" s="752"/>
      <c r="P24" s="752"/>
      <c r="Q24" s="759"/>
      <c r="R24" s="742"/>
    </row>
    <row r="25" spans="1:19" s="743" customFormat="1" ht="22.5" customHeight="1">
      <c r="A25" s="737">
        <v>9</v>
      </c>
      <c r="B25" s="737"/>
      <c r="C25" s="743" t="s">
        <v>0</v>
      </c>
      <c r="D25" s="739">
        <f>'Rev Req 2021-Distr'!R25</f>
        <v>117346.38124950005</v>
      </c>
      <c r="E25" s="740">
        <f>'202201 Bk Depr'!P30</f>
        <v>119865.70005050005</v>
      </c>
      <c r="F25" s="740">
        <f>'202202 Bk Depr'!P30</f>
        <v>122122.10745900006</v>
      </c>
      <c r="G25" s="740">
        <f>'202203 Bk Depr'!P30</f>
        <v>124822.98553950005</v>
      </c>
      <c r="H25" s="740">
        <f>'202204 Bk Depr'!P30</f>
        <v>127919.06891100005</v>
      </c>
      <c r="I25" s="740">
        <f>'202205 Bk Depr'!P30</f>
        <v>131235.88326300005</v>
      </c>
      <c r="J25" s="740">
        <f>'202206 Bk Depr'!P30</f>
        <v>134434.41832350005</v>
      </c>
      <c r="K25" s="740">
        <f>'202207 Bk Depr'!P30</f>
        <v>138073.63624650004</v>
      </c>
      <c r="L25" s="740">
        <f>'202208 Bk Depr'!P30</f>
        <v>142452.74702250006</v>
      </c>
      <c r="M25" s="740">
        <f>'202209 Bk Depr'!P30</f>
        <v>146555.62440300002</v>
      </c>
      <c r="N25" s="740">
        <f>'202210 Bk Depr'!P30</f>
        <v>149631.88978800003</v>
      </c>
      <c r="O25" s="740">
        <f>'202211 Bk Depr'!P30</f>
        <v>152482.24143450003</v>
      </c>
      <c r="P25" s="740">
        <f>'202212 Bk Depr'!P30</f>
        <v>156072.08314800003</v>
      </c>
      <c r="Q25" s="741">
        <f>SUM(E25:P25)</f>
        <v>1645668.3855890005</v>
      </c>
      <c r="R25" s="742"/>
      <c r="S25" s="749"/>
    </row>
    <row r="26" spans="1:19" s="743" customFormat="1" ht="22.5" customHeight="1">
      <c r="A26" s="737">
        <v>10</v>
      </c>
      <c r="B26" s="737"/>
      <c r="C26" s="752" t="s">
        <v>801</v>
      </c>
      <c r="D26" s="739">
        <f>'Rev Req 2021-Distr'!R26</f>
        <v>51396.25</v>
      </c>
      <c r="E26" s="740">
        <f>'Cap&amp;OpEx 2022'!C37</f>
        <v>93119.82</v>
      </c>
      <c r="F26" s="740">
        <f>'Cap&amp;OpEx 2022'!D37</f>
        <v>81714.570000000007</v>
      </c>
      <c r="G26" s="740">
        <f>'Cap&amp;OpEx 2022'!E37</f>
        <v>127556.17</v>
      </c>
      <c r="H26" s="740">
        <f>'Cap&amp;OpEx 2022'!F37</f>
        <v>155788.13</v>
      </c>
      <c r="I26" s="740">
        <f>'Cap&amp;OpEx 2022'!G37</f>
        <v>179384.31</v>
      </c>
      <c r="J26" s="740">
        <f>'Cap&amp;OpEx 2022'!H37</f>
        <v>53441.95</v>
      </c>
      <c r="K26" s="740">
        <f>'Cap&amp;OpEx 2022'!I37</f>
        <v>213850.29</v>
      </c>
      <c r="L26" s="740">
        <f>'Cap&amp;OpEx 2022'!J37</f>
        <v>161470.72</v>
      </c>
      <c r="M26" s="740">
        <f>'Cap&amp;OpEx 2022'!K37</f>
        <v>174469.74</v>
      </c>
      <c r="N26" s="740">
        <f>'Cap&amp;OpEx 2022'!L37</f>
        <v>130348.44</v>
      </c>
      <c r="O26" s="740">
        <f>'Cap&amp;OpEx 2022'!M37</f>
        <v>141569.46</v>
      </c>
      <c r="P26" s="740">
        <f>'Cap&amp;OpEx 2022'!N37</f>
        <v>134475.78</v>
      </c>
      <c r="Q26" s="741">
        <f>SUM(E26:P26)</f>
        <v>1647189.38</v>
      </c>
      <c r="R26" s="742"/>
      <c r="S26" s="749"/>
    </row>
    <row r="27" spans="1:19" s="743" customFormat="1" ht="22.5" customHeight="1">
      <c r="A27" s="737">
        <v>11</v>
      </c>
      <c r="B27" s="737"/>
      <c r="C27" s="743" t="s">
        <v>175</v>
      </c>
      <c r="D27" s="739">
        <f>'Rev Req 2021-Distr'!R27</f>
        <v>47941</v>
      </c>
      <c r="E27" s="740">
        <f>'Cap&amp;OpEx 2022'!C39</f>
        <v>52553</v>
      </c>
      <c r="F27" s="740">
        <f>'Cap&amp;OpEx 2022'!D39</f>
        <v>52553</v>
      </c>
      <c r="G27" s="740">
        <f>'Cap&amp;OpEx 2022'!E39</f>
        <v>52553</v>
      </c>
      <c r="H27" s="740">
        <f>'Cap&amp;OpEx 2022'!F39</f>
        <v>52553</v>
      </c>
      <c r="I27" s="740">
        <f>'Cap&amp;OpEx 2022'!G39</f>
        <v>52553</v>
      </c>
      <c r="J27" s="740">
        <f>'Cap&amp;OpEx 2022'!H39</f>
        <v>52553</v>
      </c>
      <c r="K27" s="740">
        <f>'Cap&amp;OpEx 2022'!I39</f>
        <v>52553</v>
      </c>
      <c r="L27" s="740">
        <f>'Cap&amp;OpEx 2022'!J39</f>
        <v>52553</v>
      </c>
      <c r="M27" s="740">
        <f>'Cap&amp;OpEx 2022'!K39</f>
        <v>52553</v>
      </c>
      <c r="N27" s="740">
        <f>'Cap&amp;OpEx 2022'!L39</f>
        <v>52553</v>
      </c>
      <c r="O27" s="740">
        <f>'Cap&amp;OpEx 2022'!M39</f>
        <v>52553</v>
      </c>
      <c r="P27" s="740">
        <f>'Cap&amp;OpEx 2022'!N39</f>
        <v>52553</v>
      </c>
      <c r="Q27" s="741">
        <f>SUM(E27:P27)</f>
        <v>630636</v>
      </c>
      <c r="R27" s="742"/>
      <c r="S27" s="749"/>
    </row>
    <row r="28" spans="1:19" s="743" customFormat="1">
      <c r="A28" s="737"/>
      <c r="B28" s="737"/>
      <c r="D28" s="753"/>
      <c r="E28" s="754"/>
      <c r="F28" s="754"/>
      <c r="G28" s="754"/>
      <c r="H28" s="754"/>
      <c r="I28" s="754"/>
      <c r="J28" s="754"/>
      <c r="K28" s="754"/>
      <c r="L28" s="754"/>
      <c r="M28" s="754"/>
      <c r="N28" s="754"/>
      <c r="O28" s="754"/>
      <c r="P28" s="754"/>
      <c r="Q28" s="755"/>
      <c r="R28" s="742"/>
      <c r="S28" s="749"/>
    </row>
    <row r="29" spans="1:19" s="743" customFormat="1" ht="22.5" customHeight="1">
      <c r="A29" s="737">
        <v>12</v>
      </c>
      <c r="B29" s="737"/>
      <c r="C29" s="743" t="s">
        <v>60</v>
      </c>
      <c r="D29" s="757">
        <f t="shared" ref="D29:P29" si="6">SUM(D25:D28)</f>
        <v>216683.63124950003</v>
      </c>
      <c r="E29" s="751">
        <f t="shared" si="6"/>
        <v>265538.52005050005</v>
      </c>
      <c r="F29" s="751">
        <f t="shared" si="6"/>
        <v>256389.67745900009</v>
      </c>
      <c r="G29" s="751">
        <f t="shared" si="6"/>
        <v>304932.15553950006</v>
      </c>
      <c r="H29" s="751">
        <f t="shared" si="6"/>
        <v>336260.19891100004</v>
      </c>
      <c r="I29" s="751">
        <f t="shared" si="6"/>
        <v>363173.19326300005</v>
      </c>
      <c r="J29" s="751">
        <f t="shared" si="6"/>
        <v>240429.36832350004</v>
      </c>
      <c r="K29" s="751">
        <f t="shared" si="6"/>
        <v>404476.92624650005</v>
      </c>
      <c r="L29" s="751">
        <f t="shared" si="6"/>
        <v>356476.46702250006</v>
      </c>
      <c r="M29" s="751">
        <f t="shared" si="6"/>
        <v>373578.36440299999</v>
      </c>
      <c r="N29" s="751">
        <f t="shared" si="6"/>
        <v>332533.32978800003</v>
      </c>
      <c r="O29" s="751">
        <f t="shared" si="6"/>
        <v>346604.70143450005</v>
      </c>
      <c r="P29" s="751">
        <f t="shared" si="6"/>
        <v>343100.86314800003</v>
      </c>
      <c r="Q29" s="741">
        <f>SUM(Q25:Q28)</f>
        <v>3923493.7655890007</v>
      </c>
      <c r="R29" s="742"/>
      <c r="S29" s="749"/>
    </row>
    <row r="30" spans="1:19" s="743" customFormat="1">
      <c r="A30" s="737"/>
      <c r="B30" s="737"/>
      <c r="D30" s="758"/>
      <c r="E30" s="752"/>
      <c r="F30" s="752"/>
      <c r="G30" s="752"/>
      <c r="H30" s="752"/>
      <c r="I30" s="752"/>
      <c r="J30" s="752"/>
      <c r="K30" s="752"/>
      <c r="L30" s="752"/>
      <c r="M30" s="752"/>
      <c r="N30" s="752"/>
      <c r="O30" s="752"/>
      <c r="P30" s="752"/>
      <c r="Q30" s="759"/>
      <c r="R30" s="742"/>
      <c r="S30" s="749"/>
    </row>
    <row r="31" spans="1:19" s="743" customFormat="1" ht="22.5" customHeight="1">
      <c r="A31" s="737">
        <v>13</v>
      </c>
      <c r="B31" s="767" t="s">
        <v>162</v>
      </c>
      <c r="D31" s="768">
        <f t="shared" ref="D31:P31" si="7">D22+D29</f>
        <v>482096.15560118802</v>
      </c>
      <c r="E31" s="769">
        <f t="shared" si="7"/>
        <v>535924.45365828765</v>
      </c>
      <c r="F31" s="769">
        <f t="shared" si="7"/>
        <v>532940.84575235727</v>
      </c>
      <c r="G31" s="769">
        <f t="shared" si="7"/>
        <v>588696.32508678373</v>
      </c>
      <c r="H31" s="769">
        <f t="shared" si="7"/>
        <v>626900.14440776815</v>
      </c>
      <c r="I31" s="769">
        <f t="shared" si="7"/>
        <v>661382.65998098522</v>
      </c>
      <c r="J31" s="769">
        <f t="shared" si="7"/>
        <v>544265.19705373934</v>
      </c>
      <c r="K31" s="769">
        <f t="shared" si="7"/>
        <v>717612.10777416977</v>
      </c>
      <c r="L31" s="769">
        <f t="shared" si="7"/>
        <v>678719.15535753162</v>
      </c>
      <c r="M31" s="769">
        <f t="shared" si="7"/>
        <v>703527.87432488473</v>
      </c>
      <c r="N31" s="769">
        <f t="shared" si="7"/>
        <v>666393.30511964276</v>
      </c>
      <c r="O31" s="769">
        <f t="shared" si="7"/>
        <v>685825.04975847411</v>
      </c>
      <c r="P31" s="769">
        <f t="shared" si="7"/>
        <v>689216.49298608513</v>
      </c>
      <c r="Q31" s="770">
        <f>Q22+Q29</f>
        <v>7591175.953302905</v>
      </c>
      <c r="R31" s="742"/>
      <c r="S31" s="749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35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35" s="31" customFormat="1">
      <c r="B34" s="31" t="s">
        <v>1032</v>
      </c>
      <c r="D34" s="518"/>
      <c r="E34" s="518"/>
      <c r="F34" s="518"/>
      <c r="G34" s="518"/>
      <c r="H34" s="518"/>
      <c r="I34" s="518"/>
      <c r="J34" s="518"/>
      <c r="K34" s="518"/>
      <c r="L34" s="518"/>
      <c r="M34" s="81"/>
      <c r="N34" s="81"/>
      <c r="O34" s="81"/>
      <c r="R34"/>
    </row>
    <row r="35" spans="1:35" s="31" customFormat="1" ht="20.25" customHeight="1">
      <c r="B35" s="30" t="s">
        <v>1041</v>
      </c>
      <c r="C35" s="518"/>
      <c r="D35" s="518"/>
      <c r="E35" s="518"/>
      <c r="F35" s="518"/>
      <c r="G35" s="518"/>
      <c r="H35" s="518"/>
      <c r="I35" s="518"/>
      <c r="J35" s="518"/>
      <c r="K35" s="518"/>
      <c r="L35" s="518"/>
      <c r="M35" s="518"/>
      <c r="N35" s="518"/>
      <c r="O35" s="518"/>
      <c r="P35" s="518"/>
      <c r="Q35" s="518"/>
      <c r="R35"/>
      <c r="S35" s="13"/>
      <c r="T35" s="13"/>
      <c r="U35" s="13"/>
      <c r="V35" s="13"/>
      <c r="W35" s="13"/>
      <c r="X35" s="13"/>
      <c r="Y35" s="13"/>
      <c r="Z35" s="13"/>
      <c r="AA35" s="13"/>
    </row>
    <row r="36" spans="1:35">
      <c r="A36" s="159"/>
      <c r="B36" s="518"/>
      <c r="C36" s="518"/>
      <c r="D36" s="518"/>
      <c r="E36" s="518"/>
      <c r="F36" s="518"/>
      <c r="G36" s="518"/>
      <c r="H36" s="518"/>
      <c r="I36" s="518"/>
      <c r="J36" s="518"/>
      <c r="K36" s="518"/>
      <c r="L36" s="518"/>
      <c r="M36" s="518"/>
      <c r="N36" s="518"/>
      <c r="O36" s="518"/>
      <c r="P36" s="518"/>
      <c r="Q36" s="518"/>
      <c r="S36" s="23"/>
      <c r="T36" s="23"/>
      <c r="U36" s="23"/>
      <c r="V36" s="23"/>
      <c r="W36" s="23"/>
      <c r="X36" s="23"/>
      <c r="Y36" s="23"/>
      <c r="Z36" s="23"/>
      <c r="AA36" s="23"/>
    </row>
    <row r="37" spans="1:35">
      <c r="A37" s="159"/>
      <c r="B37" s="159"/>
      <c r="C37" s="161"/>
      <c r="D37" s="579"/>
      <c r="E37" s="579"/>
      <c r="F37" s="579"/>
      <c r="G37" s="579"/>
      <c r="H37" s="579"/>
      <c r="I37" s="579"/>
      <c r="J37" s="579"/>
      <c r="K37" s="580"/>
      <c r="L37" s="579"/>
      <c r="M37" s="579"/>
      <c r="N37" s="579"/>
      <c r="O37" s="579"/>
      <c r="P37" s="579"/>
      <c r="Q37" s="579"/>
      <c r="R37" s="579"/>
      <c r="S37" s="23"/>
      <c r="T37" s="23"/>
      <c r="U37" s="23"/>
      <c r="V37" s="23"/>
      <c r="W37" s="23"/>
      <c r="X37" s="23"/>
      <c r="Y37" s="23"/>
      <c r="Z37" s="23"/>
      <c r="AA37" s="23"/>
    </row>
    <row r="38" spans="1:35">
      <c r="A38" s="23"/>
      <c r="B38" s="23"/>
      <c r="C38" s="163"/>
      <c r="D38" s="481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23"/>
      <c r="T38" s="23"/>
      <c r="U38" s="23"/>
      <c r="V38" s="23"/>
      <c r="W38" s="23"/>
      <c r="X38" s="23"/>
      <c r="Y38" s="23"/>
      <c r="Z38" s="23"/>
      <c r="AA38" s="23"/>
    </row>
    <row r="39" spans="1:35">
      <c r="A39" s="23"/>
      <c r="B39" s="164"/>
      <c r="C39" s="165"/>
      <c r="D39" s="481"/>
      <c r="E39" s="480"/>
      <c r="F39" s="480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  <c r="R39" s="482"/>
      <c r="S39" s="23"/>
      <c r="T39" s="23"/>
      <c r="U39" s="23"/>
      <c r="V39" s="23"/>
      <c r="W39" s="23"/>
      <c r="X39" s="23"/>
      <c r="Y39" s="23"/>
      <c r="Z39" s="23"/>
      <c r="AA39" s="23"/>
    </row>
    <row r="40" spans="1:35">
      <c r="A40" s="23"/>
      <c r="B40" s="23"/>
      <c r="C40" s="165"/>
      <c r="D40" s="481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23"/>
      <c r="T40" s="23"/>
      <c r="U40" s="23"/>
      <c r="V40" s="23"/>
      <c r="W40" s="23"/>
      <c r="X40" s="23"/>
      <c r="Y40" s="23"/>
      <c r="Z40" s="23"/>
      <c r="AA40" s="23"/>
    </row>
    <row r="41" spans="1:3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3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35">
      <c r="A43" s="23"/>
      <c r="B43" s="23"/>
      <c r="C43" s="23"/>
      <c r="D43" s="23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35">
      <c r="A44" s="20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35">
      <c r="A45" s="167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35">
      <c r="A46" s="167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35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35">
      <c r="A48" s="159"/>
      <c r="B48" s="159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19"/>
      <c r="U48" s="20"/>
      <c r="V48" s="20"/>
      <c r="W48" s="20"/>
      <c r="X48" s="20"/>
      <c r="Y48" s="20"/>
      <c r="Z48" s="20"/>
      <c r="AA48" s="20"/>
      <c r="AB48" s="94"/>
      <c r="AC48" s="94"/>
      <c r="AD48" s="94"/>
      <c r="AE48" s="94"/>
      <c r="AF48" s="94"/>
      <c r="AG48" s="94"/>
      <c r="AH48" s="94"/>
      <c r="AI48" s="94"/>
    </row>
    <row r="49" spans="1:35">
      <c r="A49" s="21"/>
      <c r="B49" s="159"/>
      <c r="C49" s="23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S49" s="23"/>
      <c r="T49" s="21"/>
      <c r="U49" s="22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>
      <c r="A50" s="84"/>
      <c r="B50" s="159"/>
      <c r="C50" s="84"/>
      <c r="D50" s="83"/>
      <c r="E50" s="84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S50" s="23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>
      <c r="A51" s="21"/>
      <c r="B51" s="15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S51" s="23"/>
      <c r="T51" s="21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</row>
    <row r="52" spans="1:35">
      <c r="A52" s="159"/>
      <c r="B52" s="159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S52" s="23"/>
      <c r="T52" s="21"/>
      <c r="U52" s="24"/>
      <c r="V52" s="24"/>
      <c r="W52" s="24"/>
      <c r="X52" s="24"/>
      <c r="Y52" s="24"/>
      <c r="Z52" s="24"/>
      <c r="AA52" s="25"/>
      <c r="AB52" s="24"/>
      <c r="AC52" s="25"/>
      <c r="AD52" s="25"/>
      <c r="AE52" s="25"/>
      <c r="AF52" s="24"/>
      <c r="AG52" s="24"/>
      <c r="AH52" s="24"/>
      <c r="AI52" s="24"/>
    </row>
    <row r="53" spans="1:35">
      <c r="A53" s="159"/>
      <c r="B53" s="169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3"/>
      <c r="T53" s="21"/>
      <c r="U53" s="24"/>
      <c r="V53" s="24"/>
      <c r="W53" s="24"/>
      <c r="X53" s="24"/>
      <c r="Y53" s="24"/>
      <c r="Z53" s="24"/>
      <c r="AA53" s="25"/>
      <c r="AB53" s="24"/>
      <c r="AC53" s="24"/>
      <c r="AD53" s="24"/>
      <c r="AE53" s="25"/>
      <c r="AF53" s="24"/>
      <c r="AG53" s="24"/>
      <c r="AH53" s="24"/>
      <c r="AI53" s="24"/>
    </row>
    <row r="54" spans="1:35">
      <c r="A54" s="159"/>
      <c r="B54" s="159"/>
      <c r="C54" s="161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S54" s="23"/>
      <c r="T54" s="21"/>
      <c r="U54" s="24"/>
      <c r="V54" s="24"/>
      <c r="W54" s="24"/>
      <c r="X54" s="24"/>
      <c r="Y54" s="24"/>
      <c r="Z54" s="24"/>
      <c r="AA54" s="25"/>
      <c r="AB54" s="24"/>
      <c r="AC54" s="24"/>
      <c r="AD54" s="24"/>
      <c r="AE54" s="25"/>
      <c r="AF54" s="24"/>
      <c r="AG54" s="24"/>
      <c r="AH54" s="24"/>
      <c r="AI54" s="24"/>
    </row>
    <row r="55" spans="1:35">
      <c r="A55" s="159"/>
      <c r="B55" s="159"/>
      <c r="C55" s="23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S55" s="23"/>
      <c r="T55" s="21"/>
      <c r="U55" s="24"/>
      <c r="V55" s="24"/>
      <c r="W55" s="24"/>
      <c r="X55" s="24"/>
      <c r="Y55" s="24"/>
      <c r="Z55" s="24"/>
      <c r="AA55" s="25"/>
      <c r="AB55" s="24"/>
      <c r="AC55" s="24"/>
      <c r="AD55" s="24"/>
      <c r="AE55" s="25"/>
      <c r="AF55" s="24"/>
      <c r="AG55" s="24"/>
      <c r="AH55" s="24"/>
      <c r="AI55" s="24"/>
    </row>
    <row r="56" spans="1:35">
      <c r="A56" s="159"/>
      <c r="B56" s="159"/>
      <c r="C56" s="23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S56" s="23"/>
      <c r="T56" s="21"/>
      <c r="U56" s="24"/>
      <c r="V56" s="24"/>
      <c r="W56" s="24"/>
      <c r="X56" s="24"/>
      <c r="Y56" s="24"/>
      <c r="Z56" s="24"/>
      <c r="AA56" s="25"/>
      <c r="AB56" s="24"/>
      <c r="AC56" s="24"/>
      <c r="AD56" s="24"/>
      <c r="AE56" s="25"/>
      <c r="AF56" s="24"/>
      <c r="AG56" s="24"/>
      <c r="AH56" s="24"/>
      <c r="AI56" s="24"/>
    </row>
    <row r="57" spans="1:35">
      <c r="A57" s="159"/>
      <c r="B57" s="159"/>
      <c r="C57" s="23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1"/>
      <c r="U57" s="23"/>
      <c r="V57" s="23"/>
      <c r="W57" s="23"/>
      <c r="X57" s="23"/>
      <c r="Y57" s="23"/>
      <c r="Z57" s="23"/>
      <c r="AA57" s="25"/>
      <c r="AB57" s="24"/>
      <c r="AC57" s="24"/>
      <c r="AD57" s="24"/>
      <c r="AE57" s="25"/>
      <c r="AF57" s="24"/>
      <c r="AG57" s="24"/>
      <c r="AH57" s="24"/>
      <c r="AI57" s="24"/>
    </row>
    <row r="58" spans="1:35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1"/>
      <c r="U58" s="23"/>
      <c r="V58" s="23"/>
      <c r="W58" s="23"/>
      <c r="X58" s="23"/>
      <c r="Y58" s="23"/>
      <c r="Z58" s="23"/>
      <c r="AA58" s="25"/>
      <c r="AB58" s="24"/>
      <c r="AC58" s="24"/>
      <c r="AD58" s="24"/>
      <c r="AE58" s="25"/>
      <c r="AF58" s="24"/>
      <c r="AG58" s="24"/>
      <c r="AH58" s="24"/>
      <c r="AI58" s="24"/>
    </row>
    <row r="59" spans="1:35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1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spans="1:35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3"/>
      <c r="V60" s="23"/>
      <c r="W60" s="23"/>
      <c r="X60" s="23"/>
      <c r="Y60" s="23"/>
      <c r="Z60" s="23"/>
      <c r="AA60" s="23"/>
    </row>
    <row r="61" spans="1:35">
      <c r="A61" s="159"/>
      <c r="B61" s="159"/>
      <c r="C61" s="161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3"/>
      <c r="V61" s="23"/>
      <c r="W61" s="23"/>
      <c r="X61" s="23"/>
      <c r="Y61" s="23"/>
      <c r="Z61" s="23"/>
      <c r="AA61" s="23"/>
    </row>
    <row r="62" spans="1:35">
      <c r="A62" s="159"/>
      <c r="B62" s="159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1:35">
      <c r="A63" s="159"/>
      <c r="B63" s="159"/>
      <c r="C63" s="23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S63" s="23"/>
      <c r="T63" s="23"/>
      <c r="U63" s="23"/>
      <c r="V63" s="23"/>
      <c r="W63" s="23"/>
      <c r="X63" s="23"/>
      <c r="Y63" s="23"/>
      <c r="Z63" s="23"/>
      <c r="AA63" s="23"/>
    </row>
    <row r="64" spans="1:35">
      <c r="A64" s="159"/>
      <c r="B64" s="159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27">
      <c r="A65" s="159"/>
      <c r="B65" s="159"/>
      <c r="C65" s="2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S65" s="23"/>
      <c r="T65" s="23"/>
      <c r="U65" s="23"/>
      <c r="V65" s="23"/>
      <c r="W65" s="23"/>
      <c r="X65" s="23"/>
      <c r="Y65" s="23"/>
      <c r="Z65" s="23"/>
      <c r="AA65" s="23"/>
    </row>
    <row r="66" spans="1:27">
      <c r="A66" s="159"/>
      <c r="B66" s="159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1:27">
      <c r="A67" s="159"/>
      <c r="B67" s="16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1:27">
      <c r="A68" s="159"/>
      <c r="B68" s="159"/>
      <c r="C68" s="23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S68" s="23"/>
      <c r="T68" s="23"/>
      <c r="U68" s="23"/>
      <c r="V68" s="23"/>
      <c r="W68" s="23"/>
      <c r="X68" s="23"/>
      <c r="Y68" s="23"/>
      <c r="Z68" s="23"/>
      <c r="AA68" s="23"/>
    </row>
    <row r="69" spans="1:27">
      <c r="A69" s="159"/>
      <c r="B69" s="159"/>
      <c r="C69" s="23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S69" s="23"/>
      <c r="T69" s="23"/>
      <c r="U69" s="23"/>
      <c r="V69" s="23"/>
      <c r="W69" s="23"/>
      <c r="X69" s="23"/>
      <c r="Y69" s="23"/>
      <c r="Z69" s="23"/>
      <c r="AA69" s="23"/>
    </row>
    <row r="70" spans="1:27">
      <c r="A70" s="159"/>
      <c r="B70" s="159"/>
      <c r="C70" s="23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S70" s="23"/>
      <c r="T70" s="23"/>
      <c r="U70" s="23"/>
      <c r="V70" s="23"/>
      <c r="W70" s="23"/>
      <c r="X70" s="23"/>
      <c r="Y70" s="23"/>
      <c r="Z70" s="23"/>
      <c r="AA70" s="23"/>
    </row>
    <row r="71" spans="1:27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</row>
    <row r="72" spans="1:27">
      <c r="A72" s="159"/>
      <c r="B72" s="159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1:27">
      <c r="A73" s="159"/>
      <c r="B73" s="169"/>
      <c r="C73" s="2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S73" s="23"/>
      <c r="T73" s="23"/>
      <c r="U73" s="23"/>
      <c r="V73" s="23"/>
      <c r="W73" s="23"/>
      <c r="X73" s="23"/>
      <c r="Y73" s="23"/>
      <c r="Z73" s="23"/>
      <c r="AA73" s="23"/>
    </row>
    <row r="74" spans="1:27">
      <c r="A74" s="159"/>
      <c r="B74" s="159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1:27">
      <c r="A75" s="159"/>
      <c r="B75" s="169"/>
      <c r="C75" s="23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S75" s="23"/>
      <c r="T75" s="23"/>
      <c r="U75" s="23"/>
      <c r="V75" s="23"/>
      <c r="W75" s="23"/>
      <c r="X75" s="23"/>
      <c r="Y75" s="23"/>
      <c r="Z75" s="23"/>
      <c r="AA75" s="23"/>
    </row>
    <row r="76" spans="1:27">
      <c r="A76" s="159"/>
      <c r="B76" s="169"/>
      <c r="C76" s="23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S76" s="23"/>
      <c r="T76" s="23"/>
      <c r="U76" s="23"/>
      <c r="V76" s="23"/>
      <c r="W76" s="23"/>
      <c r="X76" s="23"/>
      <c r="Y76" s="23"/>
      <c r="Z76" s="23"/>
      <c r="AA76" s="23"/>
    </row>
    <row r="77" spans="1:27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1:27">
      <c r="A78" s="159"/>
      <c r="B78" s="160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1:27">
      <c r="A79" s="159"/>
      <c r="B79" s="159"/>
      <c r="C79" s="161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S79" s="23"/>
      <c r="T79" s="23"/>
      <c r="U79" s="23"/>
      <c r="V79" s="23"/>
      <c r="W79" s="23"/>
      <c r="X79" s="23"/>
      <c r="Y79" s="23"/>
      <c r="Z79" s="23"/>
      <c r="AA79" s="23"/>
    </row>
    <row r="80" spans="1:27">
      <c r="A80" s="159"/>
      <c r="B80" s="159"/>
      <c r="C80" s="161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S80" s="23"/>
      <c r="T80" s="23"/>
      <c r="U80" s="23"/>
      <c r="V80" s="23"/>
      <c r="W80" s="23"/>
      <c r="X80" s="23"/>
      <c r="Y80" s="23"/>
      <c r="Z80" s="23"/>
      <c r="AA80" s="23"/>
    </row>
    <row r="81" spans="1:27">
      <c r="A81" s="159"/>
      <c r="B81" s="159"/>
      <c r="C81" s="161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S81" s="23"/>
      <c r="T81" s="23"/>
      <c r="U81" s="23"/>
      <c r="V81" s="23"/>
      <c r="W81" s="23"/>
      <c r="X81" s="23"/>
      <c r="Y81" s="23"/>
      <c r="Z81" s="23"/>
      <c r="AA81" s="23"/>
    </row>
    <row r="82" spans="1:27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</row>
    <row r="83" spans="1:27">
      <c r="A83" s="159"/>
      <c r="B83" s="159"/>
      <c r="C83" s="17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1:27">
      <c r="A84" s="159"/>
      <c r="B84" s="164"/>
      <c r="C84" s="165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1:27">
      <c r="A85" s="159"/>
      <c r="B85" s="159"/>
      <c r="C85" s="165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1:2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1:2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1:2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1:2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1:2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1:2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1:2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1:2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1:2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1:2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1:2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1:2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1:2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1:2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1:2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1:2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1:2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1:2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8" spans="1:27">
      <c r="A108" s="128"/>
      <c r="B108" s="128"/>
      <c r="C108" s="129"/>
      <c r="D108" s="129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82"/>
    </row>
    <row r="116" spans="14:17">
      <c r="N116"/>
      <c r="O116"/>
      <c r="P116"/>
      <c r="Q116"/>
    </row>
    <row r="117" spans="14:17">
      <c r="N117"/>
      <c r="O117"/>
      <c r="P117"/>
      <c r="Q117"/>
    </row>
    <row r="118" spans="14:17">
      <c r="N118"/>
      <c r="O118"/>
      <c r="P118"/>
      <c r="Q118"/>
    </row>
    <row r="119" spans="14:17">
      <c r="N119"/>
      <c r="O119"/>
      <c r="P119"/>
      <c r="Q119"/>
    </row>
    <row r="120" spans="14:17">
      <c r="N120"/>
      <c r="O120"/>
      <c r="P120"/>
      <c r="Q120"/>
    </row>
    <row r="121" spans="14:17">
      <c r="N121"/>
      <c r="O121"/>
      <c r="P121"/>
      <c r="Q121"/>
    </row>
    <row r="122" spans="14:17">
      <c r="N122"/>
      <c r="O122"/>
      <c r="P122"/>
      <c r="Q122"/>
    </row>
    <row r="123" spans="14:17">
      <c r="N123"/>
      <c r="O123"/>
      <c r="P123"/>
      <c r="Q123"/>
    </row>
    <row r="124" spans="14:17">
      <c r="N124"/>
      <c r="O124"/>
      <c r="P124"/>
      <c r="Q124"/>
    </row>
    <row r="125" spans="14:17">
      <c r="N125"/>
      <c r="O125"/>
      <c r="P125"/>
      <c r="Q125"/>
    </row>
    <row r="126" spans="14:17">
      <c r="N126"/>
      <c r="O126"/>
      <c r="P126"/>
      <c r="Q126"/>
    </row>
    <row r="127" spans="14:17">
      <c r="N127"/>
      <c r="O127"/>
      <c r="P127"/>
      <c r="Q127"/>
    </row>
    <row r="128" spans="14:17">
      <c r="N128"/>
      <c r="O128"/>
      <c r="P128"/>
      <c r="Q128"/>
    </row>
    <row r="129" spans="14:17">
      <c r="N129"/>
      <c r="O129"/>
      <c r="P129"/>
      <c r="Q129"/>
    </row>
    <row r="130" spans="14:17">
      <c r="N130"/>
      <c r="O130"/>
      <c r="P130"/>
      <c r="Q130"/>
    </row>
    <row r="131" spans="14:17">
      <c r="N131"/>
      <c r="O131"/>
      <c r="P131"/>
      <c r="Q131"/>
    </row>
  </sheetData>
  <mergeCells count="1">
    <mergeCell ref="AB5:AI5"/>
  </mergeCells>
  <pageMargins left="0.7" right="0.7" top="0.75" bottom="0.75" header="0.3" footer="0.3"/>
  <pageSetup scale="35" orientation="landscape" blackAndWhite="1" r:id="rId1"/>
  <headerFooter>
    <oddFooter>&amp;L&amp;1#&amp;"Calibri"&amp;14&amp;K000000Business Use</oddFooter>
  </headerFooter>
  <colBreaks count="1" manualBreakCount="1">
    <brk id="1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FF7F-6253-4845-96F7-0BD76DE5E65F}">
  <sheetPr>
    <tabColor rgb="FF002060"/>
    <pageSetUpPr fitToPage="1"/>
  </sheetPr>
  <dimension ref="A1:AD57"/>
  <sheetViews>
    <sheetView showGridLines="0" zoomScale="90" zoomScaleNormal="90" zoomScaleSheetLayoutView="80" workbookViewId="0"/>
  </sheetViews>
  <sheetFormatPr defaultColWidth="9.140625" defaultRowHeight="15.75" outlineLevelRow="1"/>
  <cols>
    <col min="1" max="1" width="9.140625" style="372"/>
    <col min="2" max="2" width="46.42578125" style="26" bestFit="1" customWidth="1"/>
    <col min="3" max="15" width="14.5703125" style="26" customWidth="1"/>
    <col min="16" max="16" width="22.42578125" style="372" customWidth="1"/>
    <col min="17" max="17" width="6.7109375" style="372" bestFit="1" customWidth="1"/>
    <col min="18" max="18" width="8.140625" style="372" customWidth="1"/>
    <col min="19" max="30" width="14.85546875" style="372" customWidth="1"/>
    <col min="31" max="31" width="9.140625" style="372"/>
    <col min="32" max="32" width="10.5703125" style="372" bestFit="1" customWidth="1"/>
    <col min="33" max="16384" width="9.140625" style="372"/>
  </cols>
  <sheetData>
    <row r="1" spans="1:30" ht="18.75">
      <c r="A1" s="191" t="s">
        <v>65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379"/>
      <c r="Y1" s="379"/>
      <c r="Z1" s="379"/>
      <c r="AA1" s="379"/>
      <c r="AB1" s="379"/>
      <c r="AC1" s="379"/>
      <c r="AD1" s="379"/>
    </row>
    <row r="2" spans="1:30" ht="18.75">
      <c r="A2" s="191" t="s">
        <v>251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379"/>
      <c r="Y2" s="379"/>
      <c r="Z2" s="379"/>
      <c r="AA2" s="379"/>
      <c r="AB2" s="379"/>
      <c r="AC2" s="379"/>
      <c r="AD2" s="379"/>
    </row>
    <row r="3" spans="1:30" ht="18.75">
      <c r="A3" s="191" t="s">
        <v>158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379"/>
      <c r="Y3" s="379"/>
      <c r="Z3" s="379"/>
      <c r="AA3" s="379"/>
      <c r="AB3" s="379"/>
      <c r="AC3" s="379"/>
      <c r="AD3" s="379"/>
    </row>
    <row r="4" spans="1:30" ht="5.25" customHeight="1">
      <c r="Q4" s="379"/>
      <c r="R4" s="379"/>
      <c r="S4" s="379"/>
      <c r="T4" s="379"/>
      <c r="U4" s="379"/>
      <c r="V4" s="379"/>
      <c r="X4" s="379"/>
      <c r="Y4" s="379"/>
      <c r="Z4" s="379"/>
      <c r="AA4" s="379"/>
      <c r="AB4" s="379"/>
      <c r="AC4" s="379"/>
      <c r="AD4" s="379"/>
    </row>
    <row r="5" spans="1:30" s="29" customFormat="1">
      <c r="A5" s="43" t="s">
        <v>4</v>
      </c>
      <c r="B5" s="42"/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 t="s">
        <v>67</v>
      </c>
      <c r="P5" s="378"/>
      <c r="Q5" s="372"/>
      <c r="R5" s="372"/>
      <c r="S5" s="372"/>
      <c r="T5" s="372"/>
      <c r="U5" s="372"/>
      <c r="V5" s="372"/>
      <c r="W5" s="372"/>
    </row>
    <row r="6" spans="1:30" ht="16.5" thickBot="1">
      <c r="A6" s="44" t="s">
        <v>5</v>
      </c>
      <c r="B6" s="44" t="s">
        <v>6</v>
      </c>
      <c r="C6" s="705" t="s">
        <v>83</v>
      </c>
      <c r="D6" s="705" t="s">
        <v>84</v>
      </c>
      <c r="E6" s="705" t="s">
        <v>253</v>
      </c>
      <c r="F6" s="705" t="s">
        <v>254</v>
      </c>
      <c r="G6" s="705" t="s">
        <v>85</v>
      </c>
      <c r="H6" s="705" t="s">
        <v>255</v>
      </c>
      <c r="I6" s="705" t="s">
        <v>86</v>
      </c>
      <c r="J6" s="705" t="s">
        <v>87</v>
      </c>
      <c r="K6" s="705" t="s">
        <v>88</v>
      </c>
      <c r="L6" s="705" t="s">
        <v>89</v>
      </c>
      <c r="M6" s="705" t="s">
        <v>1043</v>
      </c>
      <c r="N6" s="705" t="s">
        <v>1044</v>
      </c>
      <c r="O6" s="705">
        <v>2022</v>
      </c>
    </row>
    <row r="7" spans="1:30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Q7" s="582"/>
      <c r="R7" s="582"/>
      <c r="S7" s="582"/>
      <c r="T7" s="582"/>
      <c r="U7" s="582"/>
    </row>
    <row r="8" spans="1:30" ht="5.25" customHeight="1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Q8" s="582"/>
      <c r="R8" s="582"/>
      <c r="S8" s="582"/>
      <c r="T8" s="582"/>
      <c r="U8" s="582"/>
    </row>
    <row r="9" spans="1:30">
      <c r="A9" s="378">
        <v>1</v>
      </c>
      <c r="B9" s="26" t="s">
        <v>246</v>
      </c>
      <c r="C9" s="364">
        <v>0</v>
      </c>
      <c r="D9" s="364">
        <v>0</v>
      </c>
      <c r="E9" s="364">
        <v>0</v>
      </c>
      <c r="F9" s="364">
        <v>0</v>
      </c>
      <c r="G9" s="364">
        <v>0</v>
      </c>
      <c r="H9" s="364">
        <v>0</v>
      </c>
      <c r="I9" s="364">
        <v>0</v>
      </c>
      <c r="J9" s="364">
        <v>0</v>
      </c>
      <c r="K9" s="364">
        <v>0</v>
      </c>
      <c r="L9" s="364">
        <v>0</v>
      </c>
      <c r="M9" s="364">
        <v>0</v>
      </c>
      <c r="N9" s="364">
        <v>0</v>
      </c>
      <c r="O9" s="364">
        <f>SUM(C9:N9)</f>
        <v>0</v>
      </c>
      <c r="P9" s="380"/>
      <c r="Q9" s="582"/>
      <c r="R9" s="582"/>
      <c r="S9" s="582"/>
    </row>
    <row r="10" spans="1:30" hidden="1" outlineLevel="1">
      <c r="A10" s="378">
        <f>A9+1</f>
        <v>2</v>
      </c>
      <c r="B10" s="26" t="s">
        <v>247</v>
      </c>
      <c r="C10" s="364">
        <v>0</v>
      </c>
      <c r="D10" s="364">
        <v>0</v>
      </c>
      <c r="E10" s="364">
        <v>0</v>
      </c>
      <c r="F10" s="364">
        <v>0</v>
      </c>
      <c r="G10" s="364">
        <v>0</v>
      </c>
      <c r="H10" s="364">
        <v>0</v>
      </c>
      <c r="I10" s="364">
        <v>0</v>
      </c>
      <c r="J10" s="364">
        <v>0</v>
      </c>
      <c r="K10" s="364">
        <v>0</v>
      </c>
      <c r="L10" s="364">
        <v>0</v>
      </c>
      <c r="M10" s="364">
        <v>0</v>
      </c>
      <c r="N10" s="364">
        <v>0</v>
      </c>
      <c r="O10" s="364">
        <f t="shared" ref="O10:O13" si="0">SUM(C10:N10)</f>
        <v>0</v>
      </c>
      <c r="P10" s="380"/>
      <c r="Q10" s="582"/>
      <c r="R10" s="582"/>
      <c r="S10" s="582"/>
    </row>
    <row r="11" spans="1:30" collapsed="1">
      <c r="A11" s="378">
        <f>A9+1</f>
        <v>2</v>
      </c>
      <c r="B11" s="26" t="s">
        <v>77</v>
      </c>
      <c r="C11" s="364">
        <f>'2022 Capital Budget'!F41</f>
        <v>110893.83</v>
      </c>
      <c r="D11" s="364">
        <f>'2022 Capital Budget'!G41</f>
        <v>194528.65</v>
      </c>
      <c r="E11" s="364">
        <f>'2022 Capital Budget'!H41</f>
        <v>366443.06</v>
      </c>
      <c r="F11" s="364">
        <f>'2022 Capital Budget'!I41</f>
        <v>392895.84</v>
      </c>
      <c r="G11" s="364">
        <f>'2022 Capital Budget'!J41</f>
        <v>566446.77</v>
      </c>
      <c r="H11" s="364">
        <f>'2022 Capital Budget'!K41</f>
        <v>453237.13</v>
      </c>
      <c r="I11" s="364">
        <f>'2022 Capital Budget'!L41</f>
        <v>795836.38000000012</v>
      </c>
      <c r="J11" s="364">
        <f>'2022 Capital Budget'!M41</f>
        <v>510533.66</v>
      </c>
      <c r="K11" s="364">
        <f>'2022 Capital Budget'!N41</f>
        <v>615726.25</v>
      </c>
      <c r="L11" s="364">
        <f>'2022 Capital Budget'!O41</f>
        <v>57375.8</v>
      </c>
      <c r="M11" s="364">
        <f>'2022 Capital Budget'!P41</f>
        <v>501193.86</v>
      </c>
      <c r="N11" s="364">
        <f>'2022 Capital Budget'!Q41</f>
        <v>542980.05999999994</v>
      </c>
      <c r="O11" s="364">
        <f t="shared" si="0"/>
        <v>5108091.29</v>
      </c>
      <c r="P11" s="701"/>
      <c r="Q11" s="582"/>
      <c r="R11" s="582"/>
      <c r="S11" s="582"/>
      <c r="T11" s="488">
        <f>'2022 Capital Budget'!R39</f>
        <v>14693763.399999995</v>
      </c>
      <c r="U11" s="582" t="s">
        <v>654</v>
      </c>
    </row>
    <row r="12" spans="1:30">
      <c r="A12" s="378">
        <f>A11+1</f>
        <v>3</v>
      </c>
      <c r="B12" s="26" t="s">
        <v>78</v>
      </c>
      <c r="C12" s="364">
        <v>0</v>
      </c>
      <c r="D12" s="364">
        <v>0</v>
      </c>
      <c r="E12" s="364">
        <v>0</v>
      </c>
      <c r="F12" s="364">
        <v>0</v>
      </c>
      <c r="G12" s="364">
        <v>0</v>
      </c>
      <c r="H12" s="364">
        <v>0</v>
      </c>
      <c r="I12" s="364">
        <v>0</v>
      </c>
      <c r="J12" s="364">
        <v>0</v>
      </c>
      <c r="K12" s="364">
        <v>0</v>
      </c>
      <c r="L12" s="364">
        <v>0</v>
      </c>
      <c r="M12" s="364">
        <v>0</v>
      </c>
      <c r="N12" s="364">
        <v>0</v>
      </c>
      <c r="O12" s="364">
        <f t="shared" si="0"/>
        <v>0</v>
      </c>
      <c r="P12" s="702"/>
      <c r="Q12" s="582"/>
      <c r="R12" s="582"/>
      <c r="S12" s="582"/>
      <c r="T12" s="583">
        <f>'Base Rate Retirements 2022'!N12</f>
        <v>63812.5</v>
      </c>
      <c r="U12" s="582" t="s">
        <v>655</v>
      </c>
    </row>
    <row r="13" spans="1:30">
      <c r="A13" s="378">
        <f>A12+1</f>
        <v>4</v>
      </c>
      <c r="B13" s="26" t="s">
        <v>159</v>
      </c>
      <c r="C13" s="338">
        <f>'2022 Capital Budget'!F40</f>
        <v>684924.39999999991</v>
      </c>
      <c r="D13" s="338">
        <f>'2022 Capital Budget'!G40</f>
        <v>795280.83000000007</v>
      </c>
      <c r="E13" s="338">
        <f>'2022 Capital Budget'!H40</f>
        <v>792617.00999999978</v>
      </c>
      <c r="F13" s="338">
        <f>'2022 Capital Budget'!I40</f>
        <v>773858.29999999993</v>
      </c>
      <c r="G13" s="338">
        <f>'2022 Capital Budget'!J40</f>
        <v>723698.60999999987</v>
      </c>
      <c r="H13" s="338">
        <f>'2022 Capital Budget'!K40</f>
        <v>625902.72</v>
      </c>
      <c r="I13" s="338">
        <f>'2022 Capital Budget'!L40</f>
        <v>820740.75</v>
      </c>
      <c r="J13" s="338">
        <f>'2022 Capital Budget'!M40</f>
        <v>1116674.9700000002</v>
      </c>
      <c r="K13" s="338">
        <f>'2022 Capital Budget'!N40</f>
        <v>796233.55000000016</v>
      </c>
      <c r="L13" s="338">
        <f>'2022 Capital Budget'!O40</f>
        <v>840772.88000000012</v>
      </c>
      <c r="M13" s="338">
        <f>'2022 Capital Budget'!P40</f>
        <v>743422.42999999993</v>
      </c>
      <c r="N13" s="338">
        <f>'2022 Capital Budget'!Q40</f>
        <v>871545.66</v>
      </c>
      <c r="O13" s="338">
        <f t="shared" si="0"/>
        <v>9585672.1099999994</v>
      </c>
      <c r="P13" s="703"/>
      <c r="Q13" s="582"/>
      <c r="R13" s="582"/>
      <c r="S13" s="582"/>
      <c r="T13" s="488">
        <f>T11-T12</f>
        <v>14629950.899999995</v>
      </c>
      <c r="U13" s="582" t="s">
        <v>922</v>
      </c>
    </row>
    <row r="14" spans="1:30">
      <c r="A14" s="378">
        <f>A13+1</f>
        <v>5</v>
      </c>
      <c r="B14" s="26" t="s">
        <v>79</v>
      </c>
      <c r="C14" s="360">
        <f t="shared" ref="C14:N14" si="1">SUM(C9:C13)</f>
        <v>795818.22999999986</v>
      </c>
      <c r="D14" s="360">
        <f t="shared" si="1"/>
        <v>989809.4800000001</v>
      </c>
      <c r="E14" s="360">
        <f t="shared" si="1"/>
        <v>1159060.0699999998</v>
      </c>
      <c r="F14" s="360">
        <f t="shared" si="1"/>
        <v>1166754.1399999999</v>
      </c>
      <c r="G14" s="360">
        <f t="shared" si="1"/>
        <v>1290145.3799999999</v>
      </c>
      <c r="H14" s="360">
        <f t="shared" si="1"/>
        <v>1079139.8500000001</v>
      </c>
      <c r="I14" s="360">
        <f t="shared" si="1"/>
        <v>1616577.1300000001</v>
      </c>
      <c r="J14" s="360">
        <f t="shared" si="1"/>
        <v>1627208.6300000001</v>
      </c>
      <c r="K14" s="360">
        <f t="shared" si="1"/>
        <v>1411959.8000000003</v>
      </c>
      <c r="L14" s="360">
        <f t="shared" si="1"/>
        <v>898148.68000000017</v>
      </c>
      <c r="M14" s="360">
        <f t="shared" si="1"/>
        <v>1244616.29</v>
      </c>
      <c r="N14" s="360">
        <f t="shared" si="1"/>
        <v>1414525.72</v>
      </c>
      <c r="O14" s="360">
        <f>SUM(O9:O13)</f>
        <v>14693763.399999999</v>
      </c>
      <c r="P14" s="702"/>
      <c r="Q14" s="698" t="s">
        <v>638</v>
      </c>
      <c r="R14" s="388">
        <f>O14-'2022 Capital Budget'!R39</f>
        <v>0</v>
      </c>
      <c r="S14" s="582"/>
      <c r="T14" s="583">
        <f>O14+O21</f>
        <v>14629950.899999999</v>
      </c>
      <c r="U14" s="582" t="s">
        <v>923</v>
      </c>
    </row>
    <row r="15" spans="1:30">
      <c r="I15" s="360"/>
      <c r="J15" s="360"/>
      <c r="K15" s="360"/>
      <c r="L15" s="360"/>
      <c r="M15" s="360"/>
      <c r="N15" s="360"/>
      <c r="O15" s="360"/>
      <c r="P15" s="702"/>
      <c r="Q15" s="699"/>
      <c r="R15" s="582"/>
      <c r="S15" s="582"/>
      <c r="T15" s="583">
        <f>T13-T14</f>
        <v>0</v>
      </c>
      <c r="U15" s="582" t="s">
        <v>39</v>
      </c>
    </row>
    <row r="16" spans="1:30">
      <c r="A16" s="378">
        <f>A14+1</f>
        <v>6</v>
      </c>
      <c r="B16" s="26" t="s">
        <v>248</v>
      </c>
      <c r="C16" s="364">
        <f>-'Base Rate Retirements 2022'!B7</f>
        <v>0</v>
      </c>
      <c r="D16" s="364">
        <f>-'Base Rate Retirements 2022'!C7</f>
        <v>0</v>
      </c>
      <c r="E16" s="364">
        <f>-'Base Rate Retirements 2022'!D7</f>
        <v>0</v>
      </c>
      <c r="F16" s="364">
        <f>-'Base Rate Retirements 2022'!E7</f>
        <v>0</v>
      </c>
      <c r="G16" s="364">
        <f>-'Base Rate Retirements 2022'!F7</f>
        <v>0</v>
      </c>
      <c r="H16" s="364">
        <f>-'Base Rate Retirements 2022'!G7</f>
        <v>0</v>
      </c>
      <c r="I16" s="364">
        <f>-'Base Rate Retirements 2022'!H7</f>
        <v>0</v>
      </c>
      <c r="J16" s="364">
        <f>-'Base Rate Retirements 2022'!I7</f>
        <v>0</v>
      </c>
      <c r="K16" s="364">
        <f>-'Base Rate Retirements 2022'!J7</f>
        <v>0</v>
      </c>
      <c r="L16" s="364">
        <f>-'Base Rate Retirements 2022'!K7</f>
        <v>0</v>
      </c>
      <c r="M16" s="364">
        <f>-'Base Rate Retirements 2022'!L7</f>
        <v>0</v>
      </c>
      <c r="N16" s="364">
        <f>-'Base Rate Retirements 2022'!M7</f>
        <v>0</v>
      </c>
      <c r="O16" s="364">
        <f>SUM(C16:N16)</f>
        <v>0</v>
      </c>
      <c r="P16" s="702"/>
      <c r="Q16" s="699"/>
      <c r="R16" s="582"/>
      <c r="S16" s="582"/>
      <c r="T16" s="582"/>
      <c r="U16" s="582"/>
    </row>
    <row r="17" spans="1:21" hidden="1" outlineLevel="1">
      <c r="A17" s="378">
        <f t="shared" ref="A17" si="2">A16+1</f>
        <v>7</v>
      </c>
      <c r="B17" s="26" t="s">
        <v>323</v>
      </c>
      <c r="C17" s="364">
        <f>-'Base Rate Retirements 2022'!B8</f>
        <v>0</v>
      </c>
      <c r="D17" s="364">
        <f>-'Base Rate Retirements 2022'!C8</f>
        <v>0</v>
      </c>
      <c r="E17" s="364">
        <f>-'Base Rate Retirements 2022'!D8</f>
        <v>0</v>
      </c>
      <c r="F17" s="364">
        <f>-'Base Rate Retirements 2022'!E8</f>
        <v>0</v>
      </c>
      <c r="G17" s="364">
        <f>-'Base Rate Retirements 2022'!F8</f>
        <v>0</v>
      </c>
      <c r="H17" s="364">
        <f>-'Base Rate Retirements 2022'!G8</f>
        <v>0</v>
      </c>
      <c r="I17" s="364">
        <f>-'Base Rate Retirements 2022'!H8</f>
        <v>0</v>
      </c>
      <c r="J17" s="364">
        <f>-'Base Rate Retirements 2022'!I8</f>
        <v>0</v>
      </c>
      <c r="K17" s="364">
        <f>-'Base Rate Retirements 2022'!J8</f>
        <v>0</v>
      </c>
      <c r="L17" s="364">
        <f>-'Base Rate Retirements 2022'!K8</f>
        <v>0</v>
      </c>
      <c r="M17" s="364">
        <f>-'Base Rate Retirements 2022'!L8</f>
        <v>0</v>
      </c>
      <c r="N17" s="364">
        <f>-'Base Rate Retirements 2022'!M8</f>
        <v>0</v>
      </c>
      <c r="O17" s="364">
        <f>SUM(C17:N17)</f>
        <v>0</v>
      </c>
      <c r="P17" s="702"/>
      <c r="Q17" s="699"/>
      <c r="R17" s="582"/>
      <c r="S17" s="582"/>
      <c r="T17" s="582"/>
      <c r="U17" s="582"/>
    </row>
    <row r="18" spans="1:21" collapsed="1">
      <c r="A18" s="378">
        <f>A16+1</f>
        <v>7</v>
      </c>
      <c r="B18" s="26" t="s">
        <v>70</v>
      </c>
      <c r="C18" s="364">
        <f>-'Base Rate Retirements 2022'!B9</f>
        <v>0</v>
      </c>
      <c r="D18" s="364">
        <f>-'Base Rate Retirements 2022'!C9</f>
        <v>0</v>
      </c>
      <c r="E18" s="364">
        <f>-'Base Rate Retirements 2022'!D9</f>
        <v>-30509.43</v>
      </c>
      <c r="F18" s="364">
        <f>-'Base Rate Retirements 2022'!E9</f>
        <v>0</v>
      </c>
      <c r="G18" s="364">
        <f>-'Base Rate Retirements 2022'!F9</f>
        <v>0</v>
      </c>
      <c r="H18" s="364">
        <f>-'Base Rate Retirements 2022'!G9</f>
        <v>0</v>
      </c>
      <c r="I18" s="364">
        <f>-'Base Rate Retirements 2022'!H9</f>
        <v>0</v>
      </c>
      <c r="J18" s="364">
        <f>-'Base Rate Retirements 2022'!I9</f>
        <v>0</v>
      </c>
      <c r="K18" s="364">
        <f>-'Base Rate Retirements 2022'!J9</f>
        <v>0</v>
      </c>
      <c r="L18" s="364">
        <f>-'Base Rate Retirements 2022'!K9</f>
        <v>-30242.22</v>
      </c>
      <c r="M18" s="364">
        <f>-'Base Rate Retirements 2022'!L9</f>
        <v>0</v>
      </c>
      <c r="N18" s="364">
        <f>-'Base Rate Retirements 2022'!M9</f>
        <v>0</v>
      </c>
      <c r="O18" s="364">
        <f t="shared" ref="O18:O20" si="3">SUM(C18:N18)</f>
        <v>-60751.65</v>
      </c>
      <c r="P18" s="701"/>
      <c r="Q18" s="699"/>
      <c r="R18" s="582"/>
      <c r="S18" s="582"/>
      <c r="T18" s="582"/>
      <c r="U18" s="582"/>
    </row>
    <row r="19" spans="1:21" s="386" customFormat="1">
      <c r="A19" s="384">
        <f>A18+1</f>
        <v>8</v>
      </c>
      <c r="B19" s="385" t="s">
        <v>71</v>
      </c>
      <c r="C19" s="364">
        <f>-'Base Rate Retirements 2022'!B10</f>
        <v>0</v>
      </c>
      <c r="D19" s="364">
        <f>-'Base Rate Retirements 2022'!C10</f>
        <v>0</v>
      </c>
      <c r="E19" s="364">
        <f>-'Base Rate Retirements 2022'!D10</f>
        <v>0</v>
      </c>
      <c r="F19" s="364">
        <f>-'Base Rate Retirements 2022'!E10</f>
        <v>0</v>
      </c>
      <c r="G19" s="364">
        <f>-'Base Rate Retirements 2022'!F10</f>
        <v>0</v>
      </c>
      <c r="H19" s="364">
        <f>-'Base Rate Retirements 2022'!G10</f>
        <v>0</v>
      </c>
      <c r="I19" s="364">
        <f>-'Base Rate Retirements 2022'!H10</f>
        <v>0</v>
      </c>
      <c r="J19" s="364">
        <f>-'Base Rate Retirements 2022'!I10</f>
        <v>0</v>
      </c>
      <c r="K19" s="364">
        <f>-'Base Rate Retirements 2022'!J10</f>
        <v>0</v>
      </c>
      <c r="L19" s="364">
        <f>-'Base Rate Retirements 2022'!K10</f>
        <v>0</v>
      </c>
      <c r="M19" s="364">
        <f>-'Base Rate Retirements 2022'!L10</f>
        <v>0</v>
      </c>
      <c r="N19" s="364">
        <f>-'Base Rate Retirements 2022'!M10</f>
        <v>0</v>
      </c>
      <c r="O19" s="364">
        <f t="shared" si="3"/>
        <v>0</v>
      </c>
      <c r="P19" s="703"/>
      <c r="Q19" s="700"/>
      <c r="R19" s="584"/>
      <c r="S19" s="584"/>
      <c r="T19" s="584"/>
      <c r="U19" s="584"/>
    </row>
    <row r="20" spans="1:21">
      <c r="A20" s="378">
        <f>A19+1</f>
        <v>9</v>
      </c>
      <c r="B20" s="26" t="s">
        <v>554</v>
      </c>
      <c r="C20" s="338">
        <f>-'Base Rate Retirements 2022'!B11</f>
        <v>0</v>
      </c>
      <c r="D20" s="338">
        <f>-'Base Rate Retirements 2022'!C11</f>
        <v>0</v>
      </c>
      <c r="E20" s="338">
        <f>-'Base Rate Retirements 2022'!D11</f>
        <v>-1909.69</v>
      </c>
      <c r="F20" s="338">
        <f>-'Base Rate Retirements 2022'!E11</f>
        <v>0</v>
      </c>
      <c r="G20" s="338">
        <f>-'Base Rate Retirements 2022'!F11</f>
        <v>0</v>
      </c>
      <c r="H20" s="338">
        <f>-'Base Rate Retirements 2022'!G11</f>
        <v>0</v>
      </c>
      <c r="I20" s="338">
        <f>-'Base Rate Retirements 2022'!H11</f>
        <v>0</v>
      </c>
      <c r="J20" s="338">
        <f>-'Base Rate Retirements 2022'!I11</f>
        <v>0</v>
      </c>
      <c r="K20" s="338">
        <f>-'Base Rate Retirements 2022'!J11</f>
        <v>0</v>
      </c>
      <c r="L20" s="338">
        <f>-'Base Rate Retirements 2022'!K11</f>
        <v>-1151.1600000000001</v>
      </c>
      <c r="M20" s="338">
        <f>-'Base Rate Retirements 2022'!L11</f>
        <v>0</v>
      </c>
      <c r="N20" s="338">
        <f>-'Base Rate Retirements 2022'!M11</f>
        <v>0</v>
      </c>
      <c r="O20" s="338">
        <f t="shared" si="3"/>
        <v>-3060.8500000000004</v>
      </c>
      <c r="P20" s="702"/>
      <c r="Q20" s="699"/>
      <c r="R20" s="582"/>
      <c r="S20" s="582"/>
      <c r="T20" s="582"/>
      <c r="U20" s="582"/>
    </row>
    <row r="21" spans="1:21">
      <c r="A21" s="378">
        <f>A20+1</f>
        <v>10</v>
      </c>
      <c r="B21" s="26" t="s">
        <v>177</v>
      </c>
      <c r="C21" s="364">
        <f>SUM(C16:C20)</f>
        <v>0</v>
      </c>
      <c r="D21" s="364">
        <f t="shared" ref="D21:O21" si="4">SUM(D16:D20)</f>
        <v>0</v>
      </c>
      <c r="E21" s="364">
        <f t="shared" si="4"/>
        <v>-32419.119999999999</v>
      </c>
      <c r="F21" s="364">
        <f t="shared" si="4"/>
        <v>0</v>
      </c>
      <c r="G21" s="364">
        <f t="shared" si="4"/>
        <v>0</v>
      </c>
      <c r="H21" s="364">
        <f t="shared" si="4"/>
        <v>0</v>
      </c>
      <c r="I21" s="364">
        <f t="shared" si="4"/>
        <v>0</v>
      </c>
      <c r="J21" s="364">
        <f t="shared" si="4"/>
        <v>0</v>
      </c>
      <c r="K21" s="364">
        <f t="shared" si="4"/>
        <v>0</v>
      </c>
      <c r="L21" s="364">
        <f t="shared" si="4"/>
        <v>-31393.38</v>
      </c>
      <c r="M21" s="364">
        <f t="shared" si="4"/>
        <v>0</v>
      </c>
      <c r="N21" s="364">
        <f t="shared" si="4"/>
        <v>0</v>
      </c>
      <c r="O21" s="364">
        <f t="shared" si="4"/>
        <v>-63812.5</v>
      </c>
      <c r="P21" s="702"/>
      <c r="Q21" s="699"/>
      <c r="R21" s="388"/>
      <c r="S21" s="582"/>
      <c r="T21" s="582"/>
      <c r="U21" s="582"/>
    </row>
    <row r="22" spans="1:21">
      <c r="A22" s="378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702"/>
      <c r="Q22" s="699"/>
      <c r="R22" s="388"/>
      <c r="S22" s="582"/>
      <c r="T22" s="582"/>
      <c r="U22" s="582"/>
    </row>
    <row r="23" spans="1:21">
      <c r="A23" s="378">
        <f>A21+1</f>
        <v>11</v>
      </c>
      <c r="B23" s="26" t="s">
        <v>642</v>
      </c>
      <c r="C23" s="364">
        <f>-'Base Rate Retirements 2022'!B15</f>
        <v>0</v>
      </c>
      <c r="D23" s="364">
        <f>-'Base Rate Retirements 2022'!C15</f>
        <v>0</v>
      </c>
      <c r="E23" s="364">
        <f>-'Base Rate Retirements 2022'!D15</f>
        <v>0</v>
      </c>
      <c r="F23" s="364">
        <f>-'Base Rate Retirements 2022'!E15</f>
        <v>0</v>
      </c>
      <c r="G23" s="364">
        <f>-'Base Rate Retirements 2022'!F15</f>
        <v>0</v>
      </c>
      <c r="H23" s="364">
        <f>-'Base Rate Retirements 2022'!G15</f>
        <v>0</v>
      </c>
      <c r="I23" s="364">
        <f>-'Base Rate Retirements 2022'!H15</f>
        <v>0</v>
      </c>
      <c r="J23" s="364">
        <f>-'Base Rate Retirements 2022'!I15</f>
        <v>0</v>
      </c>
      <c r="K23" s="364">
        <f>-'Base Rate Retirements 2022'!J15</f>
        <v>0</v>
      </c>
      <c r="L23" s="364">
        <f>-'Base Rate Retirements 2022'!K15</f>
        <v>0</v>
      </c>
      <c r="M23" s="364">
        <f>-'Base Rate Retirements 2022'!L15</f>
        <v>0</v>
      </c>
      <c r="N23" s="364">
        <f>-'Base Rate Retirements 2022'!M15</f>
        <v>0</v>
      </c>
      <c r="O23" s="364">
        <f>SUM(C23:N23)</f>
        <v>0</v>
      </c>
      <c r="P23" s="702"/>
      <c r="Q23" s="699"/>
      <c r="R23" s="388"/>
      <c r="S23" s="582"/>
      <c r="T23" s="582"/>
      <c r="U23" s="582"/>
    </row>
    <row r="24" spans="1:21" hidden="1" outlineLevel="1">
      <c r="A24" s="378">
        <f t="shared" ref="A24:A28" si="5">A23+1</f>
        <v>12</v>
      </c>
      <c r="B24" s="26" t="s">
        <v>776</v>
      </c>
      <c r="C24" s="364">
        <f>-'Base Rate Retirements 2022'!B16</f>
        <v>0</v>
      </c>
      <c r="D24" s="364">
        <f>-'Base Rate Retirements 2022'!C16</f>
        <v>0</v>
      </c>
      <c r="E24" s="364">
        <f>-'Base Rate Retirements 2022'!D16</f>
        <v>0</v>
      </c>
      <c r="F24" s="364">
        <f>-'Base Rate Retirements 2022'!E16</f>
        <v>0</v>
      </c>
      <c r="G24" s="364">
        <f>-'Base Rate Retirements 2022'!F16</f>
        <v>0</v>
      </c>
      <c r="H24" s="364">
        <f>-'Base Rate Retirements 2022'!G16</f>
        <v>0</v>
      </c>
      <c r="I24" s="364">
        <f>-'Base Rate Retirements 2022'!H16</f>
        <v>0</v>
      </c>
      <c r="J24" s="364">
        <f>-'Base Rate Retirements 2022'!I16</f>
        <v>0</v>
      </c>
      <c r="K24" s="364">
        <f>-'Base Rate Retirements 2022'!J16</f>
        <v>0</v>
      </c>
      <c r="L24" s="364">
        <f>-'Base Rate Retirements 2022'!K16</f>
        <v>0</v>
      </c>
      <c r="M24" s="364">
        <f>-'Base Rate Retirements 2022'!L16</f>
        <v>0</v>
      </c>
      <c r="N24" s="364">
        <f>-'Base Rate Retirements 2022'!M16</f>
        <v>0</v>
      </c>
      <c r="O24" s="364">
        <f>SUM(C24:N24)</f>
        <v>0</v>
      </c>
      <c r="P24" s="702"/>
      <c r="Q24" s="699"/>
      <c r="R24" s="388"/>
      <c r="S24" s="582"/>
      <c r="T24" s="582"/>
      <c r="U24" s="582"/>
    </row>
    <row r="25" spans="1:21" collapsed="1">
      <c r="A25" s="378">
        <f>A23+1</f>
        <v>12</v>
      </c>
      <c r="B25" s="26" t="s">
        <v>643</v>
      </c>
      <c r="C25" s="364">
        <f>-'Base Rate Retirements 2022'!B17</f>
        <v>0</v>
      </c>
      <c r="D25" s="364">
        <f>-'Base Rate Retirements 2022'!C17</f>
        <v>0</v>
      </c>
      <c r="E25" s="364">
        <f>-'Base Rate Retirements 2022'!D17</f>
        <v>29732.3</v>
      </c>
      <c r="F25" s="364">
        <f>-'Base Rate Retirements 2022'!E17</f>
        <v>0</v>
      </c>
      <c r="G25" s="364">
        <f>-'Base Rate Retirements 2022'!F17</f>
        <v>0</v>
      </c>
      <c r="H25" s="364">
        <f>-'Base Rate Retirements 2022'!G17</f>
        <v>0</v>
      </c>
      <c r="I25" s="364">
        <f>-'Base Rate Retirements 2022'!H17</f>
        <v>0</v>
      </c>
      <c r="J25" s="364">
        <f>-'Base Rate Retirements 2022'!I17</f>
        <v>0</v>
      </c>
      <c r="K25" s="364">
        <f>-'Base Rate Retirements 2022'!J17</f>
        <v>0</v>
      </c>
      <c r="L25" s="364">
        <f>-'Base Rate Retirements 2022'!K17</f>
        <v>25505.78</v>
      </c>
      <c r="M25" s="364">
        <f>-'Base Rate Retirements 2022'!L17</f>
        <v>0</v>
      </c>
      <c r="N25" s="364">
        <f>-'Base Rate Retirements 2022'!M17</f>
        <v>0</v>
      </c>
      <c r="O25" s="364">
        <f t="shared" ref="O25:O27" si="6">SUM(C25:N25)</f>
        <v>55238.080000000002</v>
      </c>
      <c r="P25" s="701"/>
      <c r="Q25" s="699"/>
      <c r="R25" s="388"/>
      <c r="S25" s="582"/>
      <c r="T25" s="582"/>
      <c r="U25" s="582"/>
    </row>
    <row r="26" spans="1:21">
      <c r="A26" s="378">
        <f t="shared" si="5"/>
        <v>13</v>
      </c>
      <c r="B26" s="26" t="s">
        <v>644</v>
      </c>
      <c r="C26" s="364">
        <f>-'Base Rate Retirements 2022'!B18</f>
        <v>0</v>
      </c>
      <c r="D26" s="364">
        <f>-'Base Rate Retirements 2022'!C18</f>
        <v>0</v>
      </c>
      <c r="E26" s="364">
        <f>-'Base Rate Retirements 2022'!D18</f>
        <v>0</v>
      </c>
      <c r="F26" s="364">
        <f>-'Base Rate Retirements 2022'!E18</f>
        <v>0</v>
      </c>
      <c r="G26" s="364">
        <f>-'Base Rate Retirements 2022'!F18</f>
        <v>0</v>
      </c>
      <c r="H26" s="364">
        <f>-'Base Rate Retirements 2022'!G18</f>
        <v>0</v>
      </c>
      <c r="I26" s="364">
        <f>-'Base Rate Retirements 2022'!H18</f>
        <v>0</v>
      </c>
      <c r="J26" s="364">
        <f>-'Base Rate Retirements 2022'!I18</f>
        <v>0</v>
      </c>
      <c r="K26" s="364">
        <f>-'Base Rate Retirements 2022'!J18</f>
        <v>0</v>
      </c>
      <c r="L26" s="364">
        <f>-'Base Rate Retirements 2022'!K18</f>
        <v>0</v>
      </c>
      <c r="M26" s="364">
        <f>-'Base Rate Retirements 2022'!L18</f>
        <v>0</v>
      </c>
      <c r="N26" s="364">
        <f>-'Base Rate Retirements 2022'!M18</f>
        <v>0</v>
      </c>
      <c r="O26" s="364">
        <f t="shared" si="6"/>
        <v>0</v>
      </c>
      <c r="P26" s="702"/>
      <c r="Q26" s="699"/>
      <c r="R26" s="388"/>
      <c r="S26" s="582"/>
      <c r="T26" s="582"/>
      <c r="U26" s="582"/>
    </row>
    <row r="27" spans="1:21">
      <c r="A27" s="378">
        <f t="shared" si="5"/>
        <v>14</v>
      </c>
      <c r="B27" s="26" t="s">
        <v>645</v>
      </c>
      <c r="C27" s="338">
        <f>-'Base Rate Retirements 2022'!B19</f>
        <v>0</v>
      </c>
      <c r="D27" s="338">
        <f>-'Base Rate Retirements 2022'!C19</f>
        <v>0</v>
      </c>
      <c r="E27" s="338">
        <f>-'Base Rate Retirements 2022'!D19</f>
        <v>1909.69</v>
      </c>
      <c r="F27" s="338">
        <f>-'Base Rate Retirements 2022'!E19</f>
        <v>0</v>
      </c>
      <c r="G27" s="338">
        <f>-'Base Rate Retirements 2022'!F19</f>
        <v>0</v>
      </c>
      <c r="H27" s="338">
        <f>-'Base Rate Retirements 2022'!G19</f>
        <v>0</v>
      </c>
      <c r="I27" s="338">
        <f>-'Base Rate Retirements 2022'!H19</f>
        <v>0</v>
      </c>
      <c r="J27" s="338">
        <f>-'Base Rate Retirements 2022'!I19</f>
        <v>0</v>
      </c>
      <c r="K27" s="338">
        <f>-'Base Rate Retirements 2022'!J19</f>
        <v>0</v>
      </c>
      <c r="L27" s="338">
        <f>-'Base Rate Retirements 2022'!K19</f>
        <v>813.62</v>
      </c>
      <c r="M27" s="338">
        <f>-'Base Rate Retirements 2022'!L19</f>
        <v>0</v>
      </c>
      <c r="N27" s="338">
        <f>-'Base Rate Retirements 2022'!M19</f>
        <v>0</v>
      </c>
      <c r="O27" s="338">
        <f t="shared" si="6"/>
        <v>2723.31</v>
      </c>
      <c r="P27" s="702"/>
      <c r="Q27" s="699"/>
      <c r="R27" s="388"/>
      <c r="S27" s="582"/>
      <c r="T27" s="582"/>
      <c r="U27" s="582"/>
    </row>
    <row r="28" spans="1:21">
      <c r="A28" s="378">
        <f t="shared" si="5"/>
        <v>15</v>
      </c>
      <c r="B28" s="26" t="s">
        <v>805</v>
      </c>
      <c r="C28" s="364">
        <f>SUM(C23:C27)</f>
        <v>0</v>
      </c>
      <c r="D28" s="364">
        <f t="shared" ref="D28:O28" si="7">SUM(D23:D27)</f>
        <v>0</v>
      </c>
      <c r="E28" s="364">
        <f t="shared" si="7"/>
        <v>31641.989999999998</v>
      </c>
      <c r="F28" s="364">
        <f t="shared" si="7"/>
        <v>0</v>
      </c>
      <c r="G28" s="364">
        <f t="shared" si="7"/>
        <v>0</v>
      </c>
      <c r="H28" s="364">
        <f t="shared" si="7"/>
        <v>0</v>
      </c>
      <c r="I28" s="364">
        <f t="shared" si="7"/>
        <v>0</v>
      </c>
      <c r="J28" s="364">
        <f t="shared" si="7"/>
        <v>0</v>
      </c>
      <c r="K28" s="364">
        <f t="shared" si="7"/>
        <v>0</v>
      </c>
      <c r="L28" s="364">
        <f t="shared" si="7"/>
        <v>26319.399999999998</v>
      </c>
      <c r="M28" s="364">
        <f t="shared" si="7"/>
        <v>0</v>
      </c>
      <c r="N28" s="364">
        <f t="shared" si="7"/>
        <v>0</v>
      </c>
      <c r="O28" s="364">
        <f t="shared" si="7"/>
        <v>57961.39</v>
      </c>
      <c r="P28" s="702"/>
      <c r="Q28" s="699"/>
      <c r="R28" s="388"/>
      <c r="S28" s="582"/>
      <c r="T28" s="582"/>
      <c r="U28" s="582"/>
    </row>
    <row r="29" spans="1:21">
      <c r="A29" s="378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702"/>
      <c r="Q29" s="699"/>
      <c r="R29" s="388"/>
      <c r="S29" s="582"/>
      <c r="T29" s="582"/>
      <c r="U29" s="582"/>
    </row>
    <row r="30" spans="1:21" ht="16.5" customHeight="1">
      <c r="A30" s="378">
        <f>A28+1</f>
        <v>16</v>
      </c>
      <c r="B30" s="26" t="s">
        <v>249</v>
      </c>
      <c r="C30" s="360">
        <v>0</v>
      </c>
      <c r="D30" s="360">
        <v>0</v>
      </c>
      <c r="E30" s="360">
        <v>0</v>
      </c>
      <c r="F30" s="360">
        <v>0</v>
      </c>
      <c r="G30" s="360">
        <v>0</v>
      </c>
      <c r="H30" s="360">
        <v>0</v>
      </c>
      <c r="I30" s="360">
        <v>0</v>
      </c>
      <c r="J30" s="360">
        <v>0</v>
      </c>
      <c r="K30" s="360">
        <v>0</v>
      </c>
      <c r="L30" s="360">
        <v>0</v>
      </c>
      <c r="M30" s="360">
        <v>0</v>
      </c>
      <c r="N30" s="360">
        <v>0</v>
      </c>
      <c r="O30" s="364">
        <f>SUM(C30:N30)</f>
        <v>0</v>
      </c>
      <c r="P30" s="702"/>
      <c r="Q30" s="699"/>
      <c r="R30" s="582"/>
      <c r="S30" s="582"/>
    </row>
    <row r="31" spans="1:21" ht="16.5" hidden="1" customHeight="1" outlineLevel="1">
      <c r="A31" s="378">
        <f>A30+1</f>
        <v>17</v>
      </c>
      <c r="B31" s="26" t="s">
        <v>322</v>
      </c>
      <c r="C31" s="360">
        <v>0</v>
      </c>
      <c r="D31" s="360">
        <v>0</v>
      </c>
      <c r="E31" s="360">
        <v>0</v>
      </c>
      <c r="F31" s="360">
        <v>0</v>
      </c>
      <c r="G31" s="360">
        <v>0</v>
      </c>
      <c r="H31" s="360">
        <v>0</v>
      </c>
      <c r="I31" s="360">
        <v>0</v>
      </c>
      <c r="J31" s="360">
        <v>0</v>
      </c>
      <c r="K31" s="360">
        <v>0</v>
      </c>
      <c r="L31" s="360">
        <v>0</v>
      </c>
      <c r="M31" s="360">
        <v>0</v>
      </c>
      <c r="N31" s="360">
        <v>0</v>
      </c>
      <c r="O31" s="364">
        <f>SUM(C31:N31)</f>
        <v>0</v>
      </c>
      <c r="P31" s="702"/>
      <c r="Q31" s="699"/>
      <c r="R31" s="582"/>
      <c r="S31" s="582"/>
    </row>
    <row r="32" spans="1:21" collapsed="1">
      <c r="A32" s="378">
        <f>A30+1</f>
        <v>17</v>
      </c>
      <c r="B32" s="26" t="s">
        <v>80</v>
      </c>
      <c r="C32" s="360">
        <f>'2022 Capital Budget'!F54</f>
        <v>43394.899999999994</v>
      </c>
      <c r="D32" s="360">
        <f>'2022 Capital Budget'!G54</f>
        <v>31219.420000000002</v>
      </c>
      <c r="E32" s="360">
        <f>'2022 Capital Budget'!H54</f>
        <v>45506.83</v>
      </c>
      <c r="F32" s="360">
        <f>'2022 Capital Budget'!I54</f>
        <v>14939.419999999998</v>
      </c>
      <c r="G32" s="360">
        <f>'2022 Capital Budget'!J54</f>
        <v>56211.990000000005</v>
      </c>
      <c r="H32" s="360">
        <f>'2022 Capital Budget'!K54</f>
        <v>-10928.25</v>
      </c>
      <c r="I32" s="360">
        <f>'2022 Capital Budget'!L54</f>
        <v>105675.54999999999</v>
      </c>
      <c r="J32" s="360">
        <f>'2022 Capital Budget'!M54</f>
        <v>81337.31</v>
      </c>
      <c r="K32" s="360">
        <f>'2022 Capital Budget'!N54</f>
        <v>85656.31</v>
      </c>
      <c r="L32" s="360">
        <f>'2022 Capital Budget'!O54</f>
        <v>20717.22</v>
      </c>
      <c r="M32" s="360">
        <f>'2022 Capital Budget'!P54</f>
        <v>-9380.2000000000007</v>
      </c>
      <c r="N32" s="360">
        <f>'2022 Capital Budget'!Q54</f>
        <v>105916.46999999999</v>
      </c>
      <c r="O32" s="364">
        <f t="shared" ref="O32:O33" si="8">SUM(C32:N32)</f>
        <v>570266.97</v>
      </c>
      <c r="P32" s="701"/>
      <c r="Q32" s="699"/>
      <c r="R32" s="582"/>
      <c r="S32" s="582"/>
      <c r="T32" s="488">
        <f>'2022 Capital Budget'!R52</f>
        <v>626357.32999999996</v>
      </c>
      <c r="U32" s="582" t="s">
        <v>658</v>
      </c>
    </row>
    <row r="33" spans="1:30" s="386" customFormat="1">
      <c r="A33" s="384">
        <f t="shared" ref="A33:A34" si="9">A32+1</f>
        <v>18</v>
      </c>
      <c r="B33" s="385" t="s">
        <v>81</v>
      </c>
      <c r="C33" s="364">
        <v>0</v>
      </c>
      <c r="D33" s="364">
        <v>0</v>
      </c>
      <c r="E33" s="364">
        <v>0</v>
      </c>
      <c r="F33" s="364">
        <v>0</v>
      </c>
      <c r="G33" s="364">
        <v>0</v>
      </c>
      <c r="H33" s="364">
        <v>0</v>
      </c>
      <c r="I33" s="364">
        <v>0</v>
      </c>
      <c r="J33" s="364">
        <v>0</v>
      </c>
      <c r="K33" s="364">
        <v>0</v>
      </c>
      <c r="L33" s="364">
        <v>0</v>
      </c>
      <c r="M33" s="364">
        <v>0</v>
      </c>
      <c r="N33" s="364">
        <v>0</v>
      </c>
      <c r="O33" s="364">
        <f t="shared" si="8"/>
        <v>0</v>
      </c>
      <c r="P33" s="703"/>
      <c r="Q33" s="700"/>
      <c r="R33" s="584"/>
      <c r="S33" s="584"/>
      <c r="T33" s="488">
        <f>O35</f>
        <v>626357.32999999996</v>
      </c>
      <c r="U33" s="582" t="s">
        <v>659</v>
      </c>
    </row>
    <row r="34" spans="1:30">
      <c r="A34" s="378">
        <f t="shared" si="9"/>
        <v>19</v>
      </c>
      <c r="B34" s="26" t="s">
        <v>553</v>
      </c>
      <c r="C34" s="338">
        <f>'2022 Capital Budget'!F53</f>
        <v>0</v>
      </c>
      <c r="D34" s="338">
        <f>'2022 Capital Budget'!G53</f>
        <v>1600.03</v>
      </c>
      <c r="E34" s="338">
        <f>'2022 Capital Budget'!H53</f>
        <v>10497.34</v>
      </c>
      <c r="F34" s="338">
        <f>'2022 Capital Budget'!I53</f>
        <v>5971.86</v>
      </c>
      <c r="G34" s="338">
        <f>'2022 Capital Budget'!J53</f>
        <v>2061.71</v>
      </c>
      <c r="H34" s="338">
        <f>'2022 Capital Budget'!K53</f>
        <v>8451.86</v>
      </c>
      <c r="I34" s="338">
        <f>'2022 Capital Budget'!L53</f>
        <v>6366.58</v>
      </c>
      <c r="J34" s="338">
        <f>'2022 Capital Budget'!M53</f>
        <v>8613.56</v>
      </c>
      <c r="K34" s="338">
        <f>'2022 Capital Budget'!N53</f>
        <v>4039.5</v>
      </c>
      <c r="L34" s="338">
        <f>'2022 Capital Budget'!O53</f>
        <v>2006.57</v>
      </c>
      <c r="M34" s="338">
        <f>'2022 Capital Budget'!P53</f>
        <v>2288.7399999999998</v>
      </c>
      <c r="N34" s="338">
        <f>'2022 Capital Budget'!Q53</f>
        <v>4192.6100000000006</v>
      </c>
      <c r="O34" s="338">
        <f>SUM(C34:N34)</f>
        <v>56090.359999999993</v>
      </c>
      <c r="P34" s="703"/>
      <c r="Q34" s="699"/>
      <c r="R34" s="582"/>
      <c r="S34" s="582"/>
      <c r="T34" s="488">
        <f>T32-T33</f>
        <v>0</v>
      </c>
      <c r="U34" s="582" t="s">
        <v>39</v>
      </c>
    </row>
    <row r="35" spans="1:30">
      <c r="A35" s="378">
        <f>A34+1</f>
        <v>20</v>
      </c>
      <c r="B35" s="26" t="s">
        <v>82</v>
      </c>
      <c r="C35" s="360">
        <f>SUM(C30:C34)</f>
        <v>43394.899999999994</v>
      </c>
      <c r="D35" s="360">
        <f t="shared" ref="D35:N35" si="10">SUM(D30:D34)</f>
        <v>32819.450000000004</v>
      </c>
      <c r="E35" s="360">
        <f t="shared" si="10"/>
        <v>56004.17</v>
      </c>
      <c r="F35" s="360">
        <f t="shared" si="10"/>
        <v>20911.28</v>
      </c>
      <c r="G35" s="360">
        <f t="shared" si="10"/>
        <v>58273.700000000004</v>
      </c>
      <c r="H35" s="360">
        <f t="shared" si="10"/>
        <v>-2476.3899999999994</v>
      </c>
      <c r="I35" s="360">
        <f t="shared" si="10"/>
        <v>112042.12999999999</v>
      </c>
      <c r="J35" s="360">
        <f t="shared" si="10"/>
        <v>89950.87</v>
      </c>
      <c r="K35" s="360">
        <f t="shared" si="10"/>
        <v>89695.81</v>
      </c>
      <c r="L35" s="360">
        <f t="shared" si="10"/>
        <v>22723.79</v>
      </c>
      <c r="M35" s="360">
        <f t="shared" si="10"/>
        <v>-7091.4600000000009</v>
      </c>
      <c r="N35" s="360">
        <f t="shared" si="10"/>
        <v>110109.07999999999</v>
      </c>
      <c r="O35" s="360">
        <f>SUM(O30:O34)</f>
        <v>626357.32999999996</v>
      </c>
      <c r="P35" s="702"/>
      <c r="Q35" s="699" t="s">
        <v>638</v>
      </c>
      <c r="R35" s="388">
        <f>O35-'2022 Capital Budget'!R52</f>
        <v>0</v>
      </c>
      <c r="S35" s="582"/>
      <c r="T35" s="582"/>
      <c r="U35" s="582"/>
    </row>
    <row r="36" spans="1:30">
      <c r="A36" s="378"/>
      <c r="I36" s="360"/>
      <c r="J36" s="360"/>
      <c r="K36" s="360"/>
      <c r="L36" s="360"/>
      <c r="M36" s="360"/>
      <c r="N36" s="360"/>
      <c r="O36" s="360"/>
      <c r="P36" s="702"/>
      <c r="Q36" s="699"/>
      <c r="R36" s="582"/>
      <c r="S36" s="582"/>
      <c r="T36" s="582"/>
      <c r="U36" s="582"/>
    </row>
    <row r="37" spans="1:30">
      <c r="A37" s="378">
        <f>A35+1</f>
        <v>21</v>
      </c>
      <c r="B37" s="26" t="s">
        <v>803</v>
      </c>
      <c r="C37" s="360">
        <f>'COS Budget 2022'!F26</f>
        <v>93119.82</v>
      </c>
      <c r="D37" s="360">
        <f>'COS Budget 2022'!G26</f>
        <v>81714.570000000007</v>
      </c>
      <c r="E37" s="360">
        <f>'COS Budget 2022'!H26</f>
        <v>127556.17</v>
      </c>
      <c r="F37" s="360">
        <f>'COS Budget 2022'!I26</f>
        <v>155788.13</v>
      </c>
      <c r="G37" s="360">
        <f>'COS Budget 2022'!J26</f>
        <v>179384.31</v>
      </c>
      <c r="H37" s="360">
        <f>'COS Budget 2022'!K26</f>
        <v>53441.95</v>
      </c>
      <c r="I37" s="360">
        <f>'COS Budget 2022'!L26</f>
        <v>213850.29</v>
      </c>
      <c r="J37" s="360">
        <f>'COS Budget 2022'!M26</f>
        <v>161470.72</v>
      </c>
      <c r="K37" s="360">
        <f>'COS Budget 2022'!N26</f>
        <v>174469.74</v>
      </c>
      <c r="L37" s="360">
        <f>'COS Budget 2022'!O26</f>
        <v>130348.44</v>
      </c>
      <c r="M37" s="360">
        <f>'COS Budget 2022'!P26</f>
        <v>141569.46</v>
      </c>
      <c r="N37" s="360">
        <f>'COS Budget 2022'!Q26</f>
        <v>134475.78</v>
      </c>
      <c r="O37" s="360">
        <f>SUM(C37:N37)</f>
        <v>1647189.38</v>
      </c>
      <c r="P37" s="702"/>
      <c r="Q37" s="699" t="s">
        <v>638</v>
      </c>
      <c r="R37" s="388">
        <f>O37-'COS Budget 2022'!R26</f>
        <v>0</v>
      </c>
      <c r="S37" s="582"/>
      <c r="T37" s="582"/>
      <c r="U37" s="582"/>
    </row>
    <row r="38" spans="1:30" hidden="1" outlineLevel="1">
      <c r="A38" s="378">
        <f t="shared" ref="A38:A40" si="11">A37+1</f>
        <v>22</v>
      </c>
      <c r="B38" s="26" t="s">
        <v>804</v>
      </c>
      <c r="C38" s="360">
        <v>0</v>
      </c>
      <c r="D38" s="360">
        <v>0</v>
      </c>
      <c r="E38" s="360">
        <v>0</v>
      </c>
      <c r="F38" s="360">
        <v>0</v>
      </c>
      <c r="G38" s="360">
        <v>0</v>
      </c>
      <c r="H38" s="360">
        <v>0</v>
      </c>
      <c r="I38" s="360">
        <v>0</v>
      </c>
      <c r="J38" s="360">
        <v>0</v>
      </c>
      <c r="K38" s="360">
        <v>0</v>
      </c>
      <c r="L38" s="360">
        <v>0</v>
      </c>
      <c r="M38" s="360">
        <v>0</v>
      </c>
      <c r="N38" s="360">
        <v>0</v>
      </c>
      <c r="O38" s="360">
        <f>SUM(C38:N38)</f>
        <v>0</v>
      </c>
      <c r="P38" s="701"/>
      <c r="Q38" s="699"/>
      <c r="R38" s="388"/>
      <c r="S38" s="582"/>
      <c r="T38" s="582"/>
      <c r="U38" s="582"/>
    </row>
    <row r="39" spans="1:30" collapsed="1">
      <c r="A39" s="378">
        <f>A37+1</f>
        <v>22</v>
      </c>
      <c r="B39" s="26" t="s">
        <v>417</v>
      </c>
      <c r="C39" s="360">
        <f>'COS Budget 2022'!F31</f>
        <v>52553</v>
      </c>
      <c r="D39" s="360">
        <f>'COS Budget 2022'!G31</f>
        <v>52553</v>
      </c>
      <c r="E39" s="360">
        <f>'COS Budget 2022'!H31</f>
        <v>52553</v>
      </c>
      <c r="F39" s="360">
        <f>'COS Budget 2022'!I31</f>
        <v>52553</v>
      </c>
      <c r="G39" s="360">
        <f>'COS Budget 2022'!J31</f>
        <v>52553</v>
      </c>
      <c r="H39" s="360">
        <f>'COS Budget 2022'!K31</f>
        <v>52553</v>
      </c>
      <c r="I39" s="360">
        <f>'COS Budget 2022'!L31</f>
        <v>52553</v>
      </c>
      <c r="J39" s="360">
        <f>'COS Budget 2022'!M31</f>
        <v>52553</v>
      </c>
      <c r="K39" s="360">
        <f>'COS Budget 2022'!N31</f>
        <v>52553</v>
      </c>
      <c r="L39" s="360">
        <f>'COS Budget 2022'!O31</f>
        <v>52553</v>
      </c>
      <c r="M39" s="360">
        <f>'COS Budget 2022'!P31</f>
        <v>52553</v>
      </c>
      <c r="N39" s="360">
        <f>'COS Budget 2022'!Q31</f>
        <v>52553</v>
      </c>
      <c r="O39" s="360">
        <f>SUM(C39:N39)</f>
        <v>630636</v>
      </c>
      <c r="P39" s="380"/>
      <c r="Q39" s="699" t="s">
        <v>638</v>
      </c>
      <c r="R39" s="388">
        <f>O39-'COS Budget 2022'!R31</f>
        <v>0</v>
      </c>
      <c r="S39" s="582"/>
      <c r="T39" s="582"/>
      <c r="U39" s="582"/>
    </row>
    <row r="40" spans="1:30" hidden="1" outlineLevel="1">
      <c r="A40" s="378">
        <f t="shared" si="11"/>
        <v>23</v>
      </c>
      <c r="B40" s="26" t="s">
        <v>418</v>
      </c>
      <c r="C40" s="360">
        <f>'COS Budget 2022'!F13</f>
        <v>0</v>
      </c>
      <c r="D40" s="360">
        <f>'COS Budget 2022'!G13</f>
        <v>0</v>
      </c>
      <c r="E40" s="360">
        <f>'COS Budget 2022'!H13</f>
        <v>0</v>
      </c>
      <c r="F40" s="360">
        <f>'COS Budget 2022'!I13</f>
        <v>0</v>
      </c>
      <c r="G40" s="360">
        <f>'COS Budget 2022'!J13</f>
        <v>0</v>
      </c>
      <c r="H40" s="360">
        <f>'COS Budget 2022'!K13</f>
        <v>0</v>
      </c>
      <c r="I40" s="360">
        <f>'COS Budget 2022'!L13</f>
        <v>0</v>
      </c>
      <c r="J40" s="360">
        <f>'COS Budget 2022'!M13</f>
        <v>0</v>
      </c>
      <c r="K40" s="360">
        <f>'COS Budget 2022'!N13</f>
        <v>0</v>
      </c>
      <c r="L40" s="360">
        <f>'COS Budget 2022'!O13</f>
        <v>0</v>
      </c>
      <c r="M40" s="360">
        <f>'COS Budget 2022'!P13</f>
        <v>0</v>
      </c>
      <c r="N40" s="360">
        <f>'COS Budget 2022'!Q13</f>
        <v>0</v>
      </c>
      <c r="O40" s="360">
        <f>SUM(C40:N40)</f>
        <v>0</v>
      </c>
      <c r="Q40" s="699"/>
      <c r="R40" s="388"/>
      <c r="S40" s="582"/>
      <c r="T40" s="582"/>
      <c r="U40" s="582"/>
    </row>
    <row r="41" spans="1:30" collapsed="1">
      <c r="L41" s="63"/>
      <c r="M41" s="360"/>
    </row>
    <row r="43" spans="1:30" s="26" customFormat="1">
      <c r="A43" s="372"/>
      <c r="B43" s="26" t="s">
        <v>1032</v>
      </c>
      <c r="M43" s="372"/>
      <c r="N43" s="372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</row>
    <row r="44" spans="1:30" s="26" customFormat="1">
      <c r="A44" s="372"/>
      <c r="B44" s="372"/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</row>
    <row r="45" spans="1:30" s="26" customFormat="1">
      <c r="A45" s="372"/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</row>
    <row r="46" spans="1:30" s="26" customFormat="1">
      <c r="A46" s="372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</row>
    <row r="47" spans="1:30" s="26" customFormat="1">
      <c r="A47" s="372"/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</row>
    <row r="48" spans="1:30" s="26" customFormat="1">
      <c r="A48" s="372"/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</row>
    <row r="49" spans="1:30" s="26" customFormat="1">
      <c r="A49" s="372"/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72"/>
      <c r="AB49" s="372"/>
      <c r="AC49" s="372"/>
      <c r="AD49" s="372"/>
    </row>
    <row r="50" spans="1:30" s="26" customFormat="1">
      <c r="A50" s="372"/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</row>
    <row r="51" spans="1:30" s="26" customFormat="1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</row>
    <row r="52" spans="1:30" s="26" customFormat="1">
      <c r="A52" s="372"/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</row>
    <row r="53" spans="1:30" s="26" customFormat="1">
      <c r="A53" s="372"/>
      <c r="B53" s="372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72"/>
      <c r="AB53" s="372"/>
      <c r="AC53" s="372"/>
      <c r="AD53" s="372"/>
    </row>
    <row r="54" spans="1:30" s="26" customFormat="1">
      <c r="A54" s="372"/>
      <c r="B54" s="37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P54" s="372"/>
      <c r="Q54" s="372"/>
      <c r="R54" s="372"/>
      <c r="S54" s="372"/>
      <c r="T54" s="372"/>
      <c r="U54" s="372"/>
      <c r="V54" s="372"/>
      <c r="W54" s="372"/>
      <c r="X54" s="372"/>
      <c r="Y54" s="372"/>
      <c r="Z54" s="372"/>
      <c r="AA54" s="372"/>
      <c r="AB54" s="372"/>
      <c r="AC54" s="372"/>
      <c r="AD54" s="372"/>
    </row>
    <row r="55" spans="1:30" s="26" customFormat="1">
      <c r="A55" s="372"/>
      <c r="B55" s="372"/>
      <c r="C55" s="372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</row>
    <row r="56" spans="1:30" s="26" customFormat="1">
      <c r="A56" s="372"/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72"/>
      <c r="AB56" s="372"/>
      <c r="AC56" s="372"/>
      <c r="AD56" s="372"/>
    </row>
    <row r="57" spans="1:30" s="26" customFormat="1">
      <c r="A57" s="372"/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</row>
  </sheetData>
  <pageMargins left="0.7" right="0.7" top="0.75" bottom="0.75" header="0.3" footer="0.3"/>
  <pageSetup scale="50" orientation="landscape" r:id="rId1"/>
  <headerFooter>
    <oddFooter>&amp;L&amp;1#&amp;"Calibri"&amp;14&amp;K000000Business Use</oddFooter>
  </headerFooter>
  <colBreaks count="1" manualBreakCount="1">
    <brk id="1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34D5-4F0C-40A9-A8D9-F7167F1BCBEA}">
  <sheetPr>
    <tabColor rgb="FF002060"/>
  </sheetPr>
  <dimension ref="A1:AK100"/>
  <sheetViews>
    <sheetView zoomScaleNormal="100" zoomScaleSheetLayoutView="8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17" width="13.28515625" style="52" customWidth="1"/>
    <col min="18" max="18" width="11.5703125" style="52" bestFit="1" customWidth="1"/>
    <col min="19" max="19" width="10.85546875" style="52" customWidth="1"/>
    <col min="20" max="22" width="8" style="52" customWidth="1"/>
    <col min="23" max="23" width="11.140625" style="52" customWidth="1"/>
    <col min="24" max="24" width="11.140625" style="52" bestFit="1" customWidth="1"/>
    <col min="25" max="25" width="8.85546875" style="52" customWidth="1"/>
    <col min="26" max="26" width="9.140625" style="52"/>
    <col min="27" max="27" width="13.85546875" style="52" customWidth="1"/>
    <col min="28" max="29" width="5.85546875" style="52" customWidth="1"/>
    <col min="30" max="30" width="10" style="52" bestFit="1" customWidth="1"/>
    <col min="31" max="31" width="12.28515625" style="52" bestFit="1" customWidth="1"/>
    <col min="32" max="32" width="11.140625" style="52" bestFit="1" customWidth="1"/>
    <col min="33" max="33" width="9.42578125" style="52" bestFit="1" customWidth="1"/>
    <col min="34" max="34" width="9.140625" style="52"/>
    <col min="35" max="35" width="10.5703125" style="59" customWidth="1"/>
    <col min="36" max="16384" width="9.140625" style="52"/>
  </cols>
  <sheetData>
    <row r="1" spans="1:35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</row>
    <row r="2" spans="1:35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</row>
    <row r="3" spans="1:35" ht="18.75">
      <c r="A3" s="191" t="s">
        <v>551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35">
      <c r="A4" s="53"/>
    </row>
    <row r="6" spans="1:35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54"/>
      <c r="N6" s="155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35" ht="25.5">
      <c r="A7" s="54"/>
      <c r="B7" s="54"/>
      <c r="C7" s="55"/>
      <c r="D7" s="54" t="s">
        <v>25</v>
      </c>
      <c r="E7" s="55" t="s">
        <v>555</v>
      </c>
      <c r="F7" s="54"/>
      <c r="G7" s="54"/>
      <c r="H7" s="54"/>
      <c r="I7" s="54"/>
      <c r="J7" s="54"/>
      <c r="K7" s="54"/>
      <c r="L7" s="54"/>
      <c r="M7" s="54"/>
      <c r="N7" s="54" t="s">
        <v>3</v>
      </c>
      <c r="O7" s="54" t="s">
        <v>35</v>
      </c>
      <c r="P7" s="54"/>
      <c r="Q7" s="54"/>
      <c r="R7" s="55" t="s">
        <v>178</v>
      </c>
      <c r="S7" s="55" t="s">
        <v>179</v>
      </c>
      <c r="T7" s="55" t="s">
        <v>184</v>
      </c>
      <c r="U7" s="55" t="s">
        <v>846</v>
      </c>
      <c r="V7" s="55" t="s">
        <v>847</v>
      </c>
      <c r="W7" s="55" t="s">
        <v>186</v>
      </c>
      <c r="X7" s="54" t="s">
        <v>41</v>
      </c>
      <c r="Y7" s="55" t="s">
        <v>161</v>
      </c>
      <c r="Z7" s="55"/>
      <c r="AA7" s="55" t="s">
        <v>618</v>
      </c>
    </row>
    <row r="8" spans="1:35">
      <c r="A8" s="54" t="s">
        <v>4</v>
      </c>
      <c r="B8" s="54"/>
      <c r="C8" s="54"/>
      <c r="D8" s="54" t="s">
        <v>26</v>
      </c>
      <c r="E8" s="54" t="s">
        <v>556</v>
      </c>
      <c r="F8" s="54"/>
      <c r="G8" s="54"/>
      <c r="H8" s="54">
        <v>2017</v>
      </c>
      <c r="I8" s="54">
        <v>2018</v>
      </c>
      <c r="J8" s="54">
        <v>2019</v>
      </c>
      <c r="K8" s="54">
        <v>2020</v>
      </c>
      <c r="L8" s="54">
        <v>2021</v>
      </c>
      <c r="M8" s="54">
        <v>2022</v>
      </c>
      <c r="N8" s="54" t="s">
        <v>34</v>
      </c>
      <c r="O8" s="54" t="s">
        <v>36</v>
      </c>
      <c r="P8" s="54" t="s">
        <v>38</v>
      </c>
      <c r="Q8" s="54"/>
      <c r="R8" s="54" t="s">
        <v>34</v>
      </c>
      <c r="S8" s="54" t="s">
        <v>34</v>
      </c>
      <c r="T8" s="54" t="s">
        <v>185</v>
      </c>
      <c r="U8" s="54" t="s">
        <v>844</v>
      </c>
      <c r="V8" s="54" t="s">
        <v>844</v>
      </c>
      <c r="W8" s="54" t="s">
        <v>187</v>
      </c>
      <c r="X8" s="54" t="s">
        <v>40</v>
      </c>
      <c r="Y8" s="54" t="s">
        <v>234</v>
      </c>
      <c r="Z8" s="54" t="s">
        <v>161</v>
      </c>
      <c r="AA8" s="54" t="s">
        <v>40</v>
      </c>
      <c r="AD8" s="54" t="s">
        <v>633</v>
      </c>
      <c r="AE8" s="54" t="s">
        <v>635</v>
      </c>
      <c r="AF8" s="54" t="s">
        <v>634</v>
      </c>
      <c r="AG8" s="54" t="s">
        <v>636</v>
      </c>
      <c r="AH8" s="799"/>
      <c r="AI8" s="806"/>
    </row>
    <row r="9" spans="1:35">
      <c r="A9" s="532" t="s">
        <v>5</v>
      </c>
      <c r="B9" s="532"/>
      <c r="C9" s="532"/>
      <c r="D9" s="532" t="s">
        <v>2</v>
      </c>
      <c r="E9" s="532" t="s">
        <v>557</v>
      </c>
      <c r="F9" s="532"/>
      <c r="G9" s="532" t="s">
        <v>105</v>
      </c>
      <c r="H9" s="532" t="s">
        <v>20</v>
      </c>
      <c r="I9" s="532" t="s">
        <v>20</v>
      </c>
      <c r="J9" s="532" t="s">
        <v>20</v>
      </c>
      <c r="K9" s="532" t="s">
        <v>20</v>
      </c>
      <c r="L9" s="532" t="s">
        <v>20</v>
      </c>
      <c r="M9" s="532" t="s">
        <v>1045</v>
      </c>
      <c r="N9" s="532" t="s">
        <v>0</v>
      </c>
      <c r="O9" s="532" t="s">
        <v>37</v>
      </c>
      <c r="P9" s="532" t="s">
        <v>0</v>
      </c>
      <c r="Q9" s="532" t="s">
        <v>39</v>
      </c>
      <c r="R9" s="56" t="s">
        <v>340</v>
      </c>
      <c r="S9" s="56" t="s">
        <v>183</v>
      </c>
      <c r="T9" s="56" t="s">
        <v>340</v>
      </c>
      <c r="U9" s="56" t="s">
        <v>845</v>
      </c>
      <c r="V9" s="56" t="s">
        <v>845</v>
      </c>
      <c r="W9" s="56" t="s">
        <v>12</v>
      </c>
      <c r="X9" s="532" t="s">
        <v>42</v>
      </c>
      <c r="Y9" s="56" t="s">
        <v>235</v>
      </c>
      <c r="Z9" s="56" t="s">
        <v>236</v>
      </c>
      <c r="AA9" s="532" t="s">
        <v>42</v>
      </c>
      <c r="AD9" s="56" t="s">
        <v>20</v>
      </c>
      <c r="AE9" s="56" t="s">
        <v>20</v>
      </c>
      <c r="AF9" s="56" t="s">
        <v>20</v>
      </c>
      <c r="AG9" s="56" t="s">
        <v>637</v>
      </c>
      <c r="AI9" s="806"/>
    </row>
    <row r="10" spans="1:35">
      <c r="C10" s="57"/>
      <c r="D10" s="57" t="s">
        <v>69</v>
      </c>
      <c r="E10" s="57"/>
      <c r="F10" s="58"/>
      <c r="G10" s="58"/>
      <c r="H10" s="57" t="s">
        <v>163</v>
      </c>
      <c r="I10" s="57" t="s">
        <v>164</v>
      </c>
      <c r="J10" s="57" t="s">
        <v>165</v>
      </c>
      <c r="K10" s="57" t="s">
        <v>174</v>
      </c>
      <c r="L10" s="57" t="s">
        <v>210</v>
      </c>
      <c r="M10" s="57" t="s">
        <v>225</v>
      </c>
    </row>
    <row r="11" spans="1:35">
      <c r="A11" s="52">
        <v>1</v>
      </c>
      <c r="C11" s="57" t="s">
        <v>68</v>
      </c>
      <c r="D11" s="59"/>
      <c r="E11" s="57"/>
      <c r="H11" s="793">
        <f>4789044.39-H12-H13</f>
        <v>1255457.3249999995</v>
      </c>
      <c r="I11" s="793">
        <f>9825307.07-I12-I13</f>
        <v>4755556.1999999983</v>
      </c>
      <c r="J11" s="793">
        <f>11277346.45-J12-J13</f>
        <v>4801920.54</v>
      </c>
      <c r="K11" s="793">
        <f>9650094.04000001-K12-K13</f>
        <v>4929518.1200000104</v>
      </c>
      <c r="L11" s="793">
        <f>8832664.92999999-L12-L13</f>
        <v>4803986.8599999901</v>
      </c>
      <c r="M11" s="793">
        <f>'2022 Capital Budget'!R39-M12-M13</f>
        <v>6174770.9499999955</v>
      </c>
    </row>
    <row r="12" spans="1:35">
      <c r="A12" s="52">
        <v>2</v>
      </c>
      <c r="C12" s="57" t="s">
        <v>72</v>
      </c>
      <c r="D12" s="59"/>
      <c r="E12" s="57"/>
      <c r="H12" s="793">
        <f>'Tax Depr 2021-Dist'!H16</f>
        <v>2278129.7400000002</v>
      </c>
      <c r="I12" s="793">
        <f>'Tax Depr 2021-Dist'!I16</f>
        <v>5069750.870000002</v>
      </c>
      <c r="J12" s="793">
        <f>'Tax Depr 2021-Dist'!J16</f>
        <v>6475425.9099999992</v>
      </c>
      <c r="K12" s="793">
        <f>'Tax Depr 2021-Dist'!K16</f>
        <v>4720575.92</v>
      </c>
      <c r="L12" s="793">
        <f>'Tax Depr 2021-Dist'!L16</f>
        <v>4028678.0700000003</v>
      </c>
      <c r="M12" s="793">
        <f>'2022 Capital Budget'!R43</f>
        <v>8518992.4499999993</v>
      </c>
    </row>
    <row r="13" spans="1:35">
      <c r="A13" s="52">
        <v>3</v>
      </c>
      <c r="C13" s="57" t="s">
        <v>182</v>
      </c>
      <c r="D13" s="59"/>
      <c r="E13" s="57"/>
      <c r="H13" s="793">
        <f>'Tax Depr 2021-Dist'!H17</f>
        <v>1255457.325</v>
      </c>
      <c r="I13" s="793">
        <f>'Tax Depr 2021-Dist'!I17</f>
        <v>0</v>
      </c>
      <c r="J13" s="793">
        <f>'Tax Depr 2021-Dist'!J17</f>
        <v>0</v>
      </c>
      <c r="K13" s="793">
        <f>'Tax Depr 2021-Dist'!K17</f>
        <v>0</v>
      </c>
      <c r="L13" s="793">
        <f>'Tax Depr 2021-Dist'!L17</f>
        <v>0</v>
      </c>
      <c r="M13" s="793">
        <v>0</v>
      </c>
      <c r="AI13" s="799"/>
    </row>
    <row r="14" spans="1:35">
      <c r="C14" s="59"/>
      <c r="E14" s="59"/>
      <c r="H14" s="231"/>
      <c r="I14" s="231"/>
      <c r="J14" s="231"/>
      <c r="K14" s="231"/>
      <c r="AC14" s="50"/>
      <c r="AI14" s="799"/>
    </row>
    <row r="15" spans="1:35">
      <c r="C15" s="54" t="s">
        <v>561</v>
      </c>
      <c r="H15" s="195"/>
      <c r="I15" s="195"/>
      <c r="J15" s="195"/>
      <c r="K15" s="195"/>
      <c r="L15" s="195"/>
      <c r="M15" s="195"/>
      <c r="N15" s="195"/>
      <c r="O15" s="195"/>
      <c r="P15" s="244"/>
      <c r="AC15" s="50"/>
      <c r="AI15" s="799"/>
    </row>
    <row r="16" spans="1:35">
      <c r="C16" s="54" t="s">
        <v>562</v>
      </c>
      <c r="H16" s="57" t="s">
        <v>163</v>
      </c>
      <c r="I16" s="57" t="s">
        <v>164</v>
      </c>
      <c r="J16" s="57" t="s">
        <v>165</v>
      </c>
      <c r="K16" s="57" t="s">
        <v>174</v>
      </c>
      <c r="L16" s="57" t="s">
        <v>210</v>
      </c>
      <c r="M16" s="57" t="s">
        <v>225</v>
      </c>
      <c r="W16" s="231"/>
      <c r="X16" s="27">
        <f>W16+'Tax Depr 2021-Dist'!V33</f>
        <v>7345431.5698972521</v>
      </c>
      <c r="AA16" s="231">
        <f>X16</f>
        <v>7345431.5698972521</v>
      </c>
      <c r="AC16" s="50"/>
      <c r="AH16" s="403"/>
      <c r="AI16" s="894"/>
    </row>
    <row r="17" spans="1:37">
      <c r="A17" s="52">
        <f>A13+1</f>
        <v>4</v>
      </c>
      <c r="C17" s="61">
        <v>3.7499999999999999E-2</v>
      </c>
      <c r="D17" s="61">
        <v>0.05</v>
      </c>
      <c r="E17" s="156">
        <v>1</v>
      </c>
      <c r="G17" s="52">
        <v>1</v>
      </c>
      <c r="H17" s="231">
        <f>$H$11*$C$22/12</f>
        <v>5529.2433021874976</v>
      </c>
      <c r="I17" s="231">
        <f>$I$11*$C$21/12</f>
        <v>22640.41047549999</v>
      </c>
      <c r="J17" s="231">
        <f>$J$11*$C$20/12</f>
        <v>24717.88597965</v>
      </c>
      <c r="K17" s="27">
        <f>$K$11*$C$19/12</f>
        <v>27428.660406033388</v>
      </c>
      <c r="L17" s="27">
        <f>$L$11*$C$18/12</f>
        <v>28899.984285283277</v>
      </c>
      <c r="M17" s="27">
        <f>AG17</f>
        <v>22142.7676875</v>
      </c>
      <c r="N17" s="231">
        <f>SUM(H17:M17)</f>
        <v>131358.95213615414</v>
      </c>
      <c r="O17" s="794">
        <f>'202201 Bk Depr'!L39</f>
        <v>43394.899999999994</v>
      </c>
      <c r="P17" s="794">
        <f>'202201 Bk Depr'!P19</f>
        <v>121195.90818650005</v>
      </c>
      <c r="Q17" s="231">
        <f>N17+O17-P17</f>
        <v>53557.943949654087</v>
      </c>
      <c r="R17" s="231">
        <f>Q17*0.21</f>
        <v>11247.168229427358</v>
      </c>
      <c r="S17" s="231">
        <f>R63</f>
        <v>2954.3593625920798</v>
      </c>
      <c r="T17" s="231">
        <f>-S17*0.21</f>
        <v>-620.41546614433673</v>
      </c>
      <c r="U17" s="231">
        <v>-995.41521240732004</v>
      </c>
      <c r="V17" s="231">
        <v>-16.596532554806494</v>
      </c>
      <c r="W17" s="27"/>
      <c r="X17" s="231">
        <f>X16+R17+S17+T17+U17+V17+W17</f>
        <v>7358000.6702781646</v>
      </c>
      <c r="Y17" s="231">
        <f>X17-X16</f>
        <v>12569.100380912423</v>
      </c>
      <c r="Z17" s="247" t="s">
        <v>357</v>
      </c>
      <c r="AA17" s="231">
        <f>AA16+Y17*335/365</f>
        <v>7356967.5935345283</v>
      </c>
      <c r="AD17" s="156">
        <f>((('202201 Bk Depr'!$L$19-SUM('2022 Capital Budget'!$F$43)-(1/12*$M$13))*$C$17))/12</f>
        <v>1721.1201874999995</v>
      </c>
      <c r="AE17" s="156">
        <f>SUM('2022 Capital Budget'!$F$43)*1/12</f>
        <v>20421.647499999999</v>
      </c>
      <c r="AF17" s="156">
        <f>(1/12*$M$13)</f>
        <v>0</v>
      </c>
      <c r="AG17" s="156">
        <f>SUM(AD17:AF17)</f>
        <v>22142.7676875</v>
      </c>
      <c r="AH17" s="576"/>
      <c r="AI17" s="460"/>
      <c r="AK17" s="231"/>
    </row>
    <row r="18" spans="1:37">
      <c r="A18" s="52">
        <f>A17+1</f>
        <v>5</v>
      </c>
      <c r="C18" s="61">
        <v>7.2190000000000004E-2</v>
      </c>
      <c r="D18" s="61">
        <v>9.5000000000000001E-2</v>
      </c>
      <c r="E18" s="156">
        <v>2</v>
      </c>
      <c r="G18" s="52">
        <v>2</v>
      </c>
      <c r="H18" s="231">
        <f t="shared" ref="H18:H28" si="0">$H$11*$C$22/12</f>
        <v>5529.2433021874976</v>
      </c>
      <c r="I18" s="231">
        <f t="shared" ref="I18:I28" si="1">$I$11*$C$21/12</f>
        <v>22640.41047549999</v>
      </c>
      <c r="J18" s="231">
        <f t="shared" ref="J18:J28" si="2">$J$11*$C$20/12</f>
        <v>24717.88597965</v>
      </c>
      <c r="K18" s="27">
        <f t="shared" ref="K18:K28" si="3">$K$11*$C$19/12</f>
        <v>27428.660406033388</v>
      </c>
      <c r="L18" s="27">
        <f t="shared" ref="L18:L28" si="4">$L$11*$C$18/12</f>
        <v>28899.984285283277</v>
      </c>
      <c r="M18" s="27">
        <f t="shared" ref="M18:M28" si="5">AG18</f>
        <v>83496.229041666666</v>
      </c>
      <c r="N18" s="231">
        <f t="shared" ref="N18:N28" si="6">SUM(H18:M18)</f>
        <v>192712.41349032082</v>
      </c>
      <c r="O18" s="794">
        <f>'202202 Bk Depr'!L39</f>
        <v>32819.450000000004</v>
      </c>
      <c r="P18" s="794">
        <f>'202202 Bk Depr'!P19</f>
        <v>123452.31559500007</v>
      </c>
      <c r="Q18" s="231">
        <f t="shared" ref="Q18:Q28" si="7">N18+O18-P18</f>
        <v>102079.54789532076</v>
      </c>
      <c r="R18" s="231">
        <f t="shared" ref="R18:R28" si="8">Q18*0.21</f>
        <v>21436.70505801736</v>
      </c>
      <c r="S18" s="231">
        <f t="shared" ref="S18:S28" si="9">R64</f>
        <v>5380.4395598754136</v>
      </c>
      <c r="T18" s="231">
        <f t="shared" ref="T18:T28" si="10">-S18*0.21</f>
        <v>-1129.8923075738369</v>
      </c>
      <c r="U18" s="231">
        <v>-995.41521240732004</v>
      </c>
      <c r="V18" s="231">
        <v>-16.596532554806494</v>
      </c>
      <c r="W18" s="27"/>
      <c r="X18" s="231">
        <f t="shared" ref="X18:X28" si="11">X17+R18+S18+T18+U18+V18+W18</f>
        <v>7382675.9108435214</v>
      </c>
      <c r="Y18" s="231">
        <f t="shared" ref="Y18:Y28" si="12">X18-X17</f>
        <v>24675.240565356798</v>
      </c>
      <c r="Z18" s="247" t="s">
        <v>358</v>
      </c>
      <c r="AA18" s="231">
        <f>AA17+Y18*307/365</f>
        <v>7377721.8369689519</v>
      </c>
      <c r="AD18" s="156">
        <f>(((('202201 Bk Depr'!$L$19+'202202 Bk Depr'!$L$19-SUM('2022 Capital Budget'!$F$43:$G$43)-(1/12*$M$13))*$C$17))*2/12)-AD17</f>
        <v>5758.0598749999999</v>
      </c>
      <c r="AE18" s="156">
        <f>SUM('2022 Capital Budget'!$F$43:$G$43)*2/12-AE17</f>
        <v>77738.169166666659</v>
      </c>
      <c r="AF18" s="156">
        <f t="shared" ref="AF18:AF28" si="13">(1/12*$M$13)</f>
        <v>0</v>
      </c>
      <c r="AG18" s="156">
        <f t="shared" ref="AG18:AG28" si="14">SUM(AD18:AF18)</f>
        <v>83496.229041666666</v>
      </c>
      <c r="AH18" s="62"/>
      <c r="AI18" s="460"/>
    </row>
    <row r="19" spans="1:37">
      <c r="A19" s="52">
        <f t="shared" ref="A19:A44" si="15">A18+1</f>
        <v>6</v>
      </c>
      <c r="C19" s="61">
        <v>6.6769999999999996E-2</v>
      </c>
      <c r="D19" s="61">
        <v>8.5500000000000007E-2</v>
      </c>
      <c r="E19" s="156">
        <v>3</v>
      </c>
      <c r="G19" s="52">
        <v>3</v>
      </c>
      <c r="H19" s="231">
        <f t="shared" si="0"/>
        <v>5529.2433021874976</v>
      </c>
      <c r="I19" s="231">
        <f t="shared" si="1"/>
        <v>22640.41047549999</v>
      </c>
      <c r="J19" s="231">
        <f t="shared" si="2"/>
        <v>24717.88597965</v>
      </c>
      <c r="K19" s="27">
        <f t="shared" si="3"/>
        <v>27428.660406033388</v>
      </c>
      <c r="L19" s="27">
        <f t="shared" si="4"/>
        <v>28899.984285283277</v>
      </c>
      <c r="M19" s="27">
        <f t="shared" si="5"/>
        <v>225332.93911458334</v>
      </c>
      <c r="N19" s="231">
        <f t="shared" si="6"/>
        <v>334549.12356323749</v>
      </c>
      <c r="O19" s="794">
        <f>'202203 Bk Depr'!L39</f>
        <v>56004.17</v>
      </c>
      <c r="P19" s="794">
        <f>'202203 Bk Depr'!P19</f>
        <v>126196.95948750005</v>
      </c>
      <c r="Q19" s="231">
        <f t="shared" si="7"/>
        <v>264356.3340757374</v>
      </c>
      <c r="R19" s="231">
        <f t="shared" si="8"/>
        <v>55514.830155904849</v>
      </c>
      <c r="S19" s="231">
        <f t="shared" si="9"/>
        <v>13494.278868896246</v>
      </c>
      <c r="T19" s="231">
        <f t="shared" si="10"/>
        <v>-2833.7985624682115</v>
      </c>
      <c r="U19" s="231">
        <v>-995.41521240732027</v>
      </c>
      <c r="V19" s="231">
        <v>-16.596532554806501</v>
      </c>
      <c r="W19" s="27">
        <v>-193.89344266664</v>
      </c>
      <c r="X19" s="231">
        <f t="shared" si="11"/>
        <v>7447645.3161182245</v>
      </c>
      <c r="Y19" s="231">
        <f t="shared" si="12"/>
        <v>64969.405274703167</v>
      </c>
      <c r="Z19" s="247" t="s">
        <v>359</v>
      </c>
      <c r="AA19" s="231">
        <f>AA18+Y19*276/365</f>
        <v>7426849.387258864</v>
      </c>
      <c r="AD19" s="156">
        <f>(((('202201 Bk Depr'!$L$19+'202202 Bk Depr'!$L$19+'202203 Bk Depr'!$L$19-SUM('2022 Capital Budget'!$F$43:$H$43)-(1/12*$M$13))*$C$17))*3/12)-AD18-AD17</f>
        <v>8307.8332812499993</v>
      </c>
      <c r="AE19" s="156">
        <f>SUM('2022 Capital Budget'!$F$43:$H$43)*3/12-AE18-AE17</f>
        <v>217025.10583333333</v>
      </c>
      <c r="AF19" s="156">
        <f t="shared" si="13"/>
        <v>0</v>
      </c>
      <c r="AG19" s="156">
        <f t="shared" si="14"/>
        <v>225332.93911458334</v>
      </c>
      <c r="AI19" s="460"/>
    </row>
    <row r="20" spans="1:37">
      <c r="A20" s="52">
        <f t="shared" si="15"/>
        <v>7</v>
      </c>
      <c r="C20" s="61">
        <v>6.1769999999999999E-2</v>
      </c>
      <c r="D20" s="61">
        <v>7.6999999999999999E-2</v>
      </c>
      <c r="E20" s="156">
        <v>4</v>
      </c>
      <c r="G20" s="52">
        <v>4</v>
      </c>
      <c r="H20" s="231">
        <f t="shared" si="0"/>
        <v>5529.2433021874976</v>
      </c>
      <c r="I20" s="231">
        <f t="shared" si="1"/>
        <v>22640.41047549999</v>
      </c>
      <c r="J20" s="231">
        <f t="shared" si="2"/>
        <v>24717.88597965</v>
      </c>
      <c r="K20" s="27">
        <f t="shared" si="3"/>
        <v>27428.660406033388</v>
      </c>
      <c r="L20" s="27">
        <f t="shared" si="4"/>
        <v>28899.984285283277</v>
      </c>
      <c r="M20" s="27">
        <f t="shared" si="5"/>
        <v>335220.76403124997</v>
      </c>
      <c r="N20" s="231">
        <f t="shared" si="6"/>
        <v>444436.94847990409</v>
      </c>
      <c r="O20" s="794">
        <f>'202204 Bk Depr'!L39</f>
        <v>20911.28</v>
      </c>
      <c r="P20" s="794">
        <f>'202204 Bk Depr'!P19</f>
        <v>129336.80867100005</v>
      </c>
      <c r="Q20" s="231">
        <f t="shared" si="7"/>
        <v>336011.41980890406</v>
      </c>
      <c r="R20" s="231">
        <f t="shared" si="8"/>
        <v>70562.398159869845</v>
      </c>
      <c r="S20" s="231">
        <f t="shared" si="9"/>
        <v>17077.033155554582</v>
      </c>
      <c r="T20" s="231">
        <f t="shared" si="10"/>
        <v>-3586.1769626664623</v>
      </c>
      <c r="U20" s="231">
        <v>-995.41521240731981</v>
      </c>
      <c r="V20" s="231">
        <v>-16.596532554806487</v>
      </c>
      <c r="W20" s="27"/>
      <c r="X20" s="231">
        <f t="shared" si="11"/>
        <v>7530686.5587260211</v>
      </c>
      <c r="Y20" s="231">
        <f t="shared" si="12"/>
        <v>83041.242607796565</v>
      </c>
      <c r="Z20" s="247" t="s">
        <v>360</v>
      </c>
      <c r="AA20" s="231">
        <f>AA19+Y20*246/365</f>
        <v>7482816.9096739814</v>
      </c>
      <c r="AD20" s="156">
        <f>(((('202201 Bk Depr'!$L$19+'202202 Bk Depr'!$L$19+'202203 Bk Depr'!$L$19+'202204 Bk Depr'!$L$19-SUM('2022 Capital Budget'!$F$43:$I$43)-(1/12*$M$13))*$C$17))*4/12)-AD19-AD18-AD17</f>
        <v>11652.776531250003</v>
      </c>
      <c r="AE20" s="156">
        <f>SUM('2022 Capital Budget'!$F$43:$I$43)*4/12-AE19-AE18-AE17</f>
        <v>323567.98749999999</v>
      </c>
      <c r="AF20" s="156">
        <f t="shared" si="13"/>
        <v>0</v>
      </c>
      <c r="AG20" s="156">
        <f t="shared" si="14"/>
        <v>335220.76403124997</v>
      </c>
      <c r="AI20" s="460"/>
    </row>
    <row r="21" spans="1:37">
      <c r="A21" s="52">
        <f t="shared" si="15"/>
        <v>8</v>
      </c>
      <c r="C21" s="61">
        <v>5.713E-2</v>
      </c>
      <c r="D21" s="61">
        <v>6.93E-2</v>
      </c>
      <c r="E21" s="156">
        <v>5</v>
      </c>
      <c r="G21" s="52">
        <v>5</v>
      </c>
      <c r="H21" s="231">
        <f t="shared" si="0"/>
        <v>5529.2433021874976</v>
      </c>
      <c r="I21" s="231">
        <f t="shared" si="1"/>
        <v>22640.41047549999</v>
      </c>
      <c r="J21" s="231">
        <f t="shared" si="2"/>
        <v>24717.88597965</v>
      </c>
      <c r="K21" s="27">
        <f t="shared" si="3"/>
        <v>27428.660406033388</v>
      </c>
      <c r="L21" s="27">
        <f t="shared" si="4"/>
        <v>28899.984285283277</v>
      </c>
      <c r="M21" s="27">
        <f t="shared" si="5"/>
        <v>537781.41491666657</v>
      </c>
      <c r="N21" s="231">
        <f t="shared" si="6"/>
        <v>646997.59936532076</v>
      </c>
      <c r="O21" s="794">
        <f>'202205 Bk Depr'!L39</f>
        <v>58273.700000000004</v>
      </c>
      <c r="P21" s="794">
        <f>'202205 Bk Depr'!P19</f>
        <v>132653.62302300005</v>
      </c>
      <c r="Q21" s="231">
        <f t="shared" si="7"/>
        <v>572617.67634232063</v>
      </c>
      <c r="R21" s="231">
        <f t="shared" si="8"/>
        <v>120249.71203188732</v>
      </c>
      <c r="S21" s="231">
        <f t="shared" si="9"/>
        <v>28907.345982225404</v>
      </c>
      <c r="T21" s="231">
        <f t="shared" si="10"/>
        <v>-6070.5426562673347</v>
      </c>
      <c r="U21" s="231">
        <v>-995.41521240732072</v>
      </c>
      <c r="V21" s="231">
        <v>-16.596532554806515</v>
      </c>
      <c r="W21" s="27"/>
      <c r="X21" s="231">
        <f t="shared" si="11"/>
        <v>7672761.0623389045</v>
      </c>
      <c r="Y21" s="231">
        <f t="shared" si="12"/>
        <v>142074.50361288339</v>
      </c>
      <c r="Z21" s="247" t="s">
        <v>361</v>
      </c>
      <c r="AA21" s="231">
        <f>AA20+Y21*215/365</f>
        <v>7566504.6309802001</v>
      </c>
      <c r="AD21" s="156">
        <f>(((('202201 Bk Depr'!$L$19+'202202 Bk Depr'!$L$19+'202203 Bk Depr'!$L$19+'202204 Bk Depr'!$L$19+'202205 Bk Depr'!$L$19-SUM('2022 Capital Budget'!$F$43:$J$43)-(1/12*$M$13))*$C$17))*5/12)-AD20-AD19-AD18-AD17</f>
        <v>13340.233249999996</v>
      </c>
      <c r="AE21" s="156">
        <f>SUM('2022 Capital Budget'!$F$43:$J$43)*5/12-AE20-AE19-AE18-AE17</f>
        <v>524441.18166666653</v>
      </c>
      <c r="AF21" s="156">
        <f t="shared" si="13"/>
        <v>0</v>
      </c>
      <c r="AG21" s="156">
        <f t="shared" si="14"/>
        <v>537781.41491666657</v>
      </c>
      <c r="AI21" s="460"/>
    </row>
    <row r="22" spans="1:37">
      <c r="A22" s="52">
        <f t="shared" si="15"/>
        <v>9</v>
      </c>
      <c r="C22" s="61">
        <v>5.2850000000000001E-2</v>
      </c>
      <c r="D22" s="61">
        <v>6.2300000000000001E-2</v>
      </c>
      <c r="E22" s="156">
        <v>6</v>
      </c>
      <c r="G22" s="52">
        <v>6</v>
      </c>
      <c r="H22" s="231">
        <f t="shared" si="0"/>
        <v>5529.2433021874976</v>
      </c>
      <c r="I22" s="231">
        <f t="shared" si="1"/>
        <v>22640.41047549999</v>
      </c>
      <c r="J22" s="231">
        <f t="shared" si="2"/>
        <v>24717.88597965</v>
      </c>
      <c r="K22" s="27">
        <f t="shared" si="3"/>
        <v>27428.660406033388</v>
      </c>
      <c r="L22" s="27">
        <f t="shared" si="4"/>
        <v>28899.984285283277</v>
      </c>
      <c r="M22" s="27">
        <f t="shared" si="5"/>
        <v>604420.47945833358</v>
      </c>
      <c r="N22" s="231">
        <f t="shared" si="6"/>
        <v>713636.66390698776</v>
      </c>
      <c r="O22" s="794">
        <f>'202206 Bk Depr'!L39</f>
        <v>-2476.3899999999994</v>
      </c>
      <c r="P22" s="794">
        <f>'202206 Bk Depr'!P19</f>
        <v>135852.15808350005</v>
      </c>
      <c r="Q22" s="231">
        <f t="shared" si="7"/>
        <v>575308.11582348775</v>
      </c>
      <c r="R22" s="231">
        <f t="shared" si="8"/>
        <v>120814.70432293242</v>
      </c>
      <c r="S22" s="231">
        <f t="shared" si="9"/>
        <v>29041.867956283761</v>
      </c>
      <c r="T22" s="231">
        <f t="shared" si="10"/>
        <v>-6098.7922708195892</v>
      </c>
      <c r="U22" s="231">
        <v>-995.41521240731981</v>
      </c>
      <c r="V22" s="231">
        <v>-16.596532554806487</v>
      </c>
      <c r="W22" s="27"/>
      <c r="X22" s="231">
        <f t="shared" si="11"/>
        <v>7815506.8306023385</v>
      </c>
      <c r="Y22" s="231">
        <f t="shared" si="12"/>
        <v>142745.76826343406</v>
      </c>
      <c r="Z22" s="247" t="s">
        <v>356</v>
      </c>
      <c r="AA22" s="231">
        <f>AA21+Y22*185/365</f>
        <v>7638855.2258534478</v>
      </c>
      <c r="AD22" s="156">
        <f>(((('202201 Bk Depr'!$L$19+'202202 Bk Depr'!$L$19+'202203 Bk Depr'!$L$19+'202204 Bk Depr'!$L$19+'202205 Bk Depr'!$L$19+'202206 Bk Depr'!$L$19-SUM('2022 Capital Budget'!$F$43:$K$43)-(1/12*$M$13))*$C$17))*6/12)-AD21-AD20-AD19-AD18-AD17</f>
        <v>15010.976125000014</v>
      </c>
      <c r="AE22" s="156">
        <f>SUM('2022 Capital Budget'!$F$43:$K$43)*6/12-AE21-AE20-AE19-AE18-AE17</f>
        <v>589409.50333333353</v>
      </c>
      <c r="AF22" s="156">
        <f t="shared" si="13"/>
        <v>0</v>
      </c>
      <c r="AG22" s="156">
        <f t="shared" si="14"/>
        <v>604420.47945833358</v>
      </c>
      <c r="AI22" s="460"/>
    </row>
    <row r="23" spans="1:37">
      <c r="A23" s="52">
        <f t="shared" si="15"/>
        <v>10</v>
      </c>
      <c r="C23" s="61">
        <v>4.888E-2</v>
      </c>
      <c r="D23" s="61">
        <v>5.8999999999999997E-2</v>
      </c>
      <c r="E23" s="156">
        <v>7</v>
      </c>
      <c r="G23" s="52">
        <v>7</v>
      </c>
      <c r="H23" s="231">
        <f t="shared" si="0"/>
        <v>5529.2433021874976</v>
      </c>
      <c r="I23" s="231">
        <f t="shared" si="1"/>
        <v>22640.41047549999</v>
      </c>
      <c r="J23" s="231">
        <f t="shared" si="2"/>
        <v>24717.88597965</v>
      </c>
      <c r="K23" s="27">
        <f t="shared" si="3"/>
        <v>27428.660406033388</v>
      </c>
      <c r="L23" s="27">
        <f t="shared" si="4"/>
        <v>28899.984285283277</v>
      </c>
      <c r="M23" s="27">
        <f t="shared" si="5"/>
        <v>1003861.743885417</v>
      </c>
      <c r="N23" s="231">
        <f t="shared" si="6"/>
        <v>1113077.9283340711</v>
      </c>
      <c r="O23" s="794">
        <f>'202207 Bk Depr'!L39</f>
        <v>112042.12999999999</v>
      </c>
      <c r="P23" s="794">
        <f>'202207 Bk Depr'!P19</f>
        <v>139491.37600650004</v>
      </c>
      <c r="Q23" s="231">
        <f t="shared" si="7"/>
        <v>1085628.6823275709</v>
      </c>
      <c r="R23" s="231">
        <f t="shared" si="8"/>
        <v>227982.02328878987</v>
      </c>
      <c r="S23" s="231">
        <f t="shared" si="9"/>
        <v>54557.896281487927</v>
      </c>
      <c r="T23" s="231">
        <f t="shared" si="10"/>
        <v>-11457.158219112463</v>
      </c>
      <c r="U23" s="231">
        <v>-995.41521240732072</v>
      </c>
      <c r="V23" s="231">
        <v>-16.596532554806501</v>
      </c>
      <c r="W23" s="27"/>
      <c r="X23" s="231">
        <f t="shared" si="11"/>
        <v>8085577.5802085428</v>
      </c>
      <c r="Y23" s="231">
        <f t="shared" si="12"/>
        <v>270070.74960620422</v>
      </c>
      <c r="Z23" s="247" t="s">
        <v>352</v>
      </c>
      <c r="AA23" s="231">
        <f>AA22+Y23*154/365</f>
        <v>7752802.8845914081</v>
      </c>
      <c r="AD23" s="156">
        <f>(((('202201 Bk Depr'!$L$19+'202202 Bk Depr'!$L$19+'202203 Bk Depr'!$L$19+'202204 Bk Depr'!$L$19+'202205 Bk Depr'!$L$19+'202206 Bk Depr'!$L$19+'202207 Bk Depr'!$L$19-SUM('2022 Capital Budget'!$F$43:$L$43)-(1/12*$M$13))*$C$17))*7/12)-AD22-AD21-AD20-AD19-AD18-AD17</f>
        <v>18670.214718749969</v>
      </c>
      <c r="AE23" s="156">
        <f>SUM('2022 Capital Budget'!$F$43:$L$43)*7/12-AE22-AE21-AE20-AE19-AE18-AE17</f>
        <v>985191.52916666702</v>
      </c>
      <c r="AF23" s="156">
        <f t="shared" si="13"/>
        <v>0</v>
      </c>
      <c r="AG23" s="156">
        <f t="shared" si="14"/>
        <v>1003861.743885417</v>
      </c>
      <c r="AI23" s="460"/>
    </row>
    <row r="24" spans="1:37">
      <c r="A24" s="52">
        <f t="shared" si="15"/>
        <v>11</v>
      </c>
      <c r="C24" s="61">
        <v>4.5220000000000003E-2</v>
      </c>
      <c r="D24" s="61">
        <v>5.8999999999999997E-2</v>
      </c>
      <c r="E24" s="156">
        <v>8</v>
      </c>
      <c r="G24" s="52">
        <v>8</v>
      </c>
      <c r="H24" s="231">
        <f t="shared" si="0"/>
        <v>5529.2433021874976</v>
      </c>
      <c r="I24" s="231">
        <f t="shared" si="1"/>
        <v>22640.41047549999</v>
      </c>
      <c r="J24" s="231">
        <f t="shared" si="2"/>
        <v>24717.88597965</v>
      </c>
      <c r="K24" s="27">
        <f t="shared" si="3"/>
        <v>27428.660406033388</v>
      </c>
      <c r="L24" s="27">
        <f t="shared" si="4"/>
        <v>28899.984285283277</v>
      </c>
      <c r="M24" s="27">
        <f t="shared" si="5"/>
        <v>1075916.5891979169</v>
      </c>
      <c r="N24" s="231">
        <f t="shared" si="6"/>
        <v>1185132.773646571</v>
      </c>
      <c r="O24" s="794">
        <f>'202208 Bk Depr'!L39</f>
        <v>89950.87</v>
      </c>
      <c r="P24" s="794">
        <f>'202208 Bk Depr'!P19</f>
        <v>143870.48678250005</v>
      </c>
      <c r="Q24" s="231">
        <f t="shared" si="7"/>
        <v>1131213.1568640708</v>
      </c>
      <c r="R24" s="231">
        <f t="shared" si="8"/>
        <v>237554.76294145486</v>
      </c>
      <c r="S24" s="231">
        <f t="shared" si="9"/>
        <v>56837.120008312937</v>
      </c>
      <c r="T24" s="231">
        <f t="shared" si="10"/>
        <v>-11935.795201745716</v>
      </c>
      <c r="U24" s="231">
        <v>-995.4152124073189</v>
      </c>
      <c r="V24" s="231">
        <v>-16.596532554806473</v>
      </c>
      <c r="W24" s="27"/>
      <c r="X24" s="231">
        <f t="shared" si="11"/>
        <v>8367021.6562116025</v>
      </c>
      <c r="Y24" s="231">
        <f t="shared" si="12"/>
        <v>281444.07600305974</v>
      </c>
      <c r="Z24" s="247" t="s">
        <v>353</v>
      </c>
      <c r="AA24" s="231">
        <f>AA23+Y24*123/365</f>
        <v>7847645.6828061379</v>
      </c>
      <c r="AD24" s="156">
        <f>(((('202201 Bk Depr'!$L$19+'202202 Bk Depr'!$L$19+'202203 Bk Depr'!$L$19+'202204 Bk Depr'!$L$19+'202205 Bk Depr'!$L$19+'202206 Bk Depr'!$L$19+'202207 Bk Depr'!$L$19+'202208 Bk Depr'!$L$19-SUM('2022 Capital Budget'!$F$43:$M$43)-(1/12*$M$13))*$C$17))*8/12)-AD23-AD22-AD21-AD20-AD19-AD18-AD17</f>
        <v>26636.280031250008</v>
      </c>
      <c r="AE24" s="156">
        <f>SUM('2022 Capital Budget'!$F$43:$M$43)*8/12-AE23-AE22-AE21-AE20-AE19-AE18-AE17</f>
        <v>1049280.3091666668</v>
      </c>
      <c r="AF24" s="156">
        <f t="shared" si="13"/>
        <v>0</v>
      </c>
      <c r="AG24" s="156">
        <f t="shared" si="14"/>
        <v>1075916.5891979169</v>
      </c>
      <c r="AI24" s="460"/>
    </row>
    <row r="25" spans="1:37">
      <c r="A25" s="52">
        <f t="shared" si="15"/>
        <v>12</v>
      </c>
      <c r="C25" s="61">
        <v>4.462E-2</v>
      </c>
      <c r="D25" s="61">
        <v>5.91E-2</v>
      </c>
      <c r="E25" s="156">
        <v>9</v>
      </c>
      <c r="G25" s="52">
        <v>9</v>
      </c>
      <c r="H25" s="231">
        <f t="shared" si="0"/>
        <v>5529.2433021874976</v>
      </c>
      <c r="I25" s="231">
        <f t="shared" si="1"/>
        <v>22640.41047549999</v>
      </c>
      <c r="J25" s="231">
        <f t="shared" si="2"/>
        <v>24717.88597965</v>
      </c>
      <c r="K25" s="27">
        <f t="shared" si="3"/>
        <v>27428.660406033388</v>
      </c>
      <c r="L25" s="27">
        <f t="shared" si="4"/>
        <v>28899.984285283277</v>
      </c>
      <c r="M25" s="27">
        <f t="shared" si="5"/>
        <v>1141901.822229166</v>
      </c>
      <c r="N25" s="231">
        <f t="shared" si="6"/>
        <v>1251118.0066778201</v>
      </c>
      <c r="O25" s="794">
        <f>'202209 Bk Depr'!L39</f>
        <v>89695.81</v>
      </c>
      <c r="P25" s="794">
        <f>'202209 Bk Depr'!P19</f>
        <v>147973.36416300002</v>
      </c>
      <c r="Q25" s="231">
        <f t="shared" si="7"/>
        <v>1192840.4525148203</v>
      </c>
      <c r="R25" s="231">
        <f t="shared" si="8"/>
        <v>250496.49502811226</v>
      </c>
      <c r="S25" s="231">
        <f t="shared" si="9"/>
        <v>59918.484790850387</v>
      </c>
      <c r="T25" s="231">
        <f t="shared" si="10"/>
        <v>-12582.881806078582</v>
      </c>
      <c r="U25" s="231">
        <v>-37167.176159345086</v>
      </c>
      <c r="V25" s="231">
        <v>-148.85854891463777</v>
      </c>
      <c r="W25" s="27"/>
      <c r="X25" s="231">
        <f t="shared" si="11"/>
        <v>8627537.719516227</v>
      </c>
      <c r="Y25" s="231">
        <f t="shared" si="12"/>
        <v>260516.06330462452</v>
      </c>
      <c r="Z25" s="247" t="s">
        <v>354</v>
      </c>
      <c r="AA25" s="231">
        <f>AA24+Y25*93/365</f>
        <v>7914023.7482508775</v>
      </c>
      <c r="AD25" s="156">
        <f>(((('202201 Bk Depr'!$L$19+'202202 Bk Depr'!$L$19+'202203 Bk Depr'!$L$19+'202204 Bk Depr'!$L$19+'202205 Bk Depr'!$L$19+'202206 Bk Depr'!$L$19+'202207 Bk Depr'!$L$19+'202208 Bk Depr'!$L$19+'202209 Bk Depr'!$L$19-SUM('2022 Capital Budget'!$F$43:$N$43)-(1/12*$M$13))*$C$17))*9/12)-AD24-AD23-AD22-AD21-AD20-AD19-AD18-AD17</f>
        <v>28341.978062500031</v>
      </c>
      <c r="AE25" s="156">
        <f>SUM('2022 Capital Budget'!$F$43:$N$43)*9/12-AE24-AE23-AE22-AE21-AE20-AE19-AE18-AE17</f>
        <v>1113559.844166666</v>
      </c>
      <c r="AF25" s="156">
        <f t="shared" si="13"/>
        <v>0</v>
      </c>
      <c r="AG25" s="156">
        <f t="shared" si="14"/>
        <v>1141901.822229166</v>
      </c>
      <c r="AI25" s="460"/>
    </row>
    <row r="26" spans="1:37">
      <c r="A26" s="52">
        <f t="shared" si="15"/>
        <v>13</v>
      </c>
      <c r="C26" s="61">
        <v>4.4609999999999997E-2</v>
      </c>
      <c r="D26" s="61">
        <v>5.8999999999999997E-2</v>
      </c>
      <c r="E26" s="156">
        <v>10</v>
      </c>
      <c r="G26" s="52">
        <v>10</v>
      </c>
      <c r="H26" s="231">
        <f t="shared" si="0"/>
        <v>5529.2433021874976</v>
      </c>
      <c r="I26" s="231">
        <f t="shared" si="1"/>
        <v>22640.41047549999</v>
      </c>
      <c r="J26" s="231">
        <f t="shared" si="2"/>
        <v>24717.88597965</v>
      </c>
      <c r="K26" s="27">
        <f t="shared" si="3"/>
        <v>27428.660406033388</v>
      </c>
      <c r="L26" s="27">
        <f t="shared" si="4"/>
        <v>28899.984285283277</v>
      </c>
      <c r="M26" s="27">
        <f t="shared" si="5"/>
        <v>865071.23220833391</v>
      </c>
      <c r="N26" s="231">
        <f t="shared" si="6"/>
        <v>974287.41665698809</v>
      </c>
      <c r="O26" s="794">
        <f>'202210 Bk Depr'!L39</f>
        <v>22723.79</v>
      </c>
      <c r="P26" s="794">
        <f>'202210 Bk Depr'!P19</f>
        <v>151092.01061100003</v>
      </c>
      <c r="Q26" s="231">
        <f t="shared" si="7"/>
        <v>845919.19604598812</v>
      </c>
      <c r="R26" s="231">
        <f t="shared" si="8"/>
        <v>177643.03116965751</v>
      </c>
      <c r="S26" s="231">
        <f t="shared" si="9"/>
        <v>42572.421967408787</v>
      </c>
      <c r="T26" s="231">
        <f t="shared" si="10"/>
        <v>-8940.2086131558444</v>
      </c>
      <c r="U26" s="231"/>
      <c r="V26" s="231"/>
      <c r="W26" s="27">
        <v>-1244.7097814303802</v>
      </c>
      <c r="X26" s="231">
        <f t="shared" si="11"/>
        <v>8837568.2542587072</v>
      </c>
      <c r="Y26" s="231">
        <f t="shared" si="12"/>
        <v>210030.53474248014</v>
      </c>
      <c r="Z26" s="247" t="s">
        <v>355</v>
      </c>
      <c r="AA26" s="231">
        <f>AA25+Y26*62/365</f>
        <v>7949700.1678509703</v>
      </c>
      <c r="AD26" s="156">
        <f>(((('202201 Bk Depr'!$L$19+'202202 Bk Depr'!$L$19+'202203 Bk Depr'!$L$19+'202204 Bk Depr'!$L$19+'202205 Bk Depr'!$L$19+'202206 Bk Depr'!$L$19+'202207 Bk Depr'!$L$19+'202208 Bk Depr'!$L$19+'202209 Bk Depr'!$L$19+'202210 Bk Depr'!$L$19-SUM('2022 Capital Budget'!$F$43:$O$43)-(1/12*$M$13))*$C$17))*10/12)-AD25-AD24-AD23-AD22-AD21-AD20-AD19-AD18-AD17</f>
        <v>31613.976374999987</v>
      </c>
      <c r="AE26" s="156">
        <f>SUM('2022 Capital Budget'!$F$43:$O$43)*10/12-AE25-AE24-AE23-AE22-AE21-AE20-AE19-AE18-AE17</f>
        <v>833457.25583333394</v>
      </c>
      <c r="AF26" s="156">
        <f t="shared" si="13"/>
        <v>0</v>
      </c>
      <c r="AG26" s="156">
        <f t="shared" si="14"/>
        <v>865071.23220833391</v>
      </c>
      <c r="AI26" s="460"/>
    </row>
    <row r="27" spans="1:37">
      <c r="A27" s="52">
        <f t="shared" si="15"/>
        <v>14</v>
      </c>
      <c r="C27" s="61">
        <v>4.462E-2</v>
      </c>
      <c r="D27" s="61">
        <v>5.91E-2</v>
      </c>
      <c r="E27" s="156">
        <v>11</v>
      </c>
      <c r="G27" s="52">
        <v>11</v>
      </c>
      <c r="H27" s="231">
        <f t="shared" si="0"/>
        <v>5529.2433021874976</v>
      </c>
      <c r="I27" s="231">
        <f t="shared" si="1"/>
        <v>22640.41047549999</v>
      </c>
      <c r="J27" s="231">
        <f t="shared" si="2"/>
        <v>24717.88597965</v>
      </c>
      <c r="K27" s="27">
        <f t="shared" si="3"/>
        <v>27428.660406033388</v>
      </c>
      <c r="L27" s="27">
        <f t="shared" si="4"/>
        <v>28899.984285283277</v>
      </c>
      <c r="M27" s="27">
        <f t="shared" si="5"/>
        <v>1346389.4253333318</v>
      </c>
      <c r="N27" s="231">
        <f t="shared" si="6"/>
        <v>1455605.6097819859</v>
      </c>
      <c r="O27" s="794">
        <f>'202211 Bk Depr'!L39</f>
        <v>-7091.4600000000009</v>
      </c>
      <c r="P27" s="794">
        <f>'202211 Bk Depr'!P19</f>
        <v>153984.74332050004</v>
      </c>
      <c r="Q27" s="231">
        <f t="shared" si="7"/>
        <v>1294529.4064614859</v>
      </c>
      <c r="R27" s="231">
        <f t="shared" si="8"/>
        <v>271851.17535691202</v>
      </c>
      <c r="S27" s="231">
        <f t="shared" si="9"/>
        <v>65002.93248818368</v>
      </c>
      <c r="T27" s="231">
        <f t="shared" si="10"/>
        <v>-13650.615822518572</v>
      </c>
      <c r="U27" s="231"/>
      <c r="V27" s="231"/>
      <c r="W27" s="27"/>
      <c r="X27" s="231">
        <f t="shared" si="11"/>
        <v>9160771.7462812848</v>
      </c>
      <c r="Y27" s="231">
        <f t="shared" si="12"/>
        <v>323203.49202257767</v>
      </c>
      <c r="Z27" s="247" t="s">
        <v>351</v>
      </c>
      <c r="AA27" s="231">
        <f>AA26+Y27*32/365</f>
        <v>7978035.8164666481</v>
      </c>
      <c r="AD27" s="156">
        <f>(((('202201 Bk Depr'!$L$19+'202202 Bk Depr'!$L$19+'202203 Bk Depr'!$L$19+'202204 Bk Depr'!$L$19+'202205 Bk Depr'!$L$19+'202206 Bk Depr'!$L$19+'202207 Bk Depr'!$L$19+'202208 Bk Depr'!$L$19+'202209 Bk Depr'!$L$19+'202210 Bk Depr'!$L$19+'202211 Bk Depr'!$L$19-SUM('2022 Capital Budget'!$F$43:$P$43)-(1/12*$M$13))*$C$17))*11/12)-AD26-AD25-AD24-AD23-AD22-AD21-AD20-AD19-AD18-AD17</f>
        <v>31067.296999999951</v>
      </c>
      <c r="AE27" s="156">
        <f>SUM('2022 Capital Budget'!$F$43:$P$43)*11/12-AE26-AE25-AE24-AE23-AE22-AE21-AE20-AE19-AE18-AE17</f>
        <v>1315322.1283333318</v>
      </c>
      <c r="AF27" s="156">
        <f t="shared" si="13"/>
        <v>0</v>
      </c>
      <c r="AG27" s="156">
        <f t="shared" si="14"/>
        <v>1346389.4253333318</v>
      </c>
      <c r="AI27" s="460"/>
    </row>
    <row r="28" spans="1:37">
      <c r="A28" s="52">
        <f t="shared" si="15"/>
        <v>15</v>
      </c>
      <c r="C28" s="61">
        <v>4.4609999999999997E-2</v>
      </c>
      <c r="D28" s="61">
        <v>5.8999999999999997E-2</v>
      </c>
      <c r="E28" s="156">
        <v>12</v>
      </c>
      <c r="G28" s="52">
        <v>12</v>
      </c>
      <c r="H28" s="231">
        <f t="shared" si="0"/>
        <v>5529.2433021874976</v>
      </c>
      <c r="I28" s="231">
        <f t="shared" si="1"/>
        <v>22640.41047549999</v>
      </c>
      <c r="J28" s="231">
        <f t="shared" si="2"/>
        <v>24717.88597965</v>
      </c>
      <c r="K28" s="27">
        <f t="shared" si="3"/>
        <v>27428.660406033388</v>
      </c>
      <c r="L28" s="27">
        <f t="shared" si="4"/>
        <v>28899.984285283277</v>
      </c>
      <c r="M28" s="27">
        <f t="shared" si="5"/>
        <v>1509010.953520833</v>
      </c>
      <c r="N28" s="231">
        <f t="shared" si="6"/>
        <v>1618227.1379694871</v>
      </c>
      <c r="O28" s="794">
        <f>'202212 Bk Depr'!L39</f>
        <v>110109.07999999999</v>
      </c>
      <c r="P28" s="794">
        <f>'202212 Bk Depr'!P19</f>
        <v>157574.58503400005</v>
      </c>
      <c r="Q28" s="231">
        <f t="shared" si="7"/>
        <v>1570761.6329354872</v>
      </c>
      <c r="R28" s="231">
        <f t="shared" si="8"/>
        <v>329859.9429164523</v>
      </c>
      <c r="S28" s="231">
        <f t="shared" si="9"/>
        <v>78814.543811883748</v>
      </c>
      <c r="T28" s="231">
        <f t="shared" si="10"/>
        <v>-16551.054200495586</v>
      </c>
      <c r="U28" s="231">
        <v>-3062.0903791310993</v>
      </c>
      <c r="V28" s="231">
        <v>-55.242659464718599</v>
      </c>
      <c r="W28" s="27"/>
      <c r="X28" s="231">
        <f t="shared" si="11"/>
        <v>9549777.8457705304</v>
      </c>
      <c r="Y28" s="231">
        <f t="shared" si="12"/>
        <v>389006.09948924556</v>
      </c>
      <c r="Z28" s="247" t="s">
        <v>350</v>
      </c>
      <c r="AA28" s="231">
        <f>AA27+Y28*1/365</f>
        <v>7979101.5866022352</v>
      </c>
      <c r="AD28" s="156">
        <f>(((('202201 Bk Depr'!$L$19+'202202 Bk Depr'!$L$19+'202203 Bk Depr'!$L$19+'202204 Bk Depr'!$L$19+'202205 Bk Depr'!$L$19+'202206 Bk Depr'!$L$19+'202207 Bk Depr'!$L$19+'202208 Bk Depr'!$L$19+'202209 Bk Depr'!$L$19+'202210 Bk Depr'!$L$19+'202211 Bk Depr'!$L$19+'202212 Bk Depr'!$L$19-SUM('2022 Capital Budget'!$F$43:$Q$43)-(1/12*$M$13))*$C$17))*12/12)-AD27-AD26-AD25-AD24-AD23-AD22-AD21-AD20-AD19-AD18-AD17</f>
        <v>39433.165187500068</v>
      </c>
      <c r="AE28" s="156">
        <f>SUM('2022 Capital Budget'!$F$43:$Q$43)*12/12-AE27-AE26-AE25-AE24-AE23-AE22-AE21-AE20-AE19-AE18-AE17</f>
        <v>1469577.7883333329</v>
      </c>
      <c r="AF28" s="156">
        <f t="shared" si="13"/>
        <v>0</v>
      </c>
      <c r="AG28" s="156">
        <f t="shared" si="14"/>
        <v>1509010.953520833</v>
      </c>
      <c r="AI28" s="460"/>
    </row>
    <row r="29" spans="1:37">
      <c r="A29" s="52">
        <f t="shared" si="15"/>
        <v>16</v>
      </c>
      <c r="C29" s="61">
        <v>4.462E-2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 t="str">
        <f t="shared" ref="W29:W43" si="16">IF(T29="","",T29*0.389)</f>
        <v/>
      </c>
      <c r="X29" s="62"/>
      <c r="AA29" s="27"/>
    </row>
    <row r="30" spans="1:37">
      <c r="A30" s="52">
        <f t="shared" si="15"/>
        <v>17</v>
      </c>
      <c r="C30" s="61">
        <v>4.4609999999999997E-2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 t="str">
        <f t="shared" si="16"/>
        <v/>
      </c>
      <c r="X30" s="27" t="str">
        <f t="shared" ref="X30:X43" si="17">IF(R30="","",X29+R30)</f>
        <v/>
      </c>
      <c r="AI30" s="799"/>
    </row>
    <row r="31" spans="1:37">
      <c r="A31" s="52">
        <f t="shared" si="15"/>
        <v>18</v>
      </c>
      <c r="C31" s="61">
        <v>4.462E-2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 t="str">
        <f t="shared" si="16"/>
        <v/>
      </c>
      <c r="X31" s="27" t="str">
        <f t="shared" si="17"/>
        <v/>
      </c>
      <c r="AD31" s="156"/>
      <c r="AE31" s="156"/>
    </row>
    <row r="32" spans="1:37">
      <c r="A32" s="52">
        <f t="shared" si="15"/>
        <v>19</v>
      </c>
      <c r="C32" s="61">
        <v>4.4609999999999997E-2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tr">
        <f t="shared" si="16"/>
        <v/>
      </c>
      <c r="X32" s="27" t="str">
        <f t="shared" si="17"/>
        <v/>
      </c>
      <c r="AD32" s="156"/>
      <c r="AE32" s="156"/>
      <c r="AF32" s="804"/>
    </row>
    <row r="33" spans="1:31">
      <c r="A33" s="52">
        <f t="shared" si="15"/>
        <v>20</v>
      </c>
      <c r="C33" s="61">
        <v>4.462E-2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 t="str">
        <f t="shared" si="16"/>
        <v/>
      </c>
      <c r="X33" s="27" t="str">
        <f t="shared" si="17"/>
        <v/>
      </c>
      <c r="AD33" s="803"/>
      <c r="AE33" s="803"/>
    </row>
    <row r="34" spans="1:31">
      <c r="A34" s="52">
        <f t="shared" si="15"/>
        <v>21</v>
      </c>
      <c r="C34" s="61">
        <v>4.4609999999999997E-2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 t="str">
        <f t="shared" si="16"/>
        <v/>
      </c>
      <c r="X34" s="27" t="str">
        <f t="shared" si="17"/>
        <v/>
      </c>
    </row>
    <row r="35" spans="1:31">
      <c r="A35" s="52">
        <f t="shared" si="15"/>
        <v>22</v>
      </c>
      <c r="C35" s="61">
        <v>4.462E-2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 t="str">
        <f t="shared" si="16"/>
        <v/>
      </c>
      <c r="X35" s="27" t="str">
        <f t="shared" si="17"/>
        <v/>
      </c>
    </row>
    <row r="36" spans="1:31">
      <c r="A36" s="52">
        <f t="shared" si="15"/>
        <v>23</v>
      </c>
      <c r="C36" s="61">
        <v>4.4609999999999997E-2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 t="str">
        <f t="shared" si="16"/>
        <v/>
      </c>
      <c r="X36" s="27" t="str">
        <f t="shared" si="17"/>
        <v/>
      </c>
    </row>
    <row r="37" spans="1:31">
      <c r="A37" s="52">
        <f t="shared" si="15"/>
        <v>24</v>
      </c>
      <c r="C37" s="61">
        <v>2.231E-2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 t="str">
        <f t="shared" si="16"/>
        <v/>
      </c>
      <c r="X37" s="27" t="str">
        <f t="shared" si="17"/>
        <v/>
      </c>
    </row>
    <row r="38" spans="1:31">
      <c r="A38" s="52">
        <f t="shared" si="15"/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 t="str">
        <f t="shared" si="16"/>
        <v/>
      </c>
      <c r="X38" s="27" t="str">
        <f t="shared" si="17"/>
        <v/>
      </c>
    </row>
    <row r="39" spans="1:31">
      <c r="A39" s="52">
        <f t="shared" si="15"/>
        <v>26</v>
      </c>
      <c r="C39" s="61">
        <v>0</v>
      </c>
      <c r="E39" s="156">
        <v>23</v>
      </c>
      <c r="H39" s="27"/>
      <c r="I39" s="27"/>
      <c r="J39" s="27"/>
      <c r="K39" s="27"/>
      <c r="L39" s="27"/>
      <c r="M39" s="27"/>
      <c r="N39" s="27"/>
      <c r="Q39" s="27"/>
      <c r="R39" s="27"/>
      <c r="S39" s="27"/>
      <c r="T39" s="27"/>
      <c r="U39" s="27"/>
      <c r="V39" s="27"/>
      <c r="W39" s="27" t="str">
        <f t="shared" si="16"/>
        <v/>
      </c>
      <c r="X39" s="27" t="str">
        <f t="shared" si="17"/>
        <v/>
      </c>
    </row>
    <row r="40" spans="1:31">
      <c r="A40" s="52">
        <f t="shared" si="15"/>
        <v>27</v>
      </c>
      <c r="C40" s="61">
        <v>0</v>
      </c>
      <c r="E40" s="156">
        <v>24</v>
      </c>
      <c r="H40" s="27"/>
      <c r="I40" s="27"/>
      <c r="J40" s="27"/>
      <c r="K40" s="27"/>
      <c r="L40" s="27"/>
      <c r="M40" s="27"/>
      <c r="N40" s="27"/>
      <c r="Q40" s="27"/>
      <c r="R40" s="27"/>
      <c r="S40" s="27"/>
      <c r="T40" s="27"/>
      <c r="U40" s="27"/>
      <c r="V40" s="27"/>
      <c r="W40" s="27" t="str">
        <f t="shared" si="16"/>
        <v/>
      </c>
      <c r="X40" s="27" t="str">
        <f t="shared" si="17"/>
        <v/>
      </c>
    </row>
    <row r="41" spans="1:31">
      <c r="A41" s="52">
        <f t="shared" si="15"/>
        <v>28</v>
      </c>
      <c r="C41" s="61">
        <v>0</v>
      </c>
      <c r="E41" s="156">
        <v>25</v>
      </c>
      <c r="H41" s="27"/>
      <c r="I41" s="27"/>
      <c r="J41" s="27"/>
      <c r="K41" s="27"/>
      <c r="L41" s="27"/>
      <c r="M41" s="27"/>
      <c r="N41" s="27"/>
      <c r="Q41" s="27"/>
      <c r="R41" s="27"/>
      <c r="S41" s="27"/>
      <c r="T41" s="27"/>
      <c r="U41" s="27"/>
      <c r="V41" s="27"/>
      <c r="W41" s="27" t="str">
        <f t="shared" si="16"/>
        <v/>
      </c>
      <c r="X41" s="27" t="str">
        <f t="shared" si="17"/>
        <v/>
      </c>
    </row>
    <row r="42" spans="1:31">
      <c r="A42" s="52">
        <f t="shared" si="15"/>
        <v>29</v>
      </c>
      <c r="C42" s="61">
        <v>0</v>
      </c>
      <c r="E42" s="156">
        <v>26</v>
      </c>
      <c r="H42" s="27"/>
      <c r="I42" s="27"/>
      <c r="J42" s="27"/>
      <c r="K42" s="27"/>
      <c r="L42" s="27"/>
      <c r="M42" s="27"/>
      <c r="N42" s="27"/>
      <c r="Q42" s="27"/>
      <c r="R42" s="27"/>
      <c r="S42" s="27"/>
      <c r="T42" s="27"/>
      <c r="U42" s="27"/>
      <c r="V42" s="27"/>
      <c r="W42" s="27" t="str">
        <f t="shared" si="16"/>
        <v/>
      </c>
      <c r="X42" s="27" t="str">
        <f t="shared" si="17"/>
        <v/>
      </c>
    </row>
    <row r="43" spans="1:31">
      <c r="A43" s="52">
        <f t="shared" si="15"/>
        <v>30</v>
      </c>
      <c r="C43" s="61">
        <v>0</v>
      </c>
      <c r="E43" s="156">
        <v>27</v>
      </c>
      <c r="N43" s="27"/>
      <c r="Q43" s="27"/>
      <c r="R43" s="27"/>
      <c r="S43" s="27"/>
      <c r="T43" s="27"/>
      <c r="U43" s="27"/>
      <c r="V43" s="27"/>
      <c r="W43" s="27" t="str">
        <f t="shared" si="16"/>
        <v/>
      </c>
      <c r="X43" s="27" t="str">
        <f t="shared" si="17"/>
        <v/>
      </c>
    </row>
    <row r="44" spans="1:31">
      <c r="A44" s="52">
        <f t="shared" si="15"/>
        <v>31</v>
      </c>
      <c r="H44" s="27">
        <f>SUM(H17:H43)</f>
        <v>66350.919626249975</v>
      </c>
      <c r="I44" s="27">
        <f>SUM(I17:I43)</f>
        <v>271684.92570599989</v>
      </c>
      <c r="J44" s="27">
        <f t="shared" ref="J44:W44" si="18">SUM(J17:J43)</f>
        <v>296614.63175579999</v>
      </c>
      <c r="K44" s="27">
        <f>SUM(K17:K43)</f>
        <v>329143.92487240065</v>
      </c>
      <c r="L44" s="27">
        <f>SUM(L17:L43)</f>
        <v>346799.81142339925</v>
      </c>
      <c r="M44" s="27">
        <f>SUM(M17:M43)</f>
        <v>8750546.3606249988</v>
      </c>
      <c r="N44" s="27">
        <f t="shared" si="18"/>
        <v>10061140.574008847</v>
      </c>
      <c r="O44" s="27">
        <f t="shared" si="18"/>
        <v>626357.32999999996</v>
      </c>
      <c r="P44" s="27">
        <f t="shared" si="18"/>
        <v>1662674.3389640006</v>
      </c>
      <c r="Q44" s="27">
        <f t="shared" si="18"/>
        <v>9024823.5650448482</v>
      </c>
      <c r="R44" s="27">
        <f t="shared" si="18"/>
        <v>1895212.9486594182</v>
      </c>
      <c r="S44" s="27">
        <f t="shared" si="18"/>
        <v>454558.72423355491</v>
      </c>
      <c r="T44" s="27">
        <f t="shared" si="18"/>
        <v>-95457.33208904654</v>
      </c>
      <c r="U44" s="27">
        <f t="shared" si="18"/>
        <v>-48192.588237734744</v>
      </c>
      <c r="V44" s="27">
        <f t="shared" si="18"/>
        <v>-336.87346881780832</v>
      </c>
      <c r="W44" s="27">
        <f t="shared" si="18"/>
        <v>-1438.6032240970203</v>
      </c>
      <c r="X44" s="27">
        <f>AVERAGE(X16:X28)</f>
        <v>8090843.2862347178</v>
      </c>
      <c r="AA44" s="27">
        <f>AA28</f>
        <v>7979101.5866022352</v>
      </c>
    </row>
    <row r="45" spans="1:31">
      <c r="H45" s="27"/>
      <c r="I45" s="27"/>
      <c r="J45" s="27"/>
      <c r="K45" s="27"/>
      <c r="L45" s="27"/>
      <c r="M45" s="27"/>
      <c r="N45" s="27"/>
      <c r="O45" s="27"/>
      <c r="P45" s="27"/>
      <c r="X45" s="27"/>
    </row>
    <row r="46" spans="1:31">
      <c r="B46" s="60" t="s">
        <v>163</v>
      </c>
      <c r="C46" s="52" t="s">
        <v>723</v>
      </c>
      <c r="S46" s="27"/>
      <c r="T46" s="27"/>
      <c r="U46" s="27"/>
      <c r="V46" s="27"/>
      <c r="W46" s="27"/>
    </row>
    <row r="47" spans="1:31">
      <c r="B47" s="60" t="s">
        <v>164</v>
      </c>
      <c r="C47" s="52" t="s">
        <v>722</v>
      </c>
      <c r="S47" s="54"/>
      <c r="T47" s="54"/>
      <c r="U47" s="54"/>
      <c r="V47" s="54"/>
      <c r="W47" s="54"/>
    </row>
    <row r="48" spans="1:31">
      <c r="B48" s="60" t="s">
        <v>165</v>
      </c>
      <c r="C48" s="52" t="s">
        <v>721</v>
      </c>
      <c r="D48" s="245"/>
      <c r="S48" s="48"/>
      <c r="T48" s="48"/>
      <c r="U48" s="48"/>
      <c r="V48" s="48"/>
      <c r="W48" s="48"/>
    </row>
    <row r="49" spans="1:24">
      <c r="B49" s="60" t="s">
        <v>174</v>
      </c>
      <c r="C49" s="52" t="s">
        <v>720</v>
      </c>
      <c r="D49" s="245"/>
      <c r="S49" s="48"/>
      <c r="T49" s="48"/>
      <c r="U49" s="48"/>
      <c r="V49" s="48"/>
      <c r="W49" s="48"/>
    </row>
    <row r="50" spans="1:24">
      <c r="B50" s="60" t="s">
        <v>210</v>
      </c>
      <c r="C50" s="52" t="s">
        <v>719</v>
      </c>
      <c r="D50" s="245"/>
      <c r="S50" s="48"/>
      <c r="T50" s="48"/>
      <c r="U50" s="48"/>
      <c r="V50" s="48"/>
      <c r="W50" s="48"/>
    </row>
    <row r="51" spans="1:24">
      <c r="B51" s="60" t="s">
        <v>225</v>
      </c>
      <c r="C51" s="52" t="s">
        <v>718</v>
      </c>
      <c r="D51" s="245"/>
      <c r="S51" s="48"/>
      <c r="T51" s="48"/>
      <c r="U51" s="48"/>
      <c r="V51" s="48"/>
      <c r="W51" s="48"/>
    </row>
    <row r="52" spans="1:24">
      <c r="A52" s="54"/>
      <c r="D52" s="54" t="s">
        <v>24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49"/>
      <c r="T52" s="49"/>
      <c r="U52" s="49"/>
      <c r="V52" s="49"/>
      <c r="W52" s="49"/>
      <c r="X52" s="54"/>
    </row>
    <row r="53" spans="1:24" ht="25.5">
      <c r="A53" s="54"/>
      <c r="B53" s="54"/>
      <c r="C53" s="55"/>
      <c r="D53" s="54" t="s">
        <v>25</v>
      </c>
      <c r="E53" s="55" t="s">
        <v>555</v>
      </c>
      <c r="F53" s="54"/>
      <c r="G53" s="54"/>
      <c r="H53" s="54"/>
      <c r="I53" s="54"/>
      <c r="J53" s="54"/>
      <c r="K53" s="54"/>
      <c r="L53" s="54"/>
      <c r="M53" s="54"/>
      <c r="N53" s="54" t="s">
        <v>3</v>
      </c>
      <c r="O53" s="54" t="s">
        <v>35</v>
      </c>
      <c r="P53" s="54"/>
      <c r="Q53" s="54"/>
      <c r="R53" s="55" t="s">
        <v>179</v>
      </c>
      <c r="X53" s="49"/>
    </row>
    <row r="54" spans="1:24">
      <c r="A54" s="54" t="s">
        <v>4</v>
      </c>
      <c r="B54" s="54"/>
      <c r="C54" s="54"/>
      <c r="D54" s="54" t="s">
        <v>26</v>
      </c>
      <c r="E54" s="54" t="s">
        <v>556</v>
      </c>
      <c r="F54" s="54"/>
      <c r="G54" s="54"/>
      <c r="H54" s="54">
        <v>2017</v>
      </c>
      <c r="I54" s="54">
        <v>2018</v>
      </c>
      <c r="J54" s="54">
        <v>2019</v>
      </c>
      <c r="K54" s="54">
        <v>2020</v>
      </c>
      <c r="L54" s="54">
        <v>2021</v>
      </c>
      <c r="M54" s="54">
        <v>2022</v>
      </c>
      <c r="N54" s="54" t="s">
        <v>34</v>
      </c>
      <c r="O54" s="54" t="s">
        <v>36</v>
      </c>
      <c r="P54" s="54" t="s">
        <v>38</v>
      </c>
      <c r="Q54" s="54"/>
      <c r="R54" s="54" t="s">
        <v>34</v>
      </c>
      <c r="X54" s="49"/>
    </row>
    <row r="55" spans="1:24">
      <c r="A55" s="532" t="s">
        <v>5</v>
      </c>
      <c r="B55" s="532"/>
      <c r="C55" s="532"/>
      <c r="D55" s="532" t="s">
        <v>2</v>
      </c>
      <c r="E55" s="532" t="s">
        <v>557</v>
      </c>
      <c r="F55" s="532"/>
      <c r="G55" s="532" t="s">
        <v>105</v>
      </c>
      <c r="H55" s="532" t="s">
        <v>20</v>
      </c>
      <c r="I55" s="532" t="s">
        <v>20</v>
      </c>
      <c r="J55" s="532" t="s">
        <v>20</v>
      </c>
      <c r="K55" s="532" t="s">
        <v>20</v>
      </c>
      <c r="L55" s="532" t="s">
        <v>20</v>
      </c>
      <c r="M55" s="532" t="s">
        <v>1045</v>
      </c>
      <c r="N55" s="532" t="s">
        <v>0</v>
      </c>
      <c r="O55" s="532" t="s">
        <v>37</v>
      </c>
      <c r="P55" s="532" t="s">
        <v>0</v>
      </c>
      <c r="Q55" s="532" t="s">
        <v>39</v>
      </c>
      <c r="R55" s="56" t="s">
        <v>453</v>
      </c>
      <c r="X55" s="49"/>
    </row>
    <row r="56" spans="1:24">
      <c r="C56" s="57"/>
      <c r="D56" s="57" t="s">
        <v>69</v>
      </c>
      <c r="E56" s="57"/>
      <c r="F56" s="58"/>
      <c r="G56" s="58"/>
      <c r="H56" s="57" t="s">
        <v>163</v>
      </c>
      <c r="I56" s="57" t="s">
        <v>164</v>
      </c>
      <c r="J56" s="57" t="s">
        <v>165</v>
      </c>
      <c r="K56" s="57" t="s">
        <v>174</v>
      </c>
      <c r="L56" s="57" t="s">
        <v>210</v>
      </c>
      <c r="M56" s="57" t="s">
        <v>225</v>
      </c>
      <c r="X56" s="50"/>
    </row>
    <row r="57" spans="1:24">
      <c r="A57" s="52">
        <v>1</v>
      </c>
      <c r="C57" s="57" t="s">
        <v>68</v>
      </c>
      <c r="D57" s="59"/>
      <c r="E57" s="57"/>
      <c r="H57" s="27">
        <f>H11+H13</f>
        <v>2510914.6499999994</v>
      </c>
      <c r="I57" s="27">
        <f t="shared" ref="I57" si="19">I11+I13</f>
        <v>4755556.1999999983</v>
      </c>
      <c r="J57" s="27">
        <f>J11</f>
        <v>4801920.54</v>
      </c>
      <c r="K57" s="27">
        <f>K11</f>
        <v>4929518.1200000104</v>
      </c>
      <c r="L57" s="27">
        <f>L11</f>
        <v>4803986.8599999901</v>
      </c>
      <c r="M57" s="27">
        <f>M11</f>
        <v>6174770.9499999955</v>
      </c>
      <c r="N57" s="62"/>
      <c r="X57" s="50"/>
    </row>
    <row r="58" spans="1:24">
      <c r="A58" s="52">
        <v>2</v>
      </c>
      <c r="C58" s="57" t="s">
        <v>72</v>
      </c>
      <c r="D58" s="59"/>
      <c r="E58" s="57"/>
      <c r="H58" s="27">
        <f>H12</f>
        <v>2278129.7400000002</v>
      </c>
      <c r="I58" s="27">
        <f t="shared" ref="I58:M58" si="20">I12</f>
        <v>5069750.870000002</v>
      </c>
      <c r="J58" s="27">
        <f t="shared" si="20"/>
        <v>6475425.9099999992</v>
      </c>
      <c r="K58" s="27">
        <f t="shared" si="20"/>
        <v>4720575.92</v>
      </c>
      <c r="L58" s="27">
        <f t="shared" si="20"/>
        <v>4028678.0700000003</v>
      </c>
      <c r="M58" s="27">
        <f t="shared" si="20"/>
        <v>8518992.4499999993</v>
      </c>
      <c r="X58" s="50"/>
    </row>
    <row r="59" spans="1:24">
      <c r="A59" s="52">
        <v>3</v>
      </c>
      <c r="C59" s="57" t="s">
        <v>182</v>
      </c>
      <c r="D59" s="59"/>
      <c r="E59" s="57"/>
      <c r="H59" s="460" t="s">
        <v>394</v>
      </c>
      <c r="I59" s="460" t="s">
        <v>394</v>
      </c>
      <c r="J59" s="460" t="s">
        <v>394</v>
      </c>
      <c r="K59" s="460" t="s">
        <v>394</v>
      </c>
      <c r="L59" s="460" t="s">
        <v>394</v>
      </c>
      <c r="M59" s="460" t="s">
        <v>394</v>
      </c>
      <c r="X59" s="50"/>
    </row>
    <row r="60" spans="1:24">
      <c r="C60" s="59"/>
      <c r="E60" s="59"/>
      <c r="X60" s="50"/>
    </row>
    <row r="61" spans="1:24">
      <c r="C61" s="54" t="s">
        <v>561</v>
      </c>
      <c r="H61" s="195"/>
      <c r="I61" s="195"/>
      <c r="J61" s="195"/>
      <c r="K61" s="195"/>
      <c r="L61" s="195"/>
      <c r="M61" s="195"/>
      <c r="N61" s="195"/>
      <c r="O61" s="195"/>
      <c r="P61" s="244"/>
      <c r="X61" s="50"/>
    </row>
    <row r="62" spans="1:24">
      <c r="C62" s="54" t="s">
        <v>562</v>
      </c>
      <c r="H62" s="57" t="s">
        <v>163</v>
      </c>
      <c r="I62" s="57" t="s">
        <v>164</v>
      </c>
      <c r="J62" s="57" t="s">
        <v>165</v>
      </c>
      <c r="K62" s="57" t="s">
        <v>174</v>
      </c>
      <c r="L62" s="57" t="s">
        <v>210</v>
      </c>
      <c r="M62" s="57" t="s">
        <v>225</v>
      </c>
      <c r="X62" s="51"/>
    </row>
    <row r="63" spans="1:24">
      <c r="A63" s="52">
        <f>A59+1</f>
        <v>4</v>
      </c>
      <c r="C63" s="61">
        <v>3.7499999999999999E-2</v>
      </c>
      <c r="D63" s="61">
        <v>0.05</v>
      </c>
      <c r="E63" s="156">
        <v>1</v>
      </c>
      <c r="G63" s="52">
        <v>1</v>
      </c>
      <c r="H63" s="27">
        <f>$H$57*$C$68/12</f>
        <v>11058.486604374999</v>
      </c>
      <c r="I63" s="27">
        <f>$I$57*$C$67/12</f>
        <v>22640.41047549999</v>
      </c>
      <c r="J63" s="27">
        <f>$J$57*$C$66/12</f>
        <v>24717.88597965</v>
      </c>
      <c r="K63" s="27">
        <f>$K$57*$C$65/12</f>
        <v>27428.660406033388</v>
      </c>
      <c r="L63" s="27">
        <f>$L$57*$C$64/12</f>
        <v>28899.984285283277</v>
      </c>
      <c r="M63" s="27">
        <f>M17</f>
        <v>22142.7676875</v>
      </c>
      <c r="N63" s="27">
        <f>SUM(H63:M63)</f>
        <v>136888.19543834165</v>
      </c>
      <c r="O63" s="231">
        <f>O17</f>
        <v>43394.899999999994</v>
      </c>
      <c r="P63" s="231">
        <f>P17</f>
        <v>121195.90818650005</v>
      </c>
      <c r="Q63" s="27">
        <f>N63+O63-P63</f>
        <v>59087.187251841591</v>
      </c>
      <c r="R63" s="27">
        <f>Q63*0.05</f>
        <v>2954.3593625920798</v>
      </c>
      <c r="X63" s="51"/>
    </row>
    <row r="64" spans="1:24">
      <c r="A64" s="52">
        <f>A63+1</f>
        <v>5</v>
      </c>
      <c r="C64" s="61">
        <v>7.2190000000000004E-2</v>
      </c>
      <c r="D64" s="61">
        <v>9.5000000000000001E-2</v>
      </c>
      <c r="E64" s="156">
        <v>2</v>
      </c>
      <c r="G64" s="52">
        <v>2</v>
      </c>
      <c r="H64" s="27">
        <f t="shared" ref="H64:H74" si="21">$H$57*$C$68/12</f>
        <v>11058.486604374999</v>
      </c>
      <c r="I64" s="27">
        <f t="shared" ref="I64:I74" si="22">$I$57*$C$67/12</f>
        <v>22640.41047549999</v>
      </c>
      <c r="J64" s="27">
        <f t="shared" ref="J64:J74" si="23">$J$57*$C$66/12</f>
        <v>24717.88597965</v>
      </c>
      <c r="K64" s="27">
        <f t="shared" ref="K64:K74" si="24">$K$57*$C$65/12</f>
        <v>27428.660406033388</v>
      </c>
      <c r="L64" s="27">
        <f t="shared" ref="L64:L74" si="25">$L$57*$C$64/12</f>
        <v>28899.984285283277</v>
      </c>
      <c r="M64" s="27">
        <f t="shared" ref="M64:M74" si="26">M18</f>
        <v>83496.229041666666</v>
      </c>
      <c r="N64" s="27">
        <f t="shared" ref="N64:N74" si="27">SUM(H64:M64)</f>
        <v>198241.65679250832</v>
      </c>
      <c r="O64" s="231">
        <f t="shared" ref="O64:P74" si="28">O18</f>
        <v>32819.450000000004</v>
      </c>
      <c r="P64" s="231">
        <f t="shared" si="28"/>
        <v>123452.31559500007</v>
      </c>
      <c r="Q64" s="27">
        <f t="shared" ref="Q64:Q74" si="29">N64+O64-P64</f>
        <v>107608.79119750827</v>
      </c>
      <c r="R64" s="27">
        <f t="shared" ref="R64:R74" si="30">Q64*0.05</f>
        <v>5380.4395598754136</v>
      </c>
      <c r="X64" s="51"/>
    </row>
    <row r="65" spans="1:24">
      <c r="A65" s="52">
        <f t="shared" ref="A65:A90" si="31">A64+1</f>
        <v>6</v>
      </c>
      <c r="C65" s="61">
        <v>6.6769999999999996E-2</v>
      </c>
      <c r="D65" s="61">
        <v>8.5500000000000007E-2</v>
      </c>
      <c r="E65" s="156">
        <v>3</v>
      </c>
      <c r="G65" s="52">
        <v>3</v>
      </c>
      <c r="H65" s="27">
        <f t="shared" si="21"/>
        <v>11058.486604374999</v>
      </c>
      <c r="I65" s="27">
        <f t="shared" si="22"/>
        <v>22640.41047549999</v>
      </c>
      <c r="J65" s="27">
        <f t="shared" si="23"/>
        <v>24717.88597965</v>
      </c>
      <c r="K65" s="27">
        <f t="shared" si="24"/>
        <v>27428.660406033388</v>
      </c>
      <c r="L65" s="27">
        <f t="shared" si="25"/>
        <v>28899.984285283277</v>
      </c>
      <c r="M65" s="27">
        <f t="shared" si="26"/>
        <v>225332.93911458334</v>
      </c>
      <c r="N65" s="27">
        <f t="shared" si="27"/>
        <v>340078.36686542502</v>
      </c>
      <c r="O65" s="231">
        <f t="shared" si="28"/>
        <v>56004.17</v>
      </c>
      <c r="P65" s="231">
        <f t="shared" si="28"/>
        <v>126196.95948750005</v>
      </c>
      <c r="Q65" s="27">
        <f t="shared" si="29"/>
        <v>269885.57737792493</v>
      </c>
      <c r="R65" s="27">
        <f t="shared" si="30"/>
        <v>13494.278868896246</v>
      </c>
      <c r="X65" s="51"/>
    </row>
    <row r="66" spans="1:24">
      <c r="A66" s="52">
        <f t="shared" si="31"/>
        <v>7</v>
      </c>
      <c r="C66" s="61">
        <v>6.1769999999999999E-2</v>
      </c>
      <c r="D66" s="61">
        <v>7.6999999999999999E-2</v>
      </c>
      <c r="E66" s="156">
        <v>4</v>
      </c>
      <c r="G66" s="52">
        <v>4</v>
      </c>
      <c r="H66" s="27">
        <f t="shared" si="21"/>
        <v>11058.486604374999</v>
      </c>
      <c r="I66" s="27">
        <f t="shared" si="22"/>
        <v>22640.41047549999</v>
      </c>
      <c r="J66" s="27">
        <f t="shared" si="23"/>
        <v>24717.88597965</v>
      </c>
      <c r="K66" s="27">
        <f t="shared" si="24"/>
        <v>27428.660406033388</v>
      </c>
      <c r="L66" s="27">
        <f t="shared" si="25"/>
        <v>28899.984285283277</v>
      </c>
      <c r="M66" s="27">
        <f t="shared" si="26"/>
        <v>335220.76403124997</v>
      </c>
      <c r="N66" s="27">
        <f t="shared" si="27"/>
        <v>449966.19178209163</v>
      </c>
      <c r="O66" s="231">
        <f t="shared" si="28"/>
        <v>20911.28</v>
      </c>
      <c r="P66" s="231">
        <f t="shared" si="28"/>
        <v>129336.80867100005</v>
      </c>
      <c r="Q66" s="27">
        <f t="shared" si="29"/>
        <v>341540.66311109159</v>
      </c>
      <c r="R66" s="27">
        <f t="shared" si="30"/>
        <v>17077.033155554582</v>
      </c>
      <c r="X66" s="51"/>
    </row>
    <row r="67" spans="1:24">
      <c r="A67" s="52">
        <f t="shared" si="31"/>
        <v>8</v>
      </c>
      <c r="C67" s="61">
        <v>5.713E-2</v>
      </c>
      <c r="D67" s="61">
        <v>6.93E-2</v>
      </c>
      <c r="E67" s="156">
        <v>5</v>
      </c>
      <c r="G67" s="52">
        <v>5</v>
      </c>
      <c r="H67" s="27">
        <f t="shared" si="21"/>
        <v>11058.486604374999</v>
      </c>
      <c r="I67" s="27">
        <f t="shared" si="22"/>
        <v>22640.41047549999</v>
      </c>
      <c r="J67" s="27">
        <f t="shared" si="23"/>
        <v>24717.88597965</v>
      </c>
      <c r="K67" s="27">
        <f t="shared" si="24"/>
        <v>27428.660406033388</v>
      </c>
      <c r="L67" s="27">
        <f t="shared" si="25"/>
        <v>28899.984285283277</v>
      </c>
      <c r="M67" s="27">
        <f t="shared" si="26"/>
        <v>537781.41491666657</v>
      </c>
      <c r="N67" s="27">
        <f t="shared" si="27"/>
        <v>652526.84266750817</v>
      </c>
      <c r="O67" s="231">
        <f t="shared" si="28"/>
        <v>58273.700000000004</v>
      </c>
      <c r="P67" s="231">
        <f t="shared" si="28"/>
        <v>132653.62302300005</v>
      </c>
      <c r="Q67" s="27">
        <f t="shared" si="29"/>
        <v>578146.91964450805</v>
      </c>
      <c r="R67" s="27">
        <f t="shared" si="30"/>
        <v>28907.345982225404</v>
      </c>
      <c r="X67" s="51"/>
    </row>
    <row r="68" spans="1:24">
      <c r="A68" s="52">
        <f t="shared" si="31"/>
        <v>9</v>
      </c>
      <c r="C68" s="61">
        <v>5.2850000000000001E-2</v>
      </c>
      <c r="D68" s="61">
        <v>6.2300000000000001E-2</v>
      </c>
      <c r="E68" s="156">
        <v>6</v>
      </c>
      <c r="G68" s="52">
        <v>6</v>
      </c>
      <c r="H68" s="27">
        <f t="shared" si="21"/>
        <v>11058.486604374999</v>
      </c>
      <c r="I68" s="27">
        <f t="shared" si="22"/>
        <v>22640.41047549999</v>
      </c>
      <c r="J68" s="27">
        <f t="shared" si="23"/>
        <v>24717.88597965</v>
      </c>
      <c r="K68" s="27">
        <f t="shared" si="24"/>
        <v>27428.660406033388</v>
      </c>
      <c r="L68" s="27">
        <f t="shared" si="25"/>
        <v>28899.984285283277</v>
      </c>
      <c r="M68" s="27">
        <f t="shared" si="26"/>
        <v>604420.47945833358</v>
      </c>
      <c r="N68" s="27">
        <f t="shared" si="27"/>
        <v>719165.90720917517</v>
      </c>
      <c r="O68" s="231">
        <f t="shared" si="28"/>
        <v>-2476.3899999999994</v>
      </c>
      <c r="P68" s="231">
        <f t="shared" si="28"/>
        <v>135852.15808350005</v>
      </c>
      <c r="Q68" s="27">
        <f t="shared" si="29"/>
        <v>580837.35912567517</v>
      </c>
      <c r="R68" s="27">
        <f t="shared" si="30"/>
        <v>29041.867956283761</v>
      </c>
      <c r="X68" s="51"/>
    </row>
    <row r="69" spans="1:24">
      <c r="A69" s="52">
        <f t="shared" si="31"/>
        <v>10</v>
      </c>
      <c r="C69" s="61">
        <v>4.888E-2</v>
      </c>
      <c r="D69" s="61">
        <v>5.8999999999999997E-2</v>
      </c>
      <c r="E69" s="156">
        <v>7</v>
      </c>
      <c r="G69" s="52">
        <v>7</v>
      </c>
      <c r="H69" s="27">
        <f t="shared" si="21"/>
        <v>11058.486604374999</v>
      </c>
      <c r="I69" s="27">
        <f t="shared" si="22"/>
        <v>22640.41047549999</v>
      </c>
      <c r="J69" s="27">
        <f t="shared" si="23"/>
        <v>24717.88597965</v>
      </c>
      <c r="K69" s="27">
        <f t="shared" si="24"/>
        <v>27428.660406033388</v>
      </c>
      <c r="L69" s="27">
        <f t="shared" si="25"/>
        <v>28899.984285283277</v>
      </c>
      <c r="M69" s="27">
        <f t="shared" si="26"/>
        <v>1003861.743885417</v>
      </c>
      <c r="N69" s="27">
        <f t="shared" si="27"/>
        <v>1118607.1716362587</v>
      </c>
      <c r="O69" s="231">
        <f t="shared" si="28"/>
        <v>112042.12999999999</v>
      </c>
      <c r="P69" s="231">
        <f t="shared" si="28"/>
        <v>139491.37600650004</v>
      </c>
      <c r="Q69" s="27">
        <f t="shared" si="29"/>
        <v>1091157.9256297585</v>
      </c>
      <c r="R69" s="27">
        <f t="shared" si="30"/>
        <v>54557.896281487927</v>
      </c>
      <c r="X69" s="51"/>
    </row>
    <row r="70" spans="1:24">
      <c r="A70" s="52">
        <f t="shared" si="31"/>
        <v>11</v>
      </c>
      <c r="C70" s="61">
        <v>4.5220000000000003E-2</v>
      </c>
      <c r="D70" s="61">
        <v>5.8999999999999997E-2</v>
      </c>
      <c r="E70" s="156">
        <v>8</v>
      </c>
      <c r="G70" s="52">
        <v>8</v>
      </c>
      <c r="H70" s="27">
        <f t="shared" si="21"/>
        <v>11058.486604374999</v>
      </c>
      <c r="I70" s="27">
        <f t="shared" si="22"/>
        <v>22640.41047549999</v>
      </c>
      <c r="J70" s="27">
        <f t="shared" si="23"/>
        <v>24717.88597965</v>
      </c>
      <c r="K70" s="27">
        <f t="shared" si="24"/>
        <v>27428.660406033388</v>
      </c>
      <c r="L70" s="27">
        <f t="shared" si="25"/>
        <v>28899.984285283277</v>
      </c>
      <c r="M70" s="27">
        <f t="shared" si="26"/>
        <v>1075916.5891979169</v>
      </c>
      <c r="N70" s="27">
        <f t="shared" si="27"/>
        <v>1190662.0169487586</v>
      </c>
      <c r="O70" s="231">
        <f t="shared" si="28"/>
        <v>89950.87</v>
      </c>
      <c r="P70" s="231">
        <f t="shared" si="28"/>
        <v>143870.48678250005</v>
      </c>
      <c r="Q70" s="27">
        <f t="shared" si="29"/>
        <v>1136742.4001662587</v>
      </c>
      <c r="R70" s="27">
        <f t="shared" si="30"/>
        <v>56837.120008312937</v>
      </c>
      <c r="X70" s="51"/>
    </row>
    <row r="71" spans="1:24">
      <c r="A71" s="52">
        <f t="shared" si="31"/>
        <v>12</v>
      </c>
      <c r="C71" s="61">
        <v>4.462E-2</v>
      </c>
      <c r="D71" s="61">
        <v>5.91E-2</v>
      </c>
      <c r="E71" s="156">
        <v>9</v>
      </c>
      <c r="G71" s="52">
        <v>9</v>
      </c>
      <c r="H71" s="27">
        <f t="shared" si="21"/>
        <v>11058.486604374999</v>
      </c>
      <c r="I71" s="27">
        <f t="shared" si="22"/>
        <v>22640.41047549999</v>
      </c>
      <c r="J71" s="27">
        <f t="shared" si="23"/>
        <v>24717.88597965</v>
      </c>
      <c r="K71" s="27">
        <f t="shared" si="24"/>
        <v>27428.660406033388</v>
      </c>
      <c r="L71" s="27">
        <f t="shared" si="25"/>
        <v>28899.984285283277</v>
      </c>
      <c r="M71" s="27">
        <f t="shared" si="26"/>
        <v>1141901.822229166</v>
      </c>
      <c r="N71" s="27">
        <f t="shared" si="27"/>
        <v>1256647.2499800078</v>
      </c>
      <c r="O71" s="231">
        <f t="shared" si="28"/>
        <v>89695.81</v>
      </c>
      <c r="P71" s="231">
        <f t="shared" si="28"/>
        <v>147973.36416300002</v>
      </c>
      <c r="Q71" s="27">
        <f t="shared" si="29"/>
        <v>1198369.6958170077</v>
      </c>
      <c r="R71" s="27">
        <f t="shared" si="30"/>
        <v>59918.484790850387</v>
      </c>
      <c r="X71" s="51"/>
    </row>
    <row r="72" spans="1:24">
      <c r="A72" s="52">
        <f t="shared" si="31"/>
        <v>13</v>
      </c>
      <c r="C72" s="61">
        <v>4.4609999999999997E-2</v>
      </c>
      <c r="D72" s="61">
        <v>5.8999999999999997E-2</v>
      </c>
      <c r="E72" s="156">
        <v>10</v>
      </c>
      <c r="G72" s="52">
        <v>10</v>
      </c>
      <c r="H72" s="27">
        <f t="shared" si="21"/>
        <v>11058.486604374999</v>
      </c>
      <c r="I72" s="27">
        <f t="shared" si="22"/>
        <v>22640.41047549999</v>
      </c>
      <c r="J72" s="27">
        <f t="shared" si="23"/>
        <v>24717.88597965</v>
      </c>
      <c r="K72" s="27">
        <f t="shared" si="24"/>
        <v>27428.660406033388</v>
      </c>
      <c r="L72" s="27">
        <f t="shared" si="25"/>
        <v>28899.984285283277</v>
      </c>
      <c r="M72" s="27">
        <f t="shared" si="26"/>
        <v>865071.23220833391</v>
      </c>
      <c r="N72" s="27">
        <f t="shared" si="27"/>
        <v>979816.65995917562</v>
      </c>
      <c r="O72" s="231">
        <f t="shared" si="28"/>
        <v>22723.79</v>
      </c>
      <c r="P72" s="231">
        <f t="shared" si="28"/>
        <v>151092.01061100003</v>
      </c>
      <c r="Q72" s="27">
        <f t="shared" si="29"/>
        <v>851448.43934817566</v>
      </c>
      <c r="R72" s="27">
        <f t="shared" si="30"/>
        <v>42572.421967408787</v>
      </c>
      <c r="X72" s="51"/>
    </row>
    <row r="73" spans="1:24">
      <c r="A73" s="52">
        <f t="shared" si="31"/>
        <v>14</v>
      </c>
      <c r="C73" s="61">
        <v>4.462E-2</v>
      </c>
      <c r="D73" s="61">
        <v>5.91E-2</v>
      </c>
      <c r="E73" s="156">
        <v>11</v>
      </c>
      <c r="G73" s="52">
        <v>11</v>
      </c>
      <c r="H73" s="27">
        <f t="shared" si="21"/>
        <v>11058.486604374999</v>
      </c>
      <c r="I73" s="27">
        <f t="shared" si="22"/>
        <v>22640.41047549999</v>
      </c>
      <c r="J73" s="27">
        <f t="shared" si="23"/>
        <v>24717.88597965</v>
      </c>
      <c r="K73" s="27">
        <f t="shared" si="24"/>
        <v>27428.660406033388</v>
      </c>
      <c r="L73" s="27">
        <f t="shared" si="25"/>
        <v>28899.984285283277</v>
      </c>
      <c r="M73" s="27">
        <f t="shared" si="26"/>
        <v>1346389.4253333318</v>
      </c>
      <c r="N73" s="27">
        <f t="shared" si="27"/>
        <v>1461134.8530841735</v>
      </c>
      <c r="O73" s="231">
        <f t="shared" si="28"/>
        <v>-7091.4600000000009</v>
      </c>
      <c r="P73" s="231">
        <f t="shared" si="28"/>
        <v>153984.74332050004</v>
      </c>
      <c r="Q73" s="27">
        <f t="shared" si="29"/>
        <v>1300058.6497636735</v>
      </c>
      <c r="R73" s="27">
        <f t="shared" si="30"/>
        <v>65002.93248818368</v>
      </c>
      <c r="X73" s="51"/>
    </row>
    <row r="74" spans="1:24">
      <c r="A74" s="52">
        <f t="shared" si="31"/>
        <v>15</v>
      </c>
      <c r="C74" s="61">
        <v>4.4609999999999997E-2</v>
      </c>
      <c r="D74" s="61">
        <v>5.8999999999999997E-2</v>
      </c>
      <c r="E74" s="156">
        <v>12</v>
      </c>
      <c r="G74" s="52">
        <v>12</v>
      </c>
      <c r="H74" s="27">
        <f t="shared" si="21"/>
        <v>11058.486604374999</v>
      </c>
      <c r="I74" s="27">
        <f t="shared" si="22"/>
        <v>22640.41047549999</v>
      </c>
      <c r="J74" s="27">
        <f t="shared" si="23"/>
        <v>24717.88597965</v>
      </c>
      <c r="K74" s="27">
        <f t="shared" si="24"/>
        <v>27428.660406033388</v>
      </c>
      <c r="L74" s="27">
        <f t="shared" si="25"/>
        <v>28899.984285283277</v>
      </c>
      <c r="M74" s="27">
        <f t="shared" si="26"/>
        <v>1509010.953520833</v>
      </c>
      <c r="N74" s="27">
        <f t="shared" si="27"/>
        <v>1623756.3812716748</v>
      </c>
      <c r="O74" s="231">
        <f t="shared" si="28"/>
        <v>110109.07999999999</v>
      </c>
      <c r="P74" s="231">
        <f t="shared" si="28"/>
        <v>157574.58503400005</v>
      </c>
      <c r="Q74" s="27">
        <f t="shared" si="29"/>
        <v>1576290.8762376748</v>
      </c>
      <c r="R74" s="27">
        <f t="shared" si="30"/>
        <v>78814.543811883748</v>
      </c>
      <c r="X74" s="51"/>
    </row>
    <row r="75" spans="1:24">
      <c r="A75" s="52">
        <f t="shared" si="31"/>
        <v>16</v>
      </c>
      <c r="C75" s="61">
        <v>4.462E-2</v>
      </c>
      <c r="D75" s="61">
        <v>5.91E-2</v>
      </c>
      <c r="E75" s="156">
        <v>13</v>
      </c>
      <c r="H75" s="27"/>
      <c r="I75" s="27"/>
      <c r="J75" s="27"/>
      <c r="K75" s="27"/>
      <c r="L75" s="27"/>
      <c r="M75" s="27"/>
      <c r="N75" s="27"/>
      <c r="O75" s="27"/>
      <c r="P75" s="27"/>
      <c r="Q75" s="27" t="str">
        <f t="shared" ref="Q75:Q89" si="32">IF(P75=0,"",N75+O75-P75)</f>
        <v/>
      </c>
      <c r="R75" s="27" t="str">
        <f t="shared" ref="R75:R89" si="33">IF(Q75="","",Q75*0.389)</f>
        <v/>
      </c>
      <c r="S75" s="51"/>
      <c r="T75" s="51"/>
      <c r="U75" s="51"/>
      <c r="V75" s="51"/>
      <c r="W75" s="51"/>
      <c r="X75" s="27" t="str">
        <f t="shared" ref="X75:X89" si="34">IF(R75="","",X74+R75)</f>
        <v/>
      </c>
    </row>
    <row r="76" spans="1:24">
      <c r="A76" s="52">
        <f t="shared" si="31"/>
        <v>17</v>
      </c>
      <c r="C76" s="61">
        <v>4.4609999999999997E-2</v>
      </c>
      <c r="D76" s="61">
        <v>5.8999999999999997E-2</v>
      </c>
      <c r="E76" s="156">
        <v>14</v>
      </c>
      <c r="H76" s="27"/>
      <c r="I76" s="27"/>
      <c r="J76" s="27"/>
      <c r="K76" s="27"/>
      <c r="L76" s="27"/>
      <c r="M76" s="27"/>
      <c r="N76" s="27"/>
      <c r="O76" s="27"/>
      <c r="P76" s="27"/>
      <c r="Q76" s="27" t="str">
        <f t="shared" si="32"/>
        <v/>
      </c>
      <c r="R76" s="27" t="str">
        <f t="shared" si="33"/>
        <v/>
      </c>
      <c r="S76" s="51"/>
      <c r="T76" s="51"/>
      <c r="U76" s="51"/>
      <c r="V76" s="51"/>
      <c r="W76" s="51"/>
      <c r="X76" s="27" t="str">
        <f t="shared" si="34"/>
        <v/>
      </c>
    </row>
    <row r="77" spans="1:24">
      <c r="A77" s="52">
        <f t="shared" si="31"/>
        <v>18</v>
      </c>
      <c r="C77" s="61">
        <v>4.462E-2</v>
      </c>
      <c r="D77" s="61">
        <v>5.91E-2</v>
      </c>
      <c r="E77" s="156">
        <v>15</v>
      </c>
      <c r="H77" s="27"/>
      <c r="I77" s="27"/>
      <c r="J77" s="27"/>
      <c r="K77" s="27"/>
      <c r="L77" s="27"/>
      <c r="M77" s="27"/>
      <c r="N77" s="27"/>
      <c r="O77" s="27"/>
      <c r="P77" s="27"/>
      <c r="Q77" s="27" t="str">
        <f t="shared" si="32"/>
        <v/>
      </c>
      <c r="R77" s="27" t="str">
        <f t="shared" si="33"/>
        <v/>
      </c>
      <c r="S77" s="51"/>
      <c r="T77" s="51"/>
      <c r="U77" s="51"/>
      <c r="V77" s="51"/>
      <c r="W77" s="51"/>
      <c r="X77" s="27" t="str">
        <f t="shared" si="34"/>
        <v/>
      </c>
    </row>
    <row r="78" spans="1:24">
      <c r="A78" s="52">
        <f t="shared" si="31"/>
        <v>19</v>
      </c>
      <c r="C78" s="61">
        <v>4.4609999999999997E-2</v>
      </c>
      <c r="D78" s="61">
        <v>2.9499999999999998E-2</v>
      </c>
      <c r="E78" s="156">
        <v>16</v>
      </c>
      <c r="H78" s="27"/>
      <c r="I78" s="27"/>
      <c r="J78" s="27"/>
      <c r="K78" s="27"/>
      <c r="L78" s="27"/>
      <c r="M78" s="27"/>
      <c r="N78" s="27"/>
      <c r="O78" s="27"/>
      <c r="P78" s="27"/>
      <c r="Q78" s="27" t="str">
        <f t="shared" si="32"/>
        <v/>
      </c>
      <c r="R78" s="27" t="str">
        <f t="shared" si="33"/>
        <v/>
      </c>
      <c r="S78" s="51"/>
      <c r="T78" s="51"/>
      <c r="U78" s="51"/>
      <c r="V78" s="51"/>
      <c r="W78" s="51"/>
      <c r="X78" s="27" t="str">
        <f t="shared" si="34"/>
        <v/>
      </c>
    </row>
    <row r="79" spans="1:24">
      <c r="A79" s="52">
        <f t="shared" si="31"/>
        <v>20</v>
      </c>
      <c r="C79" s="61">
        <v>4.462E-2</v>
      </c>
      <c r="D79" s="61">
        <v>0</v>
      </c>
      <c r="E79" s="156">
        <v>17</v>
      </c>
      <c r="H79" s="27"/>
      <c r="I79" s="27"/>
      <c r="J79" s="27"/>
      <c r="K79" s="27"/>
      <c r="L79" s="27"/>
      <c r="M79" s="27"/>
      <c r="N79" s="27"/>
      <c r="O79" s="27"/>
      <c r="P79" s="27"/>
      <c r="Q79" s="27" t="str">
        <f t="shared" si="32"/>
        <v/>
      </c>
      <c r="R79" s="27" t="str">
        <f t="shared" si="33"/>
        <v/>
      </c>
      <c r="S79" s="51"/>
      <c r="T79" s="51"/>
      <c r="U79" s="51"/>
      <c r="V79" s="51"/>
      <c r="W79" s="51"/>
      <c r="X79" s="27" t="str">
        <f t="shared" si="34"/>
        <v/>
      </c>
    </row>
    <row r="80" spans="1:24">
      <c r="A80" s="52">
        <f t="shared" si="31"/>
        <v>21</v>
      </c>
      <c r="C80" s="61">
        <v>4.4609999999999997E-2</v>
      </c>
      <c r="D80" s="61">
        <v>0</v>
      </c>
      <c r="E80" s="156">
        <v>18</v>
      </c>
      <c r="H80" s="27"/>
      <c r="I80" s="27"/>
      <c r="J80" s="27"/>
      <c r="K80" s="27"/>
      <c r="L80" s="27"/>
      <c r="M80" s="27"/>
      <c r="N80" s="27"/>
      <c r="O80" s="27"/>
      <c r="P80" s="27"/>
      <c r="Q80" s="27" t="str">
        <f t="shared" si="32"/>
        <v/>
      </c>
      <c r="R80" s="27" t="str">
        <f t="shared" si="33"/>
        <v/>
      </c>
      <c r="S80" s="51"/>
      <c r="T80" s="51"/>
      <c r="U80" s="51"/>
      <c r="V80" s="51"/>
      <c r="W80" s="51"/>
      <c r="X80" s="27" t="str">
        <f t="shared" si="34"/>
        <v/>
      </c>
    </row>
    <row r="81" spans="1:24">
      <c r="A81" s="52">
        <f t="shared" si="31"/>
        <v>22</v>
      </c>
      <c r="C81" s="61">
        <v>4.462E-2</v>
      </c>
      <c r="D81" s="61">
        <v>0</v>
      </c>
      <c r="E81" s="156">
        <v>19</v>
      </c>
      <c r="H81" s="27"/>
      <c r="I81" s="27"/>
      <c r="J81" s="27"/>
      <c r="K81" s="27"/>
      <c r="L81" s="27"/>
      <c r="M81" s="27"/>
      <c r="N81" s="27"/>
      <c r="O81" s="27"/>
      <c r="P81" s="27"/>
      <c r="Q81" s="27" t="str">
        <f t="shared" si="32"/>
        <v/>
      </c>
      <c r="R81" s="27" t="str">
        <f t="shared" si="33"/>
        <v/>
      </c>
      <c r="S81" s="51"/>
      <c r="T81" s="51"/>
      <c r="U81" s="51"/>
      <c r="V81" s="51"/>
      <c r="W81" s="51"/>
      <c r="X81" s="27" t="str">
        <f t="shared" si="34"/>
        <v/>
      </c>
    </row>
    <row r="82" spans="1:24">
      <c r="A82" s="52">
        <f t="shared" si="31"/>
        <v>23</v>
      </c>
      <c r="C82" s="61">
        <v>4.4609999999999997E-2</v>
      </c>
      <c r="D82" s="61">
        <v>0</v>
      </c>
      <c r="E82" s="156">
        <v>20</v>
      </c>
      <c r="H82" s="27"/>
      <c r="I82" s="27"/>
      <c r="J82" s="27"/>
      <c r="K82" s="27"/>
      <c r="L82" s="27"/>
      <c r="M82" s="27"/>
      <c r="N82" s="27"/>
      <c r="O82" s="27"/>
      <c r="P82" s="27"/>
      <c r="Q82" s="27" t="str">
        <f t="shared" si="32"/>
        <v/>
      </c>
      <c r="R82" s="27" t="str">
        <f t="shared" si="33"/>
        <v/>
      </c>
      <c r="S82" s="51"/>
      <c r="T82" s="51"/>
      <c r="U82" s="51"/>
      <c r="V82" s="51"/>
      <c r="W82" s="51"/>
      <c r="X82" s="27" t="str">
        <f t="shared" si="34"/>
        <v/>
      </c>
    </row>
    <row r="83" spans="1:24">
      <c r="A83" s="52">
        <f t="shared" si="31"/>
        <v>24</v>
      </c>
      <c r="C83" s="61">
        <v>2.231E-2</v>
      </c>
      <c r="D83" s="61">
        <v>0</v>
      </c>
      <c r="E83" s="156">
        <v>21</v>
      </c>
      <c r="H83" s="27"/>
      <c r="I83" s="27"/>
      <c r="J83" s="27"/>
      <c r="K83" s="27"/>
      <c r="L83" s="27"/>
      <c r="M83" s="27"/>
      <c r="N83" s="27"/>
      <c r="O83" s="27"/>
      <c r="P83" s="27"/>
      <c r="Q83" s="27" t="str">
        <f t="shared" si="32"/>
        <v/>
      </c>
      <c r="R83" s="27" t="str">
        <f t="shared" si="33"/>
        <v/>
      </c>
      <c r="S83" s="51"/>
      <c r="T83" s="51"/>
      <c r="U83" s="51"/>
      <c r="V83" s="51"/>
      <c r="W83" s="51"/>
      <c r="X83" s="27" t="str">
        <f t="shared" si="34"/>
        <v/>
      </c>
    </row>
    <row r="84" spans="1:24">
      <c r="A84" s="52">
        <f t="shared" si="31"/>
        <v>25</v>
      </c>
      <c r="C84" s="61">
        <v>0</v>
      </c>
      <c r="D84" s="61">
        <v>0</v>
      </c>
      <c r="E84" s="156">
        <v>22</v>
      </c>
      <c r="H84" s="27"/>
      <c r="I84" s="27"/>
      <c r="J84" s="27"/>
      <c r="K84" s="27"/>
      <c r="L84" s="27"/>
      <c r="M84" s="27"/>
      <c r="N84" s="27"/>
      <c r="O84" s="27"/>
      <c r="P84" s="27"/>
      <c r="Q84" s="27" t="str">
        <f t="shared" si="32"/>
        <v/>
      </c>
      <c r="R84" s="27" t="str">
        <f t="shared" si="33"/>
        <v/>
      </c>
      <c r="S84" s="51"/>
      <c r="T84" s="51"/>
      <c r="U84" s="51"/>
      <c r="V84" s="51"/>
      <c r="W84" s="51"/>
      <c r="X84" s="27" t="str">
        <f t="shared" si="34"/>
        <v/>
      </c>
    </row>
    <row r="85" spans="1:24">
      <c r="A85" s="52">
        <f t="shared" si="31"/>
        <v>26</v>
      </c>
      <c r="C85" s="61">
        <v>0</v>
      </c>
      <c r="E85" s="156">
        <v>23</v>
      </c>
      <c r="H85" s="27"/>
      <c r="I85" s="27"/>
      <c r="J85" s="27"/>
      <c r="K85" s="27"/>
      <c r="L85" s="27"/>
      <c r="M85" s="27"/>
      <c r="N85" s="27"/>
      <c r="Q85" s="27" t="str">
        <f t="shared" si="32"/>
        <v/>
      </c>
      <c r="R85" s="27" t="str">
        <f t="shared" si="33"/>
        <v/>
      </c>
      <c r="S85" s="51"/>
      <c r="T85" s="51"/>
      <c r="U85" s="51"/>
      <c r="V85" s="51"/>
      <c r="W85" s="51"/>
      <c r="X85" s="27" t="str">
        <f t="shared" si="34"/>
        <v/>
      </c>
    </row>
    <row r="86" spans="1:24">
      <c r="A86" s="52">
        <f t="shared" si="31"/>
        <v>27</v>
      </c>
      <c r="C86" s="61">
        <v>0</v>
      </c>
      <c r="E86" s="156">
        <v>24</v>
      </c>
      <c r="H86" s="27"/>
      <c r="I86" s="27"/>
      <c r="J86" s="27"/>
      <c r="K86" s="27"/>
      <c r="L86" s="27"/>
      <c r="M86" s="27"/>
      <c r="N86" s="27"/>
      <c r="Q86" s="27" t="str">
        <f t="shared" si="32"/>
        <v/>
      </c>
      <c r="R86" s="27" t="str">
        <f t="shared" si="33"/>
        <v/>
      </c>
      <c r="S86" s="51"/>
      <c r="T86" s="51"/>
      <c r="U86" s="51"/>
      <c r="V86" s="51"/>
      <c r="W86" s="51"/>
      <c r="X86" s="27" t="str">
        <f t="shared" si="34"/>
        <v/>
      </c>
    </row>
    <row r="87" spans="1:24">
      <c r="A87" s="52">
        <f t="shared" si="31"/>
        <v>28</v>
      </c>
      <c r="C87" s="61">
        <v>0</v>
      </c>
      <c r="E87" s="156">
        <v>25</v>
      </c>
      <c r="H87" s="27"/>
      <c r="I87" s="27"/>
      <c r="J87" s="27"/>
      <c r="K87" s="27"/>
      <c r="L87" s="27"/>
      <c r="M87" s="27"/>
      <c r="N87" s="27"/>
      <c r="Q87" s="27" t="str">
        <f t="shared" si="32"/>
        <v/>
      </c>
      <c r="R87" s="27" t="str">
        <f t="shared" si="33"/>
        <v/>
      </c>
      <c r="S87" s="51"/>
      <c r="T87" s="51"/>
      <c r="U87" s="51"/>
      <c r="V87" s="51"/>
      <c r="W87" s="51"/>
      <c r="X87" s="27" t="str">
        <f t="shared" si="34"/>
        <v/>
      </c>
    </row>
    <row r="88" spans="1:24">
      <c r="A88" s="52">
        <f t="shared" si="31"/>
        <v>29</v>
      </c>
      <c r="C88" s="61">
        <v>0</v>
      </c>
      <c r="E88" s="156">
        <v>26</v>
      </c>
      <c r="H88" s="27"/>
      <c r="I88" s="27"/>
      <c r="J88" s="27"/>
      <c r="K88" s="27"/>
      <c r="L88" s="27"/>
      <c r="M88" s="27"/>
      <c r="N88" s="27"/>
      <c r="Q88" s="27" t="str">
        <f t="shared" si="32"/>
        <v/>
      </c>
      <c r="R88" s="27" t="str">
        <f t="shared" si="33"/>
        <v/>
      </c>
      <c r="S88" s="51"/>
      <c r="T88" s="51"/>
      <c r="U88" s="51"/>
      <c r="V88" s="51"/>
      <c r="W88" s="51"/>
      <c r="X88" s="27" t="str">
        <f t="shared" si="34"/>
        <v/>
      </c>
    </row>
    <row r="89" spans="1:24">
      <c r="A89" s="52">
        <f t="shared" si="31"/>
        <v>30</v>
      </c>
      <c r="C89" s="61">
        <v>0</v>
      </c>
      <c r="E89" s="156">
        <v>27</v>
      </c>
      <c r="N89" s="27"/>
      <c r="Q89" s="27" t="str">
        <f t="shared" si="32"/>
        <v/>
      </c>
      <c r="R89" s="27" t="str">
        <f t="shared" si="33"/>
        <v/>
      </c>
      <c r="X89" s="27" t="str">
        <f t="shared" si="34"/>
        <v/>
      </c>
    </row>
    <row r="90" spans="1:24">
      <c r="A90" s="52">
        <f t="shared" si="31"/>
        <v>31</v>
      </c>
      <c r="H90" s="27">
        <f>SUM(H63:H89)</f>
        <v>132701.83925249995</v>
      </c>
      <c r="I90" s="27">
        <f t="shared" ref="I90:R90" si="35">SUM(I63:I89)</f>
        <v>271684.92570599989</v>
      </c>
      <c r="J90" s="27">
        <f t="shared" si="35"/>
        <v>296614.63175579999</v>
      </c>
      <c r="K90" s="27">
        <f t="shared" si="35"/>
        <v>329143.92487240065</v>
      </c>
      <c r="L90" s="27">
        <f t="shared" si="35"/>
        <v>346799.81142339925</v>
      </c>
      <c r="M90" s="27">
        <f>SUM(M63:M89)</f>
        <v>8750546.3606249988</v>
      </c>
      <c r="N90" s="27">
        <f t="shared" si="35"/>
        <v>10127491.493635101</v>
      </c>
      <c r="O90" s="27">
        <f t="shared" si="35"/>
        <v>626357.32999999996</v>
      </c>
      <c r="P90" s="27">
        <f t="shared" si="35"/>
        <v>1662674.3389640006</v>
      </c>
      <c r="Q90" s="27">
        <f t="shared" si="35"/>
        <v>9091174.4846710991</v>
      </c>
      <c r="R90" s="27">
        <f t="shared" si="35"/>
        <v>454558.72423355491</v>
      </c>
      <c r="S90" s="27"/>
      <c r="T90" s="27"/>
      <c r="U90" s="27"/>
      <c r="V90" s="27"/>
      <c r="W90" s="27"/>
      <c r="X90" s="27"/>
    </row>
    <row r="91" spans="1:24">
      <c r="H91" s="27"/>
      <c r="I91" s="27"/>
      <c r="J91" s="27"/>
      <c r="K91" s="27"/>
      <c r="L91" s="27"/>
      <c r="M91" s="27"/>
      <c r="N91" s="27"/>
      <c r="O91" s="27"/>
      <c r="P91" s="27"/>
      <c r="X91" s="27"/>
    </row>
    <row r="92" spans="1:24">
      <c r="B92" s="52" t="s">
        <v>163</v>
      </c>
      <c r="C92" s="52" t="str">
        <f t="shared" ref="C92:C97" si="36">C46</f>
        <v>2017 20-year additions at MACRS Year 6 tax rate (0.052850)</v>
      </c>
    </row>
    <row r="93" spans="1:24">
      <c r="B93" s="60" t="s">
        <v>164</v>
      </c>
      <c r="C93" s="52" t="str">
        <f t="shared" si="36"/>
        <v>2018 20-year additions at MACRS Year 5 tax rate (0.057130)</v>
      </c>
    </row>
    <row r="94" spans="1:24">
      <c r="B94" s="60" t="s">
        <v>165</v>
      </c>
      <c r="C94" s="52" t="str">
        <f t="shared" si="36"/>
        <v>2019 20-year additions at MACRS Year 4 tax rate (0.061770)</v>
      </c>
      <c r="D94" s="245"/>
    </row>
    <row r="95" spans="1:24">
      <c r="B95" s="60" t="s">
        <v>174</v>
      </c>
      <c r="C95" s="52" t="str">
        <f t="shared" si="36"/>
        <v>2020 20-year additions at MACRS Year 3 tax rate (0.066770)</v>
      </c>
    </row>
    <row r="96" spans="1:24">
      <c r="B96" s="60" t="s">
        <v>210</v>
      </c>
      <c r="C96" s="52" t="str">
        <f t="shared" si="36"/>
        <v>2021 20-year additions at MACRS Year 2 tax rate (0.072190)</v>
      </c>
    </row>
    <row r="97" spans="2:3">
      <c r="B97" s="60" t="s">
        <v>225</v>
      </c>
      <c r="C97" s="52" t="str">
        <f t="shared" si="36"/>
        <v>2022 20-year additions at MACRS Year 1 tax rate (0.037500) plus repairs</v>
      </c>
    </row>
    <row r="100" spans="2:3">
      <c r="B100" s="60"/>
      <c r="C100" s="52" t="s">
        <v>1032</v>
      </c>
    </row>
  </sheetData>
  <dataValidations disablePrompts="1" count="1">
    <dataValidation type="decimal" operator="lessThanOrEqual" allowBlank="1" showInputMessage="1" showErrorMessage="1" errorTitle="Error" error="Value should be negative." sqref="W16" xr:uid="{8882E42B-3C80-4827-B3D0-AEAB79C03349}">
      <formula1>0</formula1>
    </dataValidation>
  </dataValidations>
  <pageMargins left="0.7" right="0.7" top="0.75" bottom="0.75" header="0.3" footer="0.3"/>
  <pageSetup scale="45" fitToHeight="2" orientation="landscape" blackAndWhite="1" r:id="rId1"/>
  <headerFooter>
    <oddFooter>&amp;L&amp;1#&amp;"Calibri"&amp;14&amp;K000000Business Use</oddFooter>
  </headerFooter>
  <rowBreaks count="1" manualBreakCount="1">
    <brk id="52" max="2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CF400-FEE2-43B1-AE9D-AF40FCC3DC50}">
  <sheetPr>
    <tabColor rgb="FF002060"/>
  </sheetPr>
  <dimension ref="A1:T62"/>
  <sheetViews>
    <sheetView showGridLines="0" zoomScaleNormal="100" workbookViewId="0"/>
  </sheetViews>
  <sheetFormatPr defaultColWidth="9.140625" defaultRowHeight="15"/>
  <cols>
    <col min="1" max="1" width="11.85546875" style="674" bestFit="1" customWidth="1"/>
    <col min="2" max="2" width="10.85546875" style="674" bestFit="1" customWidth="1"/>
    <col min="3" max="3" width="28.42578125" style="674" customWidth="1"/>
    <col min="4" max="4" width="21.5703125" style="674" customWidth="1"/>
    <col min="5" max="5" width="22.7109375" style="674" customWidth="1"/>
    <col min="6" max="7" width="9.140625" style="674" customWidth="1"/>
    <col min="8" max="14" width="10.5703125" style="674" customWidth="1"/>
    <col min="15" max="15" width="10.5703125" style="674" bestFit="1" customWidth="1"/>
    <col min="16" max="18" width="11.85546875" style="674" customWidth="1"/>
    <col min="19" max="19" width="5" style="674" customWidth="1"/>
    <col min="20" max="20" width="9.42578125" style="736" bestFit="1" customWidth="1"/>
    <col min="21" max="16384" width="9.140625" style="674"/>
  </cols>
  <sheetData>
    <row r="1" spans="1:20" s="687" customFormat="1" ht="15.75" customHeight="1">
      <c r="A1" s="1109" t="s">
        <v>837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T1" s="796"/>
    </row>
    <row r="2" spans="1:20">
      <c r="A2" s="691" t="s">
        <v>582</v>
      </c>
      <c r="B2" s="691" t="s">
        <v>106</v>
      </c>
      <c r="C2" s="691" t="s">
        <v>583</v>
      </c>
      <c r="D2" s="691" t="s">
        <v>581</v>
      </c>
      <c r="E2" s="691" t="s">
        <v>740</v>
      </c>
      <c r="F2" s="692" t="s">
        <v>584</v>
      </c>
      <c r="G2" s="692" t="s">
        <v>585</v>
      </c>
      <c r="H2" s="692" t="s">
        <v>586</v>
      </c>
      <c r="I2" s="692" t="s">
        <v>587</v>
      </c>
      <c r="J2" s="692" t="s">
        <v>588</v>
      </c>
      <c r="K2" s="692" t="s">
        <v>589</v>
      </c>
      <c r="L2" s="692" t="s">
        <v>590</v>
      </c>
      <c r="M2" s="692" t="s">
        <v>591</v>
      </c>
      <c r="N2" s="692" t="s">
        <v>592</v>
      </c>
      <c r="O2" s="692" t="s">
        <v>593</v>
      </c>
      <c r="P2" s="692" t="s">
        <v>594</v>
      </c>
      <c r="Q2" s="692" t="s">
        <v>595</v>
      </c>
      <c r="R2" s="692" t="s">
        <v>3</v>
      </c>
      <c r="T2" s="797"/>
    </row>
    <row r="3" spans="1:20">
      <c r="A3" s="674" t="s">
        <v>109</v>
      </c>
      <c r="B3" s="679" t="s">
        <v>743</v>
      </c>
      <c r="C3" s="679" t="s">
        <v>744</v>
      </c>
      <c r="D3" s="679" t="s">
        <v>607</v>
      </c>
      <c r="E3" s="679" t="s">
        <v>159</v>
      </c>
      <c r="F3" s="675">
        <v>231255</v>
      </c>
      <c r="G3" s="675">
        <v>230042</v>
      </c>
      <c r="H3" s="675">
        <v>253269</v>
      </c>
      <c r="I3" s="675">
        <v>242085</v>
      </c>
      <c r="J3" s="675">
        <v>231143</v>
      </c>
      <c r="K3" s="675">
        <v>244109</v>
      </c>
      <c r="L3" s="675">
        <v>241756</v>
      </c>
      <c r="M3" s="675">
        <v>253661</v>
      </c>
      <c r="N3" s="675">
        <v>248263</v>
      </c>
      <c r="O3" s="675">
        <v>242021</v>
      </c>
      <c r="P3" s="675">
        <v>237305</v>
      </c>
      <c r="Q3" s="675">
        <v>237085</v>
      </c>
      <c r="R3" s="675">
        <f>SUM(F3:Q3)</f>
        <v>2891994</v>
      </c>
      <c r="T3" s="795" t="s">
        <v>415</v>
      </c>
    </row>
    <row r="4" spans="1:20">
      <c r="A4" s="674" t="s">
        <v>109</v>
      </c>
      <c r="B4" s="679" t="s">
        <v>745</v>
      </c>
      <c r="C4" s="679" t="s">
        <v>746</v>
      </c>
      <c r="D4" s="679" t="s">
        <v>607</v>
      </c>
      <c r="E4" s="679" t="s">
        <v>159</v>
      </c>
      <c r="F4" s="675">
        <v>381058</v>
      </c>
      <c r="G4" s="675">
        <v>378929</v>
      </c>
      <c r="H4" s="675">
        <v>424876</v>
      </c>
      <c r="I4" s="675">
        <v>402612</v>
      </c>
      <c r="J4" s="675">
        <v>380835</v>
      </c>
      <c r="K4" s="675">
        <v>406701</v>
      </c>
      <c r="L4" s="675">
        <v>401945</v>
      </c>
      <c r="M4" s="675">
        <v>425988</v>
      </c>
      <c r="N4" s="675">
        <v>415088</v>
      </c>
      <c r="O4" s="675">
        <v>402796</v>
      </c>
      <c r="P4" s="675">
        <v>392959</v>
      </c>
      <c r="Q4" s="675">
        <v>392194</v>
      </c>
      <c r="R4" s="675">
        <f t="shared" ref="R4:R15" si="0">SUM(F4:Q4)</f>
        <v>4805981</v>
      </c>
    </row>
    <row r="5" spans="1:20">
      <c r="A5" s="674" t="s">
        <v>109</v>
      </c>
      <c r="B5" s="679" t="s">
        <v>747</v>
      </c>
      <c r="C5" s="679" t="s">
        <v>748</v>
      </c>
      <c r="D5" s="679" t="s">
        <v>608</v>
      </c>
      <c r="E5" s="679" t="s">
        <v>77</v>
      </c>
      <c r="F5" s="675">
        <v>277202</v>
      </c>
      <c r="G5" s="675">
        <v>276200</v>
      </c>
      <c r="H5" s="675">
        <v>299779</v>
      </c>
      <c r="I5" s="675">
        <v>288307</v>
      </c>
      <c r="J5" s="675">
        <v>277085</v>
      </c>
      <c r="K5" s="675">
        <v>290432</v>
      </c>
      <c r="L5" s="675">
        <v>287959</v>
      </c>
      <c r="M5" s="675">
        <v>300458</v>
      </c>
      <c r="N5" s="675">
        <v>294792</v>
      </c>
      <c r="O5" s="675">
        <v>288503</v>
      </c>
      <c r="P5" s="675">
        <v>283287</v>
      </c>
      <c r="Q5" s="675">
        <v>282788</v>
      </c>
      <c r="R5" s="675">
        <f t="shared" si="0"/>
        <v>3446792</v>
      </c>
      <c r="T5" s="795" t="s">
        <v>415</v>
      </c>
    </row>
    <row r="6" spans="1:20">
      <c r="A6" s="674" t="s">
        <v>109</v>
      </c>
      <c r="B6" s="679" t="s">
        <v>749</v>
      </c>
      <c r="C6" s="679" t="s">
        <v>750</v>
      </c>
      <c r="D6" s="679" t="s">
        <v>607</v>
      </c>
      <c r="E6" s="679" t="s">
        <v>159</v>
      </c>
      <c r="F6" s="675">
        <v>2563</v>
      </c>
      <c r="G6" s="675">
        <v>3791</v>
      </c>
      <c r="H6" s="675">
        <v>2563</v>
      </c>
      <c r="I6" s="675">
        <v>3791</v>
      </c>
      <c r="J6" s="675">
        <v>2563</v>
      </c>
      <c r="K6" s="675">
        <v>3791</v>
      </c>
      <c r="L6" s="675">
        <v>2563</v>
      </c>
      <c r="M6" s="675">
        <v>3791</v>
      </c>
      <c r="N6" s="675">
        <v>2563</v>
      </c>
      <c r="O6" s="675">
        <v>3791</v>
      </c>
      <c r="P6" s="675">
        <v>2563</v>
      </c>
      <c r="Q6" s="675">
        <v>2563</v>
      </c>
      <c r="R6" s="675">
        <f t="shared" si="0"/>
        <v>36896</v>
      </c>
      <c r="T6" s="795" t="s">
        <v>415</v>
      </c>
    </row>
    <row r="7" spans="1:20">
      <c r="A7" s="674" t="s">
        <v>109</v>
      </c>
      <c r="B7" s="679" t="s">
        <v>751</v>
      </c>
      <c r="C7" s="679" t="s">
        <v>752</v>
      </c>
      <c r="D7" s="679" t="s">
        <v>607</v>
      </c>
      <c r="E7" s="679" t="s">
        <v>159</v>
      </c>
      <c r="F7" s="675">
        <v>7447</v>
      </c>
      <c r="G7" s="675">
        <v>7447</v>
      </c>
      <c r="H7" s="675">
        <v>7447</v>
      </c>
      <c r="I7" s="675">
        <v>7447</v>
      </c>
      <c r="J7" s="675">
        <v>7447</v>
      </c>
      <c r="K7" s="675">
        <v>7447</v>
      </c>
      <c r="L7" s="675">
        <v>8083</v>
      </c>
      <c r="M7" s="675">
        <v>7447</v>
      </c>
      <c r="N7" s="675">
        <v>7447</v>
      </c>
      <c r="O7" s="675">
        <v>7447</v>
      </c>
      <c r="P7" s="675">
        <v>7447</v>
      </c>
      <c r="Q7" s="675">
        <v>7447</v>
      </c>
      <c r="R7" s="675">
        <f t="shared" si="0"/>
        <v>90000</v>
      </c>
    </row>
    <row r="8" spans="1:20">
      <c r="A8" s="674" t="s">
        <v>109</v>
      </c>
      <c r="B8" s="679" t="s">
        <v>753</v>
      </c>
      <c r="C8" s="679" t="s">
        <v>754</v>
      </c>
      <c r="D8" s="679" t="s">
        <v>608</v>
      </c>
      <c r="E8" s="679" t="s">
        <v>77</v>
      </c>
      <c r="F8" s="675">
        <v>18188</v>
      </c>
      <c r="G8" s="675">
        <v>17977</v>
      </c>
      <c r="H8" s="675">
        <v>22172</v>
      </c>
      <c r="I8" s="675">
        <v>18401</v>
      </c>
      <c r="J8" s="675">
        <v>18188</v>
      </c>
      <c r="K8" s="675">
        <v>21962</v>
      </c>
      <c r="L8" s="675">
        <v>18401</v>
      </c>
      <c r="M8" s="675">
        <v>18401</v>
      </c>
      <c r="N8" s="675">
        <v>21962</v>
      </c>
      <c r="O8" s="675">
        <v>18188</v>
      </c>
      <c r="P8" s="675">
        <v>18401</v>
      </c>
      <c r="Q8" s="675">
        <v>20530</v>
      </c>
      <c r="R8" s="675">
        <f t="shared" si="0"/>
        <v>232771</v>
      </c>
      <c r="T8" s="795" t="s">
        <v>415</v>
      </c>
    </row>
    <row r="9" spans="1:20">
      <c r="A9" s="674" t="s">
        <v>109</v>
      </c>
      <c r="B9" s="679" t="s">
        <v>755</v>
      </c>
      <c r="C9" s="679" t="s">
        <v>756</v>
      </c>
      <c r="D9" s="679" t="s">
        <v>607</v>
      </c>
      <c r="E9" s="679" t="s">
        <v>159</v>
      </c>
      <c r="F9" s="675">
        <v>8431</v>
      </c>
      <c r="G9" s="675">
        <v>9658</v>
      </c>
      <c r="H9" s="675">
        <v>8431</v>
      </c>
      <c r="I9" s="675">
        <v>9658</v>
      </c>
      <c r="J9" s="675">
        <v>8431</v>
      </c>
      <c r="K9" s="675">
        <v>9658</v>
      </c>
      <c r="L9" s="675">
        <v>8431</v>
      </c>
      <c r="M9" s="675">
        <v>9658</v>
      </c>
      <c r="N9" s="675">
        <v>8431</v>
      </c>
      <c r="O9" s="675">
        <v>9658</v>
      </c>
      <c r="P9" s="675">
        <v>4749</v>
      </c>
      <c r="Q9" s="675">
        <v>3808</v>
      </c>
      <c r="R9" s="675">
        <f t="shared" si="0"/>
        <v>99002</v>
      </c>
      <c r="T9" s="795" t="s">
        <v>415</v>
      </c>
    </row>
    <row r="10" spans="1:20">
      <c r="A10" s="674" t="s">
        <v>109</v>
      </c>
      <c r="B10" s="679" t="s">
        <v>757</v>
      </c>
      <c r="C10" s="679" t="s">
        <v>758</v>
      </c>
      <c r="D10" s="679" t="s">
        <v>607</v>
      </c>
      <c r="E10" s="679" t="s">
        <v>159</v>
      </c>
      <c r="F10" s="675">
        <v>2137</v>
      </c>
      <c r="G10" s="675">
        <v>2444</v>
      </c>
      <c r="H10" s="675">
        <v>2137</v>
      </c>
      <c r="I10" s="675">
        <v>2444</v>
      </c>
      <c r="J10" s="675">
        <v>2137</v>
      </c>
      <c r="K10" s="675">
        <v>2444</v>
      </c>
      <c r="L10" s="675">
        <v>2137</v>
      </c>
      <c r="M10" s="675">
        <v>2444</v>
      </c>
      <c r="N10" s="675">
        <v>2137</v>
      </c>
      <c r="O10" s="675">
        <v>2444</v>
      </c>
      <c r="P10" s="675">
        <v>1789</v>
      </c>
      <c r="Q10" s="675">
        <v>307</v>
      </c>
      <c r="R10" s="675">
        <f t="shared" si="0"/>
        <v>25001</v>
      </c>
      <c r="T10" s="719"/>
    </row>
    <row r="11" spans="1:20">
      <c r="A11" s="674" t="s">
        <v>109</v>
      </c>
      <c r="B11" s="679" t="s">
        <v>759</v>
      </c>
      <c r="C11" s="679" t="s">
        <v>760</v>
      </c>
      <c r="D11" s="679" t="s">
        <v>608</v>
      </c>
      <c r="E11" s="679" t="s">
        <v>77</v>
      </c>
      <c r="F11" s="675">
        <v>0</v>
      </c>
      <c r="G11" s="675">
        <v>0</v>
      </c>
      <c r="H11" s="675">
        <v>0</v>
      </c>
      <c r="I11" s="675">
        <v>0</v>
      </c>
      <c r="J11" s="675">
        <v>0</v>
      </c>
      <c r="K11" s="675">
        <v>0</v>
      </c>
      <c r="L11" s="675">
        <v>0</v>
      </c>
      <c r="M11" s="675">
        <v>0</v>
      </c>
      <c r="N11" s="675">
        <v>0</v>
      </c>
      <c r="O11" s="675">
        <v>0</v>
      </c>
      <c r="P11" s="675">
        <v>0</v>
      </c>
      <c r="Q11" s="675">
        <v>0</v>
      </c>
      <c r="R11" s="675">
        <f t="shared" si="0"/>
        <v>0</v>
      </c>
      <c r="T11" s="795" t="s">
        <v>415</v>
      </c>
    </row>
    <row r="12" spans="1:20">
      <c r="A12" s="678" t="s">
        <v>37</v>
      </c>
      <c r="B12" s="679" t="s">
        <v>747</v>
      </c>
      <c r="C12" s="679" t="s">
        <v>748</v>
      </c>
      <c r="D12" s="679" t="s">
        <v>608</v>
      </c>
      <c r="E12" s="679" t="s">
        <v>77</v>
      </c>
      <c r="F12" s="675">
        <v>34578</v>
      </c>
      <c r="G12" s="675">
        <v>34403</v>
      </c>
      <c r="H12" s="675">
        <v>38563</v>
      </c>
      <c r="I12" s="675">
        <v>36538</v>
      </c>
      <c r="J12" s="675">
        <v>34561</v>
      </c>
      <c r="K12" s="675">
        <v>36914</v>
      </c>
      <c r="L12" s="675">
        <v>36478</v>
      </c>
      <c r="M12" s="675">
        <v>38683</v>
      </c>
      <c r="N12" s="675">
        <v>37682</v>
      </c>
      <c r="O12" s="675">
        <v>36575</v>
      </c>
      <c r="P12" s="675">
        <v>35652</v>
      </c>
      <c r="Q12" s="675">
        <v>35564</v>
      </c>
      <c r="R12" s="675">
        <f t="shared" si="0"/>
        <v>436191</v>
      </c>
    </row>
    <row r="13" spans="1:20">
      <c r="A13" s="678" t="s">
        <v>37</v>
      </c>
      <c r="B13" s="679" t="s">
        <v>749</v>
      </c>
      <c r="C13" s="679" t="s">
        <v>750</v>
      </c>
      <c r="D13" s="679" t="s">
        <v>607</v>
      </c>
      <c r="E13" s="679" t="s">
        <v>159</v>
      </c>
      <c r="F13" s="675">
        <v>1579</v>
      </c>
      <c r="G13" s="675">
        <v>1579</v>
      </c>
      <c r="H13" s="675">
        <v>1579</v>
      </c>
      <c r="I13" s="675">
        <v>1579</v>
      </c>
      <c r="J13" s="675">
        <v>1579</v>
      </c>
      <c r="K13" s="675">
        <v>1579</v>
      </c>
      <c r="L13" s="675">
        <v>1579</v>
      </c>
      <c r="M13" s="675">
        <v>1579</v>
      </c>
      <c r="N13" s="675">
        <v>1579</v>
      </c>
      <c r="O13" s="675">
        <v>1579</v>
      </c>
      <c r="P13" s="675">
        <v>1626</v>
      </c>
      <c r="Q13" s="675">
        <v>689</v>
      </c>
      <c r="R13" s="675">
        <f t="shared" si="0"/>
        <v>18105</v>
      </c>
    </row>
    <row r="14" spans="1:20">
      <c r="A14" s="678" t="s">
        <v>37</v>
      </c>
      <c r="B14" s="679" t="s">
        <v>753</v>
      </c>
      <c r="C14" s="679" t="s">
        <v>754</v>
      </c>
      <c r="D14" s="679" t="s">
        <v>608</v>
      </c>
      <c r="E14" s="679" t="s">
        <v>77</v>
      </c>
      <c r="F14" s="675">
        <v>4769</v>
      </c>
      <c r="G14" s="675">
        <v>4769</v>
      </c>
      <c r="H14" s="675">
        <v>4769</v>
      </c>
      <c r="I14" s="675">
        <v>4770</v>
      </c>
      <c r="J14" s="675">
        <v>4769</v>
      </c>
      <c r="K14" s="675">
        <v>4769</v>
      </c>
      <c r="L14" s="675">
        <v>4769</v>
      </c>
      <c r="M14" s="675">
        <v>4769</v>
      </c>
      <c r="N14" s="675">
        <v>4769</v>
      </c>
      <c r="O14" s="675">
        <v>4769</v>
      </c>
      <c r="P14" s="675">
        <v>4769</v>
      </c>
      <c r="Q14" s="675">
        <v>4769</v>
      </c>
      <c r="R14" s="675">
        <f t="shared" si="0"/>
        <v>57229</v>
      </c>
    </row>
    <row r="15" spans="1:20">
      <c r="A15" s="678" t="s">
        <v>37</v>
      </c>
      <c r="B15" s="679" t="s">
        <v>759</v>
      </c>
      <c r="C15" s="679" t="s">
        <v>760</v>
      </c>
      <c r="D15" s="679" t="s">
        <v>608</v>
      </c>
      <c r="E15" s="695" t="s">
        <v>77</v>
      </c>
      <c r="F15" s="676">
        <v>8391</v>
      </c>
      <c r="G15" s="676">
        <v>0</v>
      </c>
      <c r="H15" s="676">
        <v>0</v>
      </c>
      <c r="I15" s="676">
        <v>0</v>
      </c>
      <c r="J15" s="676">
        <v>0</v>
      </c>
      <c r="K15" s="676">
        <v>0</v>
      </c>
      <c r="L15" s="676">
        <v>3562</v>
      </c>
      <c r="M15" s="676">
        <v>0</v>
      </c>
      <c r="N15" s="676">
        <v>0</v>
      </c>
      <c r="O15" s="676">
        <v>0</v>
      </c>
      <c r="P15" s="676">
        <v>0</v>
      </c>
      <c r="Q15" s="676">
        <v>8048</v>
      </c>
      <c r="R15" s="676">
        <f t="shared" si="0"/>
        <v>20001</v>
      </c>
    </row>
    <row r="16" spans="1:20">
      <c r="E16" s="696" t="s">
        <v>109</v>
      </c>
      <c r="F16" s="697">
        <f t="shared" ref="F16:P16" si="1">SUM(F3:F11)</f>
        <v>928281</v>
      </c>
      <c r="G16" s="697">
        <f t="shared" si="1"/>
        <v>926488</v>
      </c>
      <c r="H16" s="697">
        <f t="shared" si="1"/>
        <v>1020674</v>
      </c>
      <c r="I16" s="697">
        <f t="shared" si="1"/>
        <v>974745</v>
      </c>
      <c r="J16" s="697">
        <f t="shared" si="1"/>
        <v>927829</v>
      </c>
      <c r="K16" s="697">
        <f t="shared" si="1"/>
        <v>986544</v>
      </c>
      <c r="L16" s="697">
        <f t="shared" si="1"/>
        <v>971275</v>
      </c>
      <c r="M16" s="697">
        <f t="shared" si="1"/>
        <v>1021848</v>
      </c>
      <c r="N16" s="697">
        <f t="shared" si="1"/>
        <v>1000683</v>
      </c>
      <c r="O16" s="697">
        <f t="shared" si="1"/>
        <v>974848</v>
      </c>
      <c r="P16" s="697">
        <f t="shared" si="1"/>
        <v>948500</v>
      </c>
      <c r="Q16" s="697">
        <f>SUM(Q3:Q11)</f>
        <v>946722</v>
      </c>
      <c r="R16" s="697">
        <f>SUM(F16:Q16)</f>
        <v>11628437</v>
      </c>
    </row>
    <row r="17" spans="1:20">
      <c r="E17" s="693" t="s">
        <v>741</v>
      </c>
      <c r="F17" s="694">
        <f>SUM(F12:F15)</f>
        <v>49317</v>
      </c>
      <c r="G17" s="694">
        <f t="shared" ref="G17:Q17" si="2">SUM(G12:G15)</f>
        <v>40751</v>
      </c>
      <c r="H17" s="694">
        <f t="shared" si="2"/>
        <v>44911</v>
      </c>
      <c r="I17" s="694">
        <f t="shared" si="2"/>
        <v>42887</v>
      </c>
      <c r="J17" s="694">
        <f t="shared" si="2"/>
        <v>40909</v>
      </c>
      <c r="K17" s="694">
        <f t="shared" si="2"/>
        <v>43262</v>
      </c>
      <c r="L17" s="694">
        <f t="shared" si="2"/>
        <v>46388</v>
      </c>
      <c r="M17" s="694">
        <f t="shared" si="2"/>
        <v>45031</v>
      </c>
      <c r="N17" s="694">
        <f t="shared" si="2"/>
        <v>44030</v>
      </c>
      <c r="O17" s="694">
        <f t="shared" si="2"/>
        <v>42923</v>
      </c>
      <c r="P17" s="694">
        <f t="shared" si="2"/>
        <v>42047</v>
      </c>
      <c r="Q17" s="694">
        <f t="shared" si="2"/>
        <v>49070</v>
      </c>
      <c r="R17" s="694">
        <f t="shared" ref="R17:R18" si="3">SUM(F17:Q17)</f>
        <v>531526</v>
      </c>
    </row>
    <row r="18" spans="1:20" ht="15.75" thickBot="1">
      <c r="E18" s="680" t="s">
        <v>742</v>
      </c>
      <c r="F18" s="681">
        <f>SUM(F16:F17)</f>
        <v>977598</v>
      </c>
      <c r="G18" s="681">
        <f t="shared" ref="G18:Q18" si="4">SUM(G16:G17)</f>
        <v>967239</v>
      </c>
      <c r="H18" s="681">
        <f t="shared" si="4"/>
        <v>1065585</v>
      </c>
      <c r="I18" s="681">
        <f t="shared" si="4"/>
        <v>1017632</v>
      </c>
      <c r="J18" s="681">
        <f t="shared" si="4"/>
        <v>968738</v>
      </c>
      <c r="K18" s="681">
        <f t="shared" si="4"/>
        <v>1029806</v>
      </c>
      <c r="L18" s="681">
        <f t="shared" si="4"/>
        <v>1017663</v>
      </c>
      <c r="M18" s="681">
        <f t="shared" si="4"/>
        <v>1066879</v>
      </c>
      <c r="N18" s="681">
        <f t="shared" si="4"/>
        <v>1044713</v>
      </c>
      <c r="O18" s="681">
        <f t="shared" si="4"/>
        <v>1017771</v>
      </c>
      <c r="P18" s="681">
        <f t="shared" si="4"/>
        <v>990547</v>
      </c>
      <c r="Q18" s="681">
        <f t="shared" si="4"/>
        <v>995792</v>
      </c>
      <c r="R18" s="681">
        <f t="shared" si="3"/>
        <v>12159963</v>
      </c>
    </row>
    <row r="19" spans="1:20" ht="9" customHeight="1" thickTop="1">
      <c r="E19" s="720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</row>
    <row r="20" spans="1:20" s="1112" customFormat="1" ht="15.75" customHeight="1">
      <c r="A20" s="1110" t="s">
        <v>835</v>
      </c>
      <c r="B20" s="1110"/>
      <c r="C20" s="1111"/>
      <c r="D20" s="1110"/>
      <c r="E20" s="1197" t="s">
        <v>849</v>
      </c>
      <c r="F20" s="1196"/>
      <c r="G20" s="1110"/>
      <c r="H20" s="1110"/>
      <c r="I20" s="1110"/>
      <c r="J20" s="1110"/>
      <c r="K20" s="1110"/>
      <c r="L20" s="1110"/>
      <c r="M20" s="1110"/>
      <c r="N20" s="1110"/>
      <c r="O20" s="1110"/>
      <c r="P20" s="1110"/>
      <c r="Q20" s="1110"/>
      <c r="R20" s="1110"/>
      <c r="T20" s="1113"/>
    </row>
    <row r="21" spans="1:20" ht="15.75" customHeight="1">
      <c r="A21" s="682" t="s">
        <v>582</v>
      </c>
      <c r="B21" s="682" t="s">
        <v>106</v>
      </c>
      <c r="C21" s="682" t="s">
        <v>583</v>
      </c>
      <c r="D21" s="682" t="s">
        <v>581</v>
      </c>
      <c r="E21" s="682" t="s">
        <v>740</v>
      </c>
      <c r="F21" s="683" t="s">
        <v>584</v>
      </c>
      <c r="G21" s="683" t="s">
        <v>585</v>
      </c>
      <c r="H21" s="683" t="s">
        <v>586</v>
      </c>
      <c r="I21" s="683" t="s">
        <v>587</v>
      </c>
      <c r="J21" s="683" t="s">
        <v>588</v>
      </c>
      <c r="K21" s="683" t="s">
        <v>589</v>
      </c>
      <c r="L21" s="683" t="s">
        <v>590</v>
      </c>
      <c r="M21" s="683" t="s">
        <v>591</v>
      </c>
      <c r="N21" s="683" t="s">
        <v>592</v>
      </c>
      <c r="O21" s="683" t="s">
        <v>593</v>
      </c>
      <c r="P21" s="683" t="s">
        <v>1046</v>
      </c>
      <c r="Q21" s="683" t="s">
        <v>1047</v>
      </c>
      <c r="R21" s="683" t="s">
        <v>3</v>
      </c>
      <c r="T21" s="797"/>
    </row>
    <row r="22" spans="1:20">
      <c r="A22" s="674" t="s">
        <v>109</v>
      </c>
      <c r="B22" s="674" t="s">
        <v>743</v>
      </c>
      <c r="C22" s="674" t="s">
        <v>744</v>
      </c>
      <c r="D22" s="674" t="s">
        <v>607</v>
      </c>
      <c r="E22" s="674" t="s">
        <v>159</v>
      </c>
      <c r="F22" s="675">
        <v>80242.11</v>
      </c>
      <c r="G22" s="675">
        <v>114870.67</v>
      </c>
      <c r="H22" s="675">
        <v>273999.83</v>
      </c>
      <c r="I22" s="675">
        <v>239866.22</v>
      </c>
      <c r="J22" s="675">
        <v>281655.11</v>
      </c>
      <c r="K22" s="675">
        <v>236837.76000000001</v>
      </c>
      <c r="L22" s="675">
        <v>390635.45</v>
      </c>
      <c r="M22" s="675">
        <v>465030.58</v>
      </c>
      <c r="N22" s="675">
        <v>206011.38</v>
      </c>
      <c r="O22" s="675">
        <v>279506.75</v>
      </c>
      <c r="P22" s="675">
        <v>303183.98</v>
      </c>
      <c r="Q22" s="675">
        <v>272518.78999999998</v>
      </c>
      <c r="R22" s="675">
        <f t="shared" ref="R22:R38" si="5">SUM(F22:Q22)</f>
        <v>3144358.63</v>
      </c>
      <c r="T22" s="795" t="s">
        <v>415</v>
      </c>
    </row>
    <row r="23" spans="1:20">
      <c r="A23" s="674" t="s">
        <v>109</v>
      </c>
      <c r="B23" s="674" t="s">
        <v>745</v>
      </c>
      <c r="C23" s="674" t="s">
        <v>746</v>
      </c>
      <c r="D23" s="674" t="s">
        <v>607</v>
      </c>
      <c r="E23" s="674" t="s">
        <v>159</v>
      </c>
      <c r="F23" s="675">
        <v>352742.93</v>
      </c>
      <c r="G23" s="675">
        <v>587664.89</v>
      </c>
      <c r="H23" s="675">
        <v>439075.11</v>
      </c>
      <c r="I23" s="675">
        <v>478704.25</v>
      </c>
      <c r="J23" s="675">
        <v>385785.13</v>
      </c>
      <c r="K23" s="675">
        <v>335358.99</v>
      </c>
      <c r="L23" s="675">
        <v>424423.11</v>
      </c>
      <c r="M23" s="675">
        <v>556509.18000000005</v>
      </c>
      <c r="N23" s="675">
        <v>447057.21</v>
      </c>
      <c r="O23" s="675">
        <v>501050.88</v>
      </c>
      <c r="P23" s="675">
        <v>498228.18</v>
      </c>
      <c r="Q23" s="675">
        <v>530377.77</v>
      </c>
      <c r="R23" s="675">
        <f t="shared" si="5"/>
        <v>5536977.629999999</v>
      </c>
    </row>
    <row r="24" spans="1:20">
      <c r="A24" s="674" t="s">
        <v>109</v>
      </c>
      <c r="B24" s="674" t="s">
        <v>749</v>
      </c>
      <c r="C24" s="674" t="s">
        <v>750</v>
      </c>
      <c r="D24" s="674" t="s">
        <v>607</v>
      </c>
      <c r="E24" s="674" t="s">
        <v>159</v>
      </c>
      <c r="F24" s="675">
        <v>0</v>
      </c>
      <c r="G24" s="675">
        <v>363.85</v>
      </c>
      <c r="H24" s="675">
        <v>5700.57</v>
      </c>
      <c r="I24" s="675">
        <v>5356.84</v>
      </c>
      <c r="J24" s="675">
        <v>5563.83</v>
      </c>
      <c r="K24" s="675">
        <v>5012.41</v>
      </c>
      <c r="L24" s="675">
        <v>5159.2299999999996</v>
      </c>
      <c r="M24" s="675">
        <v>3255.64</v>
      </c>
      <c r="N24" s="675">
        <v>3219.31</v>
      </c>
      <c r="O24" s="675">
        <v>9848.1200000000008</v>
      </c>
      <c r="P24" s="675">
        <v>4981.66</v>
      </c>
      <c r="Q24" s="675">
        <v>7674.31</v>
      </c>
      <c r="R24" s="675">
        <f t="shared" si="5"/>
        <v>56135.770000000004</v>
      </c>
      <c r="T24" s="795" t="s">
        <v>415</v>
      </c>
    </row>
    <row r="25" spans="1:20">
      <c r="A25" s="674" t="s">
        <v>109</v>
      </c>
      <c r="B25" s="674" t="s">
        <v>751</v>
      </c>
      <c r="C25" s="674" t="s">
        <v>752</v>
      </c>
      <c r="D25" s="674" t="s">
        <v>607</v>
      </c>
      <c r="E25" s="674" t="s">
        <v>159</v>
      </c>
      <c r="F25" s="675">
        <v>3043.71</v>
      </c>
      <c r="G25" s="675">
        <v>3212.67</v>
      </c>
      <c r="H25" s="675">
        <v>6186.14</v>
      </c>
      <c r="I25" s="675">
        <v>9897.16</v>
      </c>
      <c r="J25" s="675">
        <v>9723</v>
      </c>
      <c r="K25" s="675">
        <v>4851.1499999999996</v>
      </c>
      <c r="L25" s="675">
        <v>3806.5</v>
      </c>
      <c r="M25" s="675">
        <v>1538.61</v>
      </c>
      <c r="N25" s="675">
        <v>11480.39</v>
      </c>
      <c r="O25" s="675">
        <v>2622.9</v>
      </c>
      <c r="P25" s="675">
        <v>3551.84</v>
      </c>
      <c r="Q25" s="675">
        <v>3821.97</v>
      </c>
      <c r="R25" s="675">
        <f t="shared" si="5"/>
        <v>63736.040000000008</v>
      </c>
    </row>
    <row r="26" spans="1:20">
      <c r="A26" s="674" t="s">
        <v>109</v>
      </c>
      <c r="B26" s="674" t="s">
        <v>755</v>
      </c>
      <c r="C26" s="674" t="s">
        <v>756</v>
      </c>
      <c r="D26" s="674" t="s">
        <v>607</v>
      </c>
      <c r="E26" s="674" t="s">
        <v>159</v>
      </c>
      <c r="F26" s="675">
        <v>0</v>
      </c>
      <c r="G26" s="675">
        <v>0</v>
      </c>
      <c r="H26" s="675">
        <v>956.23</v>
      </c>
      <c r="I26" s="675">
        <v>0</v>
      </c>
      <c r="J26" s="675">
        <v>1534.33</v>
      </c>
      <c r="K26" s="675">
        <v>0</v>
      </c>
      <c r="L26" s="675">
        <v>0</v>
      </c>
      <c r="M26" s="675">
        <v>6488.9</v>
      </c>
      <c r="N26" s="675">
        <v>28610.28</v>
      </c>
      <c r="O26" s="675">
        <v>0</v>
      </c>
      <c r="P26" s="675">
        <v>0</v>
      </c>
      <c r="Q26" s="675">
        <v>5548.75</v>
      </c>
      <c r="R26" s="675">
        <f t="shared" si="5"/>
        <v>43138.49</v>
      </c>
      <c r="T26" s="795" t="s">
        <v>415</v>
      </c>
    </row>
    <row r="27" spans="1:20">
      <c r="A27" s="674" t="s">
        <v>109</v>
      </c>
      <c r="B27" s="674" t="s">
        <v>757</v>
      </c>
      <c r="C27" s="674" t="s">
        <v>758</v>
      </c>
      <c r="D27" s="674" t="s">
        <v>607</v>
      </c>
      <c r="E27" s="674" t="s">
        <v>159</v>
      </c>
      <c r="F27" s="675">
        <v>0</v>
      </c>
      <c r="G27" s="675">
        <v>0</v>
      </c>
      <c r="H27" s="675">
        <v>0</v>
      </c>
      <c r="I27" s="675">
        <v>0</v>
      </c>
      <c r="J27" s="675">
        <v>824.03</v>
      </c>
      <c r="K27" s="675">
        <v>4903.12</v>
      </c>
      <c r="L27" s="675">
        <v>2869.23</v>
      </c>
      <c r="M27" s="675">
        <v>73126.66</v>
      </c>
      <c r="N27" s="675">
        <v>99854.98</v>
      </c>
      <c r="O27" s="675">
        <v>47466.05</v>
      </c>
      <c r="P27" s="675">
        <v>-75561.210000000006</v>
      </c>
      <c r="Q27" s="675">
        <v>51604.07</v>
      </c>
      <c r="R27" s="675">
        <f t="shared" si="5"/>
        <v>205086.93</v>
      </c>
    </row>
    <row r="28" spans="1:20">
      <c r="A28" s="674" t="s">
        <v>109</v>
      </c>
      <c r="B28" s="674" t="s">
        <v>111</v>
      </c>
      <c r="C28" s="674" t="s">
        <v>112</v>
      </c>
      <c r="D28" s="674" t="s">
        <v>607</v>
      </c>
      <c r="E28" s="674" t="s">
        <v>159</v>
      </c>
      <c r="F28" s="675">
        <v>50412.35</v>
      </c>
      <c r="G28" s="675">
        <v>32291.71</v>
      </c>
      <c r="H28" s="675">
        <v>22341.7</v>
      </c>
      <c r="I28" s="675">
        <v>17400.14</v>
      </c>
      <c r="J28" s="675">
        <v>18860.7</v>
      </c>
      <c r="K28" s="675">
        <v>18454.07</v>
      </c>
      <c r="L28" s="675">
        <v>-3475.18</v>
      </c>
      <c r="M28" s="675">
        <v>1941.3</v>
      </c>
      <c r="N28" s="675">
        <v>0</v>
      </c>
      <c r="O28" s="675">
        <v>0</v>
      </c>
      <c r="P28" s="675">
        <v>0</v>
      </c>
      <c r="Q28" s="675">
        <v>0</v>
      </c>
      <c r="R28" s="675">
        <f t="shared" si="5"/>
        <v>158226.79</v>
      </c>
      <c r="T28" s="795" t="s">
        <v>415</v>
      </c>
    </row>
    <row r="29" spans="1:20">
      <c r="A29" s="674" t="s">
        <v>109</v>
      </c>
      <c r="B29" s="674" t="s">
        <v>113</v>
      </c>
      <c r="C29" s="674" t="s">
        <v>114</v>
      </c>
      <c r="D29" s="674" t="s">
        <v>607</v>
      </c>
      <c r="E29" s="674" t="s">
        <v>159</v>
      </c>
      <c r="F29" s="675">
        <v>3511.48</v>
      </c>
      <c r="G29" s="675">
        <v>1844.25</v>
      </c>
      <c r="H29" s="675">
        <v>1262.08</v>
      </c>
      <c r="I29" s="675">
        <v>0</v>
      </c>
      <c r="J29" s="675">
        <v>1346.35</v>
      </c>
      <c r="K29" s="675">
        <v>0</v>
      </c>
      <c r="L29" s="675">
        <v>0</v>
      </c>
      <c r="M29" s="675">
        <v>0</v>
      </c>
      <c r="N29" s="675">
        <v>0</v>
      </c>
      <c r="O29" s="675">
        <v>0</v>
      </c>
      <c r="P29" s="675">
        <v>0</v>
      </c>
      <c r="Q29" s="675">
        <v>0</v>
      </c>
      <c r="R29" s="675">
        <f t="shared" si="5"/>
        <v>7964.16</v>
      </c>
      <c r="T29" s="795" t="s">
        <v>415</v>
      </c>
    </row>
    <row r="30" spans="1:20">
      <c r="A30" s="674" t="s">
        <v>109</v>
      </c>
      <c r="B30" s="674" t="s">
        <v>115</v>
      </c>
      <c r="C30" s="674" t="s">
        <v>116</v>
      </c>
      <c r="D30" s="674" t="s">
        <v>607</v>
      </c>
      <c r="E30" s="674" t="s">
        <v>159</v>
      </c>
      <c r="F30" s="675">
        <v>0</v>
      </c>
      <c r="G30" s="675">
        <v>0</v>
      </c>
      <c r="H30" s="675">
        <v>1077.32</v>
      </c>
      <c r="I30" s="675">
        <v>0</v>
      </c>
      <c r="J30" s="675">
        <v>0</v>
      </c>
      <c r="K30" s="675">
        <v>0</v>
      </c>
      <c r="L30" s="675">
        <v>0</v>
      </c>
      <c r="M30" s="675">
        <v>0</v>
      </c>
      <c r="N30" s="675">
        <v>0</v>
      </c>
      <c r="O30" s="675">
        <v>0</v>
      </c>
      <c r="P30" s="675">
        <v>0</v>
      </c>
      <c r="Q30" s="675">
        <v>0</v>
      </c>
      <c r="R30" s="675">
        <f t="shared" si="5"/>
        <v>1077.32</v>
      </c>
      <c r="T30" s="795" t="s">
        <v>415</v>
      </c>
    </row>
    <row r="31" spans="1:20">
      <c r="A31" s="674" t="s">
        <v>109</v>
      </c>
      <c r="B31" s="674" t="s">
        <v>117</v>
      </c>
      <c r="C31" s="674" t="s">
        <v>118</v>
      </c>
      <c r="D31" s="674" t="s">
        <v>607</v>
      </c>
      <c r="E31" s="674" t="s">
        <v>159</v>
      </c>
      <c r="F31" s="675">
        <v>194137.38</v>
      </c>
      <c r="G31" s="675">
        <v>55032.79</v>
      </c>
      <c r="H31" s="675">
        <v>41381.050000000003</v>
      </c>
      <c r="I31" s="675">
        <v>22633.69</v>
      </c>
      <c r="J31" s="675">
        <v>18406.13</v>
      </c>
      <c r="K31" s="675">
        <v>20485.22</v>
      </c>
      <c r="L31" s="675">
        <v>-2677.59</v>
      </c>
      <c r="M31" s="675">
        <v>8784.1</v>
      </c>
      <c r="N31" s="675">
        <v>0</v>
      </c>
      <c r="O31" s="675">
        <v>586.16</v>
      </c>
      <c r="P31" s="675">
        <v>9037.98</v>
      </c>
      <c r="Q31" s="675">
        <v>0</v>
      </c>
      <c r="R31" s="675">
        <f t="shared" si="5"/>
        <v>367806.90999999992</v>
      </c>
    </row>
    <row r="32" spans="1:20">
      <c r="A32" s="674" t="s">
        <v>109</v>
      </c>
      <c r="B32" s="674" t="s">
        <v>119</v>
      </c>
      <c r="C32" s="674" t="s">
        <v>216</v>
      </c>
      <c r="D32" s="674" t="s">
        <v>607</v>
      </c>
      <c r="E32" s="674" t="s">
        <v>159</v>
      </c>
      <c r="F32" s="675">
        <v>0</v>
      </c>
      <c r="G32" s="675">
        <v>0</v>
      </c>
      <c r="H32" s="675">
        <v>0</v>
      </c>
      <c r="I32" s="675">
        <v>0</v>
      </c>
      <c r="J32" s="675">
        <v>0</v>
      </c>
      <c r="K32" s="675">
        <v>0</v>
      </c>
      <c r="L32" s="675">
        <v>0</v>
      </c>
      <c r="M32" s="675">
        <v>0</v>
      </c>
      <c r="N32" s="675">
        <v>0</v>
      </c>
      <c r="O32" s="675">
        <v>0</v>
      </c>
      <c r="P32" s="675">
        <v>0</v>
      </c>
      <c r="Q32" s="675">
        <v>0</v>
      </c>
      <c r="R32" s="675">
        <f t="shared" si="5"/>
        <v>0</v>
      </c>
    </row>
    <row r="33" spans="1:20">
      <c r="A33" s="674" t="s">
        <v>109</v>
      </c>
      <c r="B33" s="674" t="s">
        <v>288</v>
      </c>
      <c r="C33" s="674" t="s">
        <v>289</v>
      </c>
      <c r="D33" s="674" t="s">
        <v>607</v>
      </c>
      <c r="E33" s="674" t="s">
        <v>159</v>
      </c>
      <c r="F33" s="675">
        <v>834.44</v>
      </c>
      <c r="G33" s="675">
        <v>0</v>
      </c>
      <c r="H33" s="675">
        <v>636.98</v>
      </c>
      <c r="I33" s="675">
        <v>0</v>
      </c>
      <c r="J33" s="675">
        <v>0</v>
      </c>
      <c r="K33" s="675">
        <v>0</v>
      </c>
      <c r="L33" s="675">
        <v>0</v>
      </c>
      <c r="M33" s="675">
        <v>0</v>
      </c>
      <c r="N33" s="675">
        <v>0</v>
      </c>
      <c r="O33" s="675">
        <v>-307.98</v>
      </c>
      <c r="P33" s="675">
        <v>0</v>
      </c>
      <c r="Q33" s="675">
        <v>0</v>
      </c>
      <c r="R33" s="675">
        <f t="shared" si="5"/>
        <v>1163.44</v>
      </c>
    </row>
    <row r="34" spans="1:20">
      <c r="A34" s="674" t="s">
        <v>109</v>
      </c>
      <c r="B34" s="674" t="s">
        <v>747</v>
      </c>
      <c r="C34" s="674" t="s">
        <v>748</v>
      </c>
      <c r="D34" s="674" t="s">
        <v>608</v>
      </c>
      <c r="E34" s="674" t="s">
        <v>77</v>
      </c>
      <c r="F34" s="675">
        <v>70256.61</v>
      </c>
      <c r="G34" s="675">
        <v>191876.99</v>
      </c>
      <c r="H34" s="675">
        <v>331932.98</v>
      </c>
      <c r="I34" s="675">
        <v>383501.59</v>
      </c>
      <c r="J34" s="675">
        <v>565333.84</v>
      </c>
      <c r="K34" s="675">
        <v>450481</v>
      </c>
      <c r="L34" s="675">
        <v>789214.89</v>
      </c>
      <c r="M34" s="675">
        <v>502190.76</v>
      </c>
      <c r="N34" s="675">
        <v>613740.81999999995</v>
      </c>
      <c r="O34" s="675">
        <v>50800.5</v>
      </c>
      <c r="P34" s="1107">
        <v>497202.98</v>
      </c>
      <c r="Q34" s="1108">
        <v>530925.74</v>
      </c>
      <c r="R34" s="675">
        <f t="shared" si="5"/>
        <v>4977458.7</v>
      </c>
      <c r="T34" s="795" t="s">
        <v>415</v>
      </c>
    </row>
    <row r="35" spans="1:20">
      <c r="A35" s="674" t="s">
        <v>109</v>
      </c>
      <c r="B35" s="674" t="s">
        <v>753</v>
      </c>
      <c r="C35" s="674" t="s">
        <v>754</v>
      </c>
      <c r="D35" s="674" t="s">
        <v>608</v>
      </c>
      <c r="E35" s="674" t="s">
        <v>77</v>
      </c>
      <c r="F35" s="675">
        <v>0</v>
      </c>
      <c r="G35" s="675">
        <v>0</v>
      </c>
      <c r="H35" s="675">
        <v>2371.5300000000002</v>
      </c>
      <c r="I35" s="675">
        <v>715.04</v>
      </c>
      <c r="J35" s="675">
        <v>0</v>
      </c>
      <c r="K35" s="675">
        <v>2756.13</v>
      </c>
      <c r="L35" s="675">
        <v>5867.56</v>
      </c>
      <c r="M35" s="675">
        <v>2608.04</v>
      </c>
      <c r="N35" s="675">
        <v>2282</v>
      </c>
      <c r="O35" s="675">
        <v>6575.3</v>
      </c>
      <c r="P35" s="675">
        <v>3990.88</v>
      </c>
      <c r="Q35" s="675">
        <v>12054.32</v>
      </c>
      <c r="R35" s="675">
        <f t="shared" si="5"/>
        <v>39220.800000000003</v>
      </c>
      <c r="T35" s="795" t="s">
        <v>415</v>
      </c>
    </row>
    <row r="36" spans="1:20">
      <c r="A36" s="674" t="s">
        <v>109</v>
      </c>
      <c r="B36" s="674" t="s">
        <v>759</v>
      </c>
      <c r="C36" s="674" t="s">
        <v>760</v>
      </c>
      <c r="D36" s="674" t="s">
        <v>608</v>
      </c>
      <c r="E36" s="674" t="s">
        <v>77</v>
      </c>
      <c r="F36" s="675">
        <v>0</v>
      </c>
      <c r="G36" s="675">
        <v>0</v>
      </c>
      <c r="H36" s="675">
        <v>0</v>
      </c>
      <c r="I36" s="675">
        <v>0</v>
      </c>
      <c r="J36" s="675">
        <v>0</v>
      </c>
      <c r="K36" s="675">
        <v>0</v>
      </c>
      <c r="L36" s="675">
        <v>0</v>
      </c>
      <c r="M36" s="675">
        <v>0</v>
      </c>
      <c r="N36" s="675">
        <v>0</v>
      </c>
      <c r="O36" s="675">
        <v>0</v>
      </c>
      <c r="P36" s="675">
        <v>0</v>
      </c>
      <c r="Q36" s="675">
        <v>0</v>
      </c>
      <c r="R36" s="675">
        <f t="shared" si="5"/>
        <v>0</v>
      </c>
      <c r="T36" s="795" t="s">
        <v>415</v>
      </c>
    </row>
    <row r="37" spans="1:20">
      <c r="A37" s="674" t="s">
        <v>109</v>
      </c>
      <c r="B37" s="674" t="s">
        <v>127</v>
      </c>
      <c r="C37" s="674" t="s">
        <v>128</v>
      </c>
      <c r="D37" s="674" t="s">
        <v>608</v>
      </c>
      <c r="E37" s="674" t="s">
        <v>77</v>
      </c>
      <c r="F37" s="684">
        <v>40637.22</v>
      </c>
      <c r="G37" s="684">
        <v>2651.66</v>
      </c>
      <c r="H37" s="684">
        <v>32138.55</v>
      </c>
      <c r="I37" s="684">
        <v>8679.2099999999991</v>
      </c>
      <c r="J37" s="684">
        <v>1112.93</v>
      </c>
      <c r="K37" s="684">
        <v>0</v>
      </c>
      <c r="L37" s="684">
        <v>753.93</v>
      </c>
      <c r="M37" s="684">
        <v>5734.86</v>
      </c>
      <c r="N37" s="684">
        <v>-296.57</v>
      </c>
      <c r="O37" s="684">
        <v>0</v>
      </c>
      <c r="P37" s="684">
        <v>0</v>
      </c>
      <c r="Q37" s="684">
        <v>0</v>
      </c>
      <c r="R37" s="684">
        <f t="shared" si="5"/>
        <v>91411.79</v>
      </c>
      <c r="T37" s="795" t="s">
        <v>415</v>
      </c>
    </row>
    <row r="38" spans="1:20">
      <c r="A38" s="674" t="s">
        <v>109</v>
      </c>
      <c r="B38" s="674" t="s">
        <v>129</v>
      </c>
      <c r="C38" s="674" t="s">
        <v>130</v>
      </c>
      <c r="D38" s="674" t="s">
        <v>608</v>
      </c>
      <c r="E38" s="685" t="s">
        <v>77</v>
      </c>
      <c r="F38" s="676">
        <v>0</v>
      </c>
      <c r="G38" s="676">
        <v>0</v>
      </c>
      <c r="H38" s="676">
        <v>0</v>
      </c>
      <c r="I38" s="676">
        <v>0</v>
      </c>
      <c r="J38" s="676">
        <v>0</v>
      </c>
      <c r="K38" s="676">
        <v>0</v>
      </c>
      <c r="L38" s="676">
        <v>0</v>
      </c>
      <c r="M38" s="676">
        <v>0</v>
      </c>
      <c r="N38" s="676">
        <v>0</v>
      </c>
      <c r="O38" s="676">
        <v>0</v>
      </c>
      <c r="P38" s="676">
        <v>0</v>
      </c>
      <c r="Q38" s="676">
        <v>0</v>
      </c>
      <c r="R38" s="676">
        <f t="shared" si="5"/>
        <v>0</v>
      </c>
      <c r="T38" s="795" t="s">
        <v>415</v>
      </c>
    </row>
    <row r="39" spans="1:20">
      <c r="E39" s="677" t="s">
        <v>832</v>
      </c>
      <c r="F39" s="688">
        <f t="shared" ref="F39:R39" si="6">SUM(F22:F38)</f>
        <v>795818.22999999986</v>
      </c>
      <c r="G39" s="688">
        <f t="shared" si="6"/>
        <v>989809.4800000001</v>
      </c>
      <c r="H39" s="688">
        <f t="shared" si="6"/>
        <v>1159060.0699999998</v>
      </c>
      <c r="I39" s="688">
        <f t="shared" si="6"/>
        <v>1166754.1399999999</v>
      </c>
      <c r="J39" s="688">
        <f t="shared" si="6"/>
        <v>1290145.3799999997</v>
      </c>
      <c r="K39" s="688">
        <f t="shared" si="6"/>
        <v>1079139.8499999999</v>
      </c>
      <c r="L39" s="688">
        <f t="shared" si="6"/>
        <v>1616577.1300000001</v>
      </c>
      <c r="M39" s="688">
        <f t="shared" si="6"/>
        <v>1627208.6300000004</v>
      </c>
      <c r="N39" s="688">
        <f t="shared" si="6"/>
        <v>1411959.8</v>
      </c>
      <c r="O39" s="688">
        <f t="shared" si="6"/>
        <v>898148.68000000017</v>
      </c>
      <c r="P39" s="688">
        <f t="shared" si="6"/>
        <v>1244616.2899999998</v>
      </c>
      <c r="Q39" s="688">
        <f t="shared" si="6"/>
        <v>1414525.72</v>
      </c>
      <c r="R39" s="688">
        <f t="shared" si="6"/>
        <v>14693763.399999995</v>
      </c>
    </row>
    <row r="40" spans="1:20">
      <c r="E40" s="689" t="s">
        <v>830</v>
      </c>
      <c r="F40" s="675">
        <f>SUM(F22:F33)</f>
        <v>684924.39999999991</v>
      </c>
      <c r="G40" s="675">
        <f t="shared" ref="G40:R40" si="7">SUM(G22:G33)</f>
        <v>795280.83000000007</v>
      </c>
      <c r="H40" s="675">
        <f t="shared" si="7"/>
        <v>792617.00999999978</v>
      </c>
      <c r="I40" s="675">
        <f t="shared" si="7"/>
        <v>773858.29999999993</v>
      </c>
      <c r="J40" s="675">
        <f t="shared" si="7"/>
        <v>723698.60999999987</v>
      </c>
      <c r="K40" s="675">
        <f t="shared" si="7"/>
        <v>625902.72</v>
      </c>
      <c r="L40" s="675">
        <f t="shared" si="7"/>
        <v>820740.75</v>
      </c>
      <c r="M40" s="675">
        <f t="shared" si="7"/>
        <v>1116674.9700000002</v>
      </c>
      <c r="N40" s="675">
        <f t="shared" si="7"/>
        <v>796233.55000000016</v>
      </c>
      <c r="O40" s="675">
        <f t="shared" si="7"/>
        <v>840772.88000000012</v>
      </c>
      <c r="P40" s="675">
        <f t="shared" si="7"/>
        <v>743422.42999999993</v>
      </c>
      <c r="Q40" s="675">
        <f t="shared" si="7"/>
        <v>871545.66</v>
      </c>
      <c r="R40" s="675">
        <f t="shared" si="7"/>
        <v>9585672.1099999957</v>
      </c>
    </row>
    <row r="41" spans="1:20">
      <c r="E41" s="689" t="s">
        <v>831</v>
      </c>
      <c r="F41" s="675">
        <f>SUM(F34:F38)</f>
        <v>110893.83</v>
      </c>
      <c r="G41" s="675">
        <f t="shared" ref="G41:R41" si="8">SUM(G34:G38)</f>
        <v>194528.65</v>
      </c>
      <c r="H41" s="675">
        <f t="shared" si="8"/>
        <v>366443.06</v>
      </c>
      <c r="I41" s="675">
        <f t="shared" si="8"/>
        <v>392895.84</v>
      </c>
      <c r="J41" s="675">
        <f t="shared" si="8"/>
        <v>566446.77</v>
      </c>
      <c r="K41" s="675">
        <f t="shared" si="8"/>
        <v>453237.13</v>
      </c>
      <c r="L41" s="675">
        <f t="shared" si="8"/>
        <v>795836.38000000012</v>
      </c>
      <c r="M41" s="675">
        <f t="shared" si="8"/>
        <v>510533.66</v>
      </c>
      <c r="N41" s="675">
        <f t="shared" si="8"/>
        <v>615726.25</v>
      </c>
      <c r="O41" s="675">
        <f t="shared" si="8"/>
        <v>57375.8</v>
      </c>
      <c r="P41" s="675">
        <f t="shared" si="8"/>
        <v>501193.86</v>
      </c>
      <c r="Q41" s="675">
        <f t="shared" si="8"/>
        <v>542980.05999999994</v>
      </c>
      <c r="R41" s="675">
        <f t="shared" si="8"/>
        <v>5108091.29</v>
      </c>
    </row>
    <row r="42" spans="1:20">
      <c r="E42" s="689"/>
      <c r="F42" s="800">
        <f>SUM(F23,F25,F27,F31:F33)</f>
        <v>550758.46</v>
      </c>
      <c r="G42" s="800">
        <f t="shared" ref="G42:Q42" si="9">SUM(G23,G25,G27,G31:G33)</f>
        <v>645910.35000000009</v>
      </c>
      <c r="H42" s="800">
        <f t="shared" si="9"/>
        <v>487279.27999999997</v>
      </c>
      <c r="I42" s="800">
        <f t="shared" si="9"/>
        <v>511235.1</v>
      </c>
      <c r="J42" s="800">
        <f t="shared" si="9"/>
        <v>414738.29000000004</v>
      </c>
      <c r="K42" s="800">
        <f t="shared" si="9"/>
        <v>365598.48</v>
      </c>
      <c r="L42" s="800">
        <f t="shared" si="9"/>
        <v>428421.24999999994</v>
      </c>
      <c r="M42" s="800">
        <f t="shared" si="9"/>
        <v>639958.55000000005</v>
      </c>
      <c r="N42" s="800">
        <f t="shared" si="9"/>
        <v>558392.58000000007</v>
      </c>
      <c r="O42" s="800">
        <f t="shared" si="9"/>
        <v>551418.01000000013</v>
      </c>
      <c r="P42" s="800">
        <f t="shared" si="9"/>
        <v>435256.79</v>
      </c>
      <c r="Q42" s="800">
        <f t="shared" si="9"/>
        <v>585803.80999999994</v>
      </c>
      <c r="R42" s="800">
        <f t="shared" ref="R42:R43" si="10">SUM(F42:Q42)</f>
        <v>6174770.9499999993</v>
      </c>
      <c r="S42" s="802" t="s">
        <v>850</v>
      </c>
    </row>
    <row r="43" spans="1:20">
      <c r="E43" s="689"/>
      <c r="F43" s="800">
        <f>SUM(F22,F24,F26,F28:F30,F34:F38)</f>
        <v>245059.77</v>
      </c>
      <c r="G43" s="800">
        <f t="shared" ref="G43:Q43" si="11">SUM(G22,G24,G26,G28:G30,G34:G38)</f>
        <v>343899.12999999995</v>
      </c>
      <c r="H43" s="800">
        <f t="shared" si="11"/>
        <v>671780.79</v>
      </c>
      <c r="I43" s="800">
        <f t="shared" si="11"/>
        <v>655519.04</v>
      </c>
      <c r="J43" s="800">
        <f t="shared" si="11"/>
        <v>875407.09</v>
      </c>
      <c r="K43" s="800">
        <f t="shared" si="11"/>
        <v>713541.37</v>
      </c>
      <c r="L43" s="800">
        <f t="shared" si="11"/>
        <v>1188155.8800000001</v>
      </c>
      <c r="M43" s="800">
        <f t="shared" si="11"/>
        <v>987250.08000000007</v>
      </c>
      <c r="N43" s="800">
        <f t="shared" si="11"/>
        <v>853567.22</v>
      </c>
      <c r="O43" s="800">
        <f t="shared" si="11"/>
        <v>346730.67</v>
      </c>
      <c r="P43" s="800">
        <f t="shared" si="11"/>
        <v>809359.49999999988</v>
      </c>
      <c r="Q43" s="800">
        <f t="shared" si="11"/>
        <v>828721.90999999992</v>
      </c>
      <c r="R43" s="800">
        <f t="shared" si="10"/>
        <v>8518992.4499999993</v>
      </c>
      <c r="S43" s="802" t="s">
        <v>851</v>
      </c>
    </row>
    <row r="44" spans="1:20" s="1112" customFormat="1" ht="15.75" customHeight="1">
      <c r="A44" s="1110" t="s">
        <v>836</v>
      </c>
      <c r="B44" s="1110"/>
      <c r="C44" s="1111"/>
      <c r="D44" s="1110"/>
      <c r="E44" s="1110" t="s">
        <v>849</v>
      </c>
      <c r="F44" s="1110"/>
      <c r="G44" s="1110"/>
      <c r="H44" s="1110"/>
      <c r="I44" s="1110"/>
      <c r="J44" s="1110"/>
      <c r="K44" s="1110"/>
      <c r="L44" s="1110"/>
      <c r="M44" s="1110"/>
      <c r="N44" s="1110"/>
      <c r="O44" s="1110"/>
      <c r="P44" s="1110"/>
      <c r="Q44" s="1110"/>
      <c r="R44" s="1110"/>
      <c r="T44" s="1113"/>
    </row>
    <row r="45" spans="1:20">
      <c r="A45" s="682" t="s">
        <v>582</v>
      </c>
      <c r="B45" s="682" t="s">
        <v>106</v>
      </c>
      <c r="C45" s="682" t="s">
        <v>583</v>
      </c>
      <c r="D45" s="682" t="s">
        <v>581</v>
      </c>
      <c r="E45" s="682" t="s">
        <v>740</v>
      </c>
      <c r="F45" s="683" t="s">
        <v>584</v>
      </c>
      <c r="G45" s="683" t="s">
        <v>585</v>
      </c>
      <c r="H45" s="683" t="s">
        <v>586</v>
      </c>
      <c r="I45" s="683" t="s">
        <v>587</v>
      </c>
      <c r="J45" s="683" t="s">
        <v>588</v>
      </c>
      <c r="K45" s="683" t="s">
        <v>589</v>
      </c>
      <c r="L45" s="683" t="s">
        <v>590</v>
      </c>
      <c r="M45" s="683" t="s">
        <v>591</v>
      </c>
      <c r="N45" s="683" t="s">
        <v>592</v>
      </c>
      <c r="O45" s="683" t="s">
        <v>593</v>
      </c>
      <c r="P45" s="683" t="s">
        <v>594</v>
      </c>
      <c r="Q45" s="683" t="s">
        <v>595</v>
      </c>
      <c r="R45" s="683" t="s">
        <v>3</v>
      </c>
    </row>
    <row r="46" spans="1:20">
      <c r="A46" s="674" t="s">
        <v>37</v>
      </c>
      <c r="B46" s="674" t="s">
        <v>745</v>
      </c>
      <c r="C46" s="674" t="s">
        <v>746</v>
      </c>
      <c r="D46" s="674" t="s">
        <v>607</v>
      </c>
      <c r="E46" s="674" t="s">
        <v>159</v>
      </c>
      <c r="F46" s="675">
        <v>0</v>
      </c>
      <c r="G46" s="675">
        <v>0</v>
      </c>
      <c r="H46" s="675">
        <v>0</v>
      </c>
      <c r="I46" s="675">
        <v>0</v>
      </c>
      <c r="J46" s="675">
        <v>0</v>
      </c>
      <c r="K46" s="675">
        <v>0</v>
      </c>
      <c r="L46" s="675">
        <v>0</v>
      </c>
      <c r="M46" s="675">
        <v>0</v>
      </c>
      <c r="N46" s="675">
        <v>0</v>
      </c>
      <c r="O46" s="675">
        <v>0</v>
      </c>
      <c r="P46" s="675">
        <v>0</v>
      </c>
      <c r="Q46" s="675">
        <v>1930.9</v>
      </c>
      <c r="R46" s="675">
        <f t="shared" ref="R46:R51" si="12">SUM(F46:Q46)</f>
        <v>1930.9</v>
      </c>
    </row>
    <row r="47" spans="1:20">
      <c r="A47" s="674" t="s">
        <v>37</v>
      </c>
      <c r="B47" s="674" t="s">
        <v>749</v>
      </c>
      <c r="C47" s="674" t="s">
        <v>750</v>
      </c>
      <c r="D47" s="674" t="s">
        <v>607</v>
      </c>
      <c r="E47" s="674" t="s">
        <v>159</v>
      </c>
      <c r="F47" s="675">
        <v>0</v>
      </c>
      <c r="G47" s="675">
        <v>1600.03</v>
      </c>
      <c r="H47" s="675">
        <v>10497.34</v>
      </c>
      <c r="I47" s="675">
        <v>5971.86</v>
      </c>
      <c r="J47" s="675">
        <v>2061.71</v>
      </c>
      <c r="K47" s="675">
        <v>8451.86</v>
      </c>
      <c r="L47" s="675">
        <v>6366.58</v>
      </c>
      <c r="M47" s="675">
        <v>8613.56</v>
      </c>
      <c r="N47" s="675">
        <v>4039.5</v>
      </c>
      <c r="O47" s="675">
        <v>2006.57</v>
      </c>
      <c r="P47" s="675">
        <v>2288.7399999999998</v>
      </c>
      <c r="Q47" s="675">
        <v>2261.71</v>
      </c>
      <c r="R47" s="675">
        <f t="shared" si="12"/>
        <v>54159.459999999992</v>
      </c>
    </row>
    <row r="48" spans="1:20">
      <c r="A48" s="674" t="s">
        <v>37</v>
      </c>
      <c r="B48" s="674" t="s">
        <v>747</v>
      </c>
      <c r="C48" s="674" t="s">
        <v>748</v>
      </c>
      <c r="D48" s="674" t="s">
        <v>608</v>
      </c>
      <c r="E48" s="674" t="s">
        <v>77</v>
      </c>
      <c r="F48" s="675">
        <v>19491.759999999998</v>
      </c>
      <c r="G48" s="675">
        <v>21233.9</v>
      </c>
      <c r="H48" s="675">
        <v>33702.160000000003</v>
      </c>
      <c r="I48" s="675">
        <v>8535.56</v>
      </c>
      <c r="J48" s="675">
        <v>45427.01</v>
      </c>
      <c r="K48" s="675">
        <v>-29455.94</v>
      </c>
      <c r="L48" s="675">
        <v>89277.87</v>
      </c>
      <c r="M48" s="675">
        <v>70307.02</v>
      </c>
      <c r="N48" s="675">
        <v>71813.61</v>
      </c>
      <c r="O48" s="675">
        <v>15205.72</v>
      </c>
      <c r="P48" s="675">
        <v>-19418.240000000002</v>
      </c>
      <c r="Q48" s="675">
        <v>101431.18</v>
      </c>
      <c r="R48" s="675">
        <f t="shared" si="12"/>
        <v>427551.61</v>
      </c>
    </row>
    <row r="49" spans="1:18">
      <c r="A49" s="674" t="s">
        <v>37</v>
      </c>
      <c r="B49" s="674" t="s">
        <v>753</v>
      </c>
      <c r="C49" s="674" t="s">
        <v>754</v>
      </c>
      <c r="D49" s="674" t="s">
        <v>608</v>
      </c>
      <c r="E49" s="674" t="s">
        <v>77</v>
      </c>
      <c r="F49" s="675">
        <v>5340.07</v>
      </c>
      <c r="G49" s="675">
        <v>6532.04</v>
      </c>
      <c r="H49" s="675">
        <v>8717.14</v>
      </c>
      <c r="I49" s="675">
        <v>6403.86</v>
      </c>
      <c r="J49" s="675">
        <v>10784.98</v>
      </c>
      <c r="K49" s="675">
        <v>18527.689999999999</v>
      </c>
      <c r="L49" s="675">
        <v>16397.68</v>
      </c>
      <c r="M49" s="675">
        <v>11030.29</v>
      </c>
      <c r="N49" s="675">
        <v>13842.7</v>
      </c>
      <c r="O49" s="675">
        <v>5511.5</v>
      </c>
      <c r="P49" s="675">
        <v>10038.040000000001</v>
      </c>
      <c r="Q49" s="675">
        <v>4485.29</v>
      </c>
      <c r="R49" s="675">
        <f t="shared" si="12"/>
        <v>117611.27999999998</v>
      </c>
    </row>
    <row r="50" spans="1:18">
      <c r="A50" s="674" t="s">
        <v>37</v>
      </c>
      <c r="B50" s="674" t="s">
        <v>127</v>
      </c>
      <c r="C50" s="674" t="s">
        <v>128</v>
      </c>
      <c r="D50" s="674" t="s">
        <v>608</v>
      </c>
      <c r="E50" s="674" t="s">
        <v>77</v>
      </c>
      <c r="F50" s="675">
        <v>5258.48</v>
      </c>
      <c r="G50" s="675">
        <v>1034.51</v>
      </c>
      <c r="H50" s="675">
        <v>0</v>
      </c>
      <c r="I50" s="675">
        <v>0</v>
      </c>
      <c r="J50" s="675">
        <v>0</v>
      </c>
      <c r="K50" s="675">
        <v>0</v>
      </c>
      <c r="L50" s="675">
        <v>0</v>
      </c>
      <c r="M50" s="675">
        <v>0</v>
      </c>
      <c r="N50" s="675">
        <v>0</v>
      </c>
      <c r="O50" s="675">
        <v>0</v>
      </c>
      <c r="P50" s="675">
        <v>0</v>
      </c>
      <c r="Q50" s="675">
        <v>0</v>
      </c>
      <c r="R50" s="675">
        <f t="shared" si="12"/>
        <v>6292.99</v>
      </c>
    </row>
    <row r="51" spans="1:18">
      <c r="A51" s="674" t="s">
        <v>37</v>
      </c>
      <c r="B51" s="674" t="s">
        <v>129</v>
      </c>
      <c r="C51" s="674" t="s">
        <v>130</v>
      </c>
      <c r="D51" s="674" t="s">
        <v>608</v>
      </c>
      <c r="E51" s="685" t="s">
        <v>77</v>
      </c>
      <c r="F51" s="676">
        <v>13304.59</v>
      </c>
      <c r="G51" s="676">
        <v>2418.9700000000003</v>
      </c>
      <c r="H51" s="676">
        <v>3087.53</v>
      </c>
      <c r="I51" s="676">
        <v>0</v>
      </c>
      <c r="J51" s="676">
        <v>0</v>
      </c>
      <c r="K51" s="676">
        <v>0</v>
      </c>
      <c r="L51" s="676">
        <v>0</v>
      </c>
      <c r="M51" s="676">
        <v>0</v>
      </c>
      <c r="N51" s="676">
        <v>0</v>
      </c>
      <c r="O51" s="676">
        <v>0</v>
      </c>
      <c r="P51" s="676">
        <v>0</v>
      </c>
      <c r="Q51" s="676">
        <v>0</v>
      </c>
      <c r="R51" s="676">
        <f t="shared" si="12"/>
        <v>18811.09</v>
      </c>
    </row>
    <row r="52" spans="1:18">
      <c r="E52" s="677" t="s">
        <v>833</v>
      </c>
      <c r="F52" s="688">
        <f>SUM(F46:F51)</f>
        <v>43394.899999999994</v>
      </c>
      <c r="G52" s="688">
        <f t="shared" ref="G52:R52" si="13">SUM(G46:G51)</f>
        <v>32819.449999999997</v>
      </c>
      <c r="H52" s="688">
        <f t="shared" si="13"/>
        <v>56004.17</v>
      </c>
      <c r="I52" s="688">
        <f t="shared" si="13"/>
        <v>20911.28</v>
      </c>
      <c r="J52" s="688">
        <f t="shared" si="13"/>
        <v>58273.7</v>
      </c>
      <c r="K52" s="688">
        <f t="shared" si="13"/>
        <v>-2476.3899999999994</v>
      </c>
      <c r="L52" s="688">
        <f t="shared" si="13"/>
        <v>112042.13</v>
      </c>
      <c r="M52" s="688">
        <f t="shared" si="13"/>
        <v>89950.87</v>
      </c>
      <c r="N52" s="688">
        <f t="shared" si="13"/>
        <v>89695.81</v>
      </c>
      <c r="O52" s="688">
        <f t="shared" si="13"/>
        <v>22723.79</v>
      </c>
      <c r="P52" s="688">
        <f t="shared" si="13"/>
        <v>-7091.4599999999991</v>
      </c>
      <c r="Q52" s="688">
        <f t="shared" si="13"/>
        <v>110109.07999999999</v>
      </c>
      <c r="R52" s="688">
        <f t="shared" si="13"/>
        <v>626357.32999999996</v>
      </c>
    </row>
    <row r="53" spans="1:18">
      <c r="E53" s="689" t="s">
        <v>830</v>
      </c>
      <c r="F53" s="675">
        <f>SUM(F46:F47)</f>
        <v>0</v>
      </c>
      <c r="G53" s="675">
        <f t="shared" ref="G53:R53" si="14">SUM(G46:G47)</f>
        <v>1600.03</v>
      </c>
      <c r="H53" s="675">
        <f t="shared" si="14"/>
        <v>10497.34</v>
      </c>
      <c r="I53" s="675">
        <f t="shared" si="14"/>
        <v>5971.86</v>
      </c>
      <c r="J53" s="675">
        <f t="shared" si="14"/>
        <v>2061.71</v>
      </c>
      <c r="K53" s="675">
        <f t="shared" si="14"/>
        <v>8451.86</v>
      </c>
      <c r="L53" s="675">
        <f t="shared" si="14"/>
        <v>6366.58</v>
      </c>
      <c r="M53" s="675">
        <f t="shared" si="14"/>
        <v>8613.56</v>
      </c>
      <c r="N53" s="675">
        <f t="shared" si="14"/>
        <v>4039.5</v>
      </c>
      <c r="O53" s="675">
        <f t="shared" si="14"/>
        <v>2006.57</v>
      </c>
      <c r="P53" s="675">
        <f t="shared" si="14"/>
        <v>2288.7399999999998</v>
      </c>
      <c r="Q53" s="675">
        <f t="shared" si="14"/>
        <v>4192.6100000000006</v>
      </c>
      <c r="R53" s="675">
        <f t="shared" si="14"/>
        <v>56090.359999999993</v>
      </c>
    </row>
    <row r="54" spans="1:18">
      <c r="E54" s="689" t="s">
        <v>831</v>
      </c>
      <c r="F54" s="675">
        <f>SUM(F48:F51)</f>
        <v>43394.899999999994</v>
      </c>
      <c r="G54" s="675">
        <f t="shared" ref="G54:R54" si="15">SUM(G48:G51)</f>
        <v>31219.420000000002</v>
      </c>
      <c r="H54" s="675">
        <f t="shared" si="15"/>
        <v>45506.83</v>
      </c>
      <c r="I54" s="675">
        <f t="shared" si="15"/>
        <v>14939.419999999998</v>
      </c>
      <c r="J54" s="675">
        <f t="shared" si="15"/>
        <v>56211.990000000005</v>
      </c>
      <c r="K54" s="675">
        <f t="shared" si="15"/>
        <v>-10928.25</v>
      </c>
      <c r="L54" s="675">
        <f t="shared" si="15"/>
        <v>105675.54999999999</v>
      </c>
      <c r="M54" s="675">
        <f t="shared" si="15"/>
        <v>81337.31</v>
      </c>
      <c r="N54" s="675">
        <f t="shared" si="15"/>
        <v>85656.31</v>
      </c>
      <c r="O54" s="675">
        <f t="shared" si="15"/>
        <v>20717.22</v>
      </c>
      <c r="P54" s="675">
        <f t="shared" si="15"/>
        <v>-9380.2000000000007</v>
      </c>
      <c r="Q54" s="675">
        <f t="shared" si="15"/>
        <v>105916.46999999999</v>
      </c>
      <c r="R54" s="675">
        <f t="shared" si="15"/>
        <v>570266.97</v>
      </c>
    </row>
    <row r="55" spans="1:18"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</row>
    <row r="56" spans="1:18">
      <c r="F56" s="675"/>
      <c r="G56" s="675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</row>
    <row r="57" spans="1:18">
      <c r="A57" s="674" t="s">
        <v>1032</v>
      </c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</row>
    <row r="58" spans="1:18"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</row>
    <row r="59" spans="1:18"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</row>
    <row r="60" spans="1:18">
      <c r="F60" s="675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</row>
    <row r="61" spans="1:18"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</row>
    <row r="62" spans="1:18"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</row>
  </sheetData>
  <sortState xmlns:xlrd2="http://schemas.microsoft.com/office/spreadsheetml/2017/richdata2" ref="A22:R38">
    <sortCondition ref="E22:E38"/>
    <sortCondition ref="B22:B38"/>
  </sortState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F16:Q17 F40:Q41 F53:Q54" formulaRange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C0766-A1B8-41CE-B008-CD22B79DA3F2}">
  <sheetPr>
    <tabColor rgb="FF002060"/>
  </sheetPr>
  <dimension ref="A2:T35"/>
  <sheetViews>
    <sheetView showGridLines="0" workbookViewId="0"/>
  </sheetViews>
  <sheetFormatPr defaultColWidth="9.140625" defaultRowHeight="15"/>
  <cols>
    <col min="1" max="1" width="13.7109375" style="674" customWidth="1"/>
    <col min="2" max="2" width="12.140625" style="674" bestFit="1" customWidth="1"/>
    <col min="3" max="3" width="31" style="674" bestFit="1" customWidth="1"/>
    <col min="4" max="4" width="22.140625" style="674" bestFit="1" customWidth="1"/>
    <col min="5" max="5" width="31" style="674" bestFit="1" customWidth="1"/>
    <col min="6" max="17" width="10.5703125" style="674" bestFit="1" customWidth="1"/>
    <col min="18" max="18" width="11.5703125" style="674" bestFit="1" customWidth="1"/>
    <col min="19" max="19" width="9.140625" style="674"/>
    <col min="20" max="20" width="10" style="674" bestFit="1" customWidth="1"/>
    <col min="21" max="16384" width="9.140625" style="674"/>
  </cols>
  <sheetData>
    <row r="2" spans="1:20">
      <c r="A2" s="555" t="s">
        <v>761</v>
      </c>
    </row>
    <row r="3" spans="1:20">
      <c r="C3" s="724" t="s">
        <v>837</v>
      </c>
    </row>
    <row r="4" spans="1:20" ht="21" customHeight="1">
      <c r="A4" s="556" t="s">
        <v>582</v>
      </c>
      <c r="B4" s="556" t="s">
        <v>106</v>
      </c>
      <c r="C4" s="556" t="s">
        <v>583</v>
      </c>
      <c r="D4" s="556" t="s">
        <v>739</v>
      </c>
      <c r="E4" s="556" t="s">
        <v>740</v>
      </c>
      <c r="F4" s="706" t="s">
        <v>584</v>
      </c>
      <c r="G4" s="706" t="s">
        <v>585</v>
      </c>
      <c r="H4" s="706" t="s">
        <v>586</v>
      </c>
      <c r="I4" s="706" t="s">
        <v>587</v>
      </c>
      <c r="J4" s="706" t="s">
        <v>588</v>
      </c>
      <c r="K4" s="706" t="s">
        <v>589</v>
      </c>
      <c r="L4" s="706" t="s">
        <v>590</v>
      </c>
      <c r="M4" s="706" t="s">
        <v>591</v>
      </c>
      <c r="N4" s="706" t="s">
        <v>592</v>
      </c>
      <c r="O4" s="706" t="s">
        <v>593</v>
      </c>
      <c r="P4" s="706" t="s">
        <v>594</v>
      </c>
      <c r="Q4" s="706" t="s">
        <v>595</v>
      </c>
      <c r="R4" s="706" t="s">
        <v>3</v>
      </c>
    </row>
    <row r="5" spans="1:20" ht="17.25" customHeight="1">
      <c r="A5" s="708" t="s">
        <v>405</v>
      </c>
      <c r="B5" s="708" t="s">
        <v>145</v>
      </c>
      <c r="C5" s="708" t="s">
        <v>597</v>
      </c>
      <c r="D5" s="708" t="s">
        <v>596</v>
      </c>
      <c r="E5" s="708" t="s">
        <v>544</v>
      </c>
      <c r="F5" s="708">
        <v>12000</v>
      </c>
      <c r="G5" s="708">
        <v>12000</v>
      </c>
      <c r="H5" s="708">
        <v>12000</v>
      </c>
      <c r="I5" s="708">
        <v>12000</v>
      </c>
      <c r="J5" s="708">
        <v>12000</v>
      </c>
      <c r="K5" s="708">
        <v>12000</v>
      </c>
      <c r="L5" s="708">
        <v>12000</v>
      </c>
      <c r="M5" s="708">
        <v>12000</v>
      </c>
      <c r="N5" s="708">
        <v>12000</v>
      </c>
      <c r="O5" s="708">
        <v>12000</v>
      </c>
      <c r="P5" s="708">
        <v>12000</v>
      </c>
      <c r="Q5" s="708">
        <v>12000</v>
      </c>
      <c r="R5" s="708">
        <f t="shared" ref="R5:R7" si="0">SUM(F5:Q5)</f>
        <v>144000</v>
      </c>
    </row>
    <row r="6" spans="1:20" ht="17.25" customHeight="1">
      <c r="A6" s="708" t="s">
        <v>405</v>
      </c>
      <c r="B6" s="708" t="s">
        <v>149</v>
      </c>
      <c r="C6" s="708" t="s">
        <v>598</v>
      </c>
      <c r="D6" s="708" t="s">
        <v>596</v>
      </c>
      <c r="E6" s="708" t="s">
        <v>544</v>
      </c>
      <c r="F6" s="708">
        <v>32919</v>
      </c>
      <c r="G6" s="708">
        <v>32694</v>
      </c>
      <c r="H6" s="708">
        <v>36684</v>
      </c>
      <c r="I6" s="708">
        <v>34772</v>
      </c>
      <c r="J6" s="708">
        <v>32901</v>
      </c>
      <c r="K6" s="708">
        <v>35114</v>
      </c>
      <c r="L6" s="708">
        <v>34715</v>
      </c>
      <c r="M6" s="708">
        <v>36729</v>
      </c>
      <c r="N6" s="708">
        <v>35817</v>
      </c>
      <c r="O6" s="708">
        <v>34739</v>
      </c>
      <c r="P6" s="708">
        <v>33966</v>
      </c>
      <c r="Q6" s="708">
        <v>33947</v>
      </c>
      <c r="R6" s="708">
        <f t="shared" si="0"/>
        <v>414997</v>
      </c>
    </row>
    <row r="7" spans="1:20" ht="17.25" customHeight="1">
      <c r="A7" s="708" t="s">
        <v>405</v>
      </c>
      <c r="B7" s="708" t="s">
        <v>154</v>
      </c>
      <c r="C7" s="708" t="s">
        <v>599</v>
      </c>
      <c r="D7" s="708" t="s">
        <v>596</v>
      </c>
      <c r="E7" s="708" t="s">
        <v>544</v>
      </c>
      <c r="F7" s="708">
        <v>24128</v>
      </c>
      <c r="G7" s="708">
        <v>23920</v>
      </c>
      <c r="H7" s="708">
        <v>26869</v>
      </c>
      <c r="I7" s="708">
        <v>25479</v>
      </c>
      <c r="J7" s="708">
        <v>24114</v>
      </c>
      <c r="K7" s="708">
        <v>25717</v>
      </c>
      <c r="L7" s="708">
        <v>25440</v>
      </c>
      <c r="M7" s="708">
        <v>26847</v>
      </c>
      <c r="N7" s="708">
        <v>26210</v>
      </c>
      <c r="O7" s="708">
        <v>25403</v>
      </c>
      <c r="P7" s="708">
        <v>24914</v>
      </c>
      <c r="Q7" s="708">
        <v>24955</v>
      </c>
      <c r="R7" s="708">
        <f t="shared" si="0"/>
        <v>303996</v>
      </c>
    </row>
    <row r="8" spans="1:20" ht="17.25" customHeight="1">
      <c r="A8" s="708" t="s">
        <v>405</v>
      </c>
      <c r="B8" s="708" t="s">
        <v>448</v>
      </c>
      <c r="C8" s="708" t="s">
        <v>600</v>
      </c>
      <c r="D8" s="708" t="s">
        <v>596</v>
      </c>
      <c r="E8" s="708" t="s">
        <v>544</v>
      </c>
      <c r="F8" s="708">
        <v>1500</v>
      </c>
      <c r="G8" s="708">
        <v>2540</v>
      </c>
      <c r="H8" s="708">
        <v>2000</v>
      </c>
      <c r="I8" s="708">
        <v>1500</v>
      </c>
      <c r="J8" s="708">
        <v>1500</v>
      </c>
      <c r="K8" s="708">
        <v>2540</v>
      </c>
      <c r="L8" s="708">
        <v>2000</v>
      </c>
      <c r="M8" s="708">
        <v>1500</v>
      </c>
      <c r="N8" s="708">
        <v>2540</v>
      </c>
      <c r="O8" s="708">
        <v>1500</v>
      </c>
      <c r="P8" s="708">
        <v>1500</v>
      </c>
      <c r="Q8" s="708">
        <v>2380</v>
      </c>
      <c r="R8" s="708">
        <f>SUM(F8:Q8)</f>
        <v>23000</v>
      </c>
    </row>
    <row r="9" spans="1:20">
      <c r="A9" s="707" t="s">
        <v>321</v>
      </c>
      <c r="B9" s="707"/>
      <c r="C9" s="707"/>
      <c r="D9" s="707"/>
      <c r="E9" s="707"/>
      <c r="F9" s="707">
        <f>SUM(F5:F8)</f>
        <v>70547</v>
      </c>
      <c r="G9" s="707">
        <f t="shared" ref="G9:R9" si="1">SUM(G5:G8)</f>
        <v>71154</v>
      </c>
      <c r="H9" s="707">
        <f t="shared" si="1"/>
        <v>77553</v>
      </c>
      <c r="I9" s="707">
        <f t="shared" si="1"/>
        <v>73751</v>
      </c>
      <c r="J9" s="707">
        <f t="shared" si="1"/>
        <v>70515</v>
      </c>
      <c r="K9" s="707">
        <f t="shared" si="1"/>
        <v>75371</v>
      </c>
      <c r="L9" s="707">
        <f t="shared" si="1"/>
        <v>74155</v>
      </c>
      <c r="M9" s="707">
        <f t="shared" si="1"/>
        <v>77076</v>
      </c>
      <c r="N9" s="707">
        <f t="shared" si="1"/>
        <v>76567</v>
      </c>
      <c r="O9" s="707">
        <f t="shared" si="1"/>
        <v>73642</v>
      </c>
      <c r="P9" s="707">
        <f t="shared" si="1"/>
        <v>72380</v>
      </c>
      <c r="Q9" s="707">
        <f t="shared" si="1"/>
        <v>73282</v>
      </c>
      <c r="R9" s="707">
        <f t="shared" si="1"/>
        <v>885993</v>
      </c>
      <c r="T9" s="701"/>
    </row>
    <row r="11" spans="1:20">
      <c r="E11" s="556" t="s">
        <v>175</v>
      </c>
      <c r="F11" s="706" t="s">
        <v>584</v>
      </c>
      <c r="G11" s="706" t="s">
        <v>585</v>
      </c>
      <c r="H11" s="706" t="s">
        <v>586</v>
      </c>
      <c r="I11" s="706" t="s">
        <v>587</v>
      </c>
      <c r="J11" s="706" t="s">
        <v>588</v>
      </c>
      <c r="K11" s="706" t="s">
        <v>589</v>
      </c>
      <c r="L11" s="706" t="s">
        <v>590</v>
      </c>
      <c r="M11" s="706" t="s">
        <v>591</v>
      </c>
      <c r="N11" s="706" t="s">
        <v>592</v>
      </c>
      <c r="O11" s="706" t="s">
        <v>593</v>
      </c>
      <c r="P11" s="706" t="s">
        <v>594</v>
      </c>
      <c r="Q11" s="706" t="s">
        <v>595</v>
      </c>
      <c r="R11" s="706" t="s">
        <v>3</v>
      </c>
    </row>
    <row r="12" spans="1:20" s="686" customFormat="1" ht="16.5" customHeight="1">
      <c r="E12" s="686" t="s">
        <v>366</v>
      </c>
      <c r="F12" s="711">
        <v>52552.807181675358</v>
      </c>
      <c r="G12" s="711">
        <f>F12</f>
        <v>52552.807181675358</v>
      </c>
      <c r="H12" s="711">
        <f t="shared" ref="H12:Q12" si="2">G12</f>
        <v>52552.807181675358</v>
      </c>
      <c r="I12" s="711">
        <f t="shared" si="2"/>
        <v>52552.807181675358</v>
      </c>
      <c r="J12" s="711">
        <f t="shared" si="2"/>
        <v>52552.807181675358</v>
      </c>
      <c r="K12" s="711">
        <f t="shared" si="2"/>
        <v>52552.807181675358</v>
      </c>
      <c r="L12" s="711">
        <f t="shared" si="2"/>
        <v>52552.807181675358</v>
      </c>
      <c r="M12" s="711">
        <f t="shared" si="2"/>
        <v>52552.807181675358</v>
      </c>
      <c r="N12" s="711">
        <f t="shared" si="2"/>
        <v>52552.807181675358</v>
      </c>
      <c r="O12" s="711">
        <f t="shared" si="2"/>
        <v>52552.807181675358</v>
      </c>
      <c r="P12" s="711">
        <f t="shared" si="2"/>
        <v>52552.807181675358</v>
      </c>
      <c r="Q12" s="711">
        <f t="shared" si="2"/>
        <v>52552.807181675358</v>
      </c>
      <c r="R12" s="711">
        <f>SUM(F12:Q12)</f>
        <v>630633.68618010415</v>
      </c>
      <c r="T12" s="701"/>
    </row>
    <row r="13" spans="1:20" s="686" customFormat="1" ht="16.5" customHeight="1">
      <c r="E13" s="686" t="s">
        <v>379</v>
      </c>
      <c r="F13" s="711">
        <v>0</v>
      </c>
      <c r="G13" s="711">
        <f>F13</f>
        <v>0</v>
      </c>
      <c r="H13" s="711">
        <f t="shared" ref="H13:Q13" si="3">G13</f>
        <v>0</v>
      </c>
      <c r="I13" s="711">
        <f t="shared" si="3"/>
        <v>0</v>
      </c>
      <c r="J13" s="711">
        <f t="shared" si="3"/>
        <v>0</v>
      </c>
      <c r="K13" s="711">
        <f t="shared" si="3"/>
        <v>0</v>
      </c>
      <c r="L13" s="711">
        <f t="shared" si="3"/>
        <v>0</v>
      </c>
      <c r="M13" s="711">
        <f t="shared" si="3"/>
        <v>0</v>
      </c>
      <c r="N13" s="711">
        <f t="shared" si="3"/>
        <v>0</v>
      </c>
      <c r="O13" s="711">
        <f t="shared" si="3"/>
        <v>0</v>
      </c>
      <c r="P13" s="711">
        <f t="shared" si="3"/>
        <v>0</v>
      </c>
      <c r="Q13" s="711">
        <f t="shared" si="3"/>
        <v>0</v>
      </c>
      <c r="R13" s="711">
        <f>SUM(F13:Q13)</f>
        <v>0</v>
      </c>
    </row>
    <row r="15" spans="1:20">
      <c r="D15" s="709"/>
      <c r="E15" s="709"/>
      <c r="F15" s="709"/>
    </row>
    <row r="16" spans="1:20">
      <c r="C16" s="723" t="s">
        <v>834</v>
      </c>
      <c r="E16" s="709"/>
      <c r="F16" s="710"/>
    </row>
    <row r="17" spans="1:19" ht="17.25" customHeight="1">
      <c r="A17" s="708"/>
      <c r="B17" s="708"/>
      <c r="C17" s="717"/>
      <c r="D17" s="708"/>
      <c r="E17" s="555" t="s">
        <v>602</v>
      </c>
      <c r="F17" s="683" t="s">
        <v>584</v>
      </c>
      <c r="G17" s="683" t="s">
        <v>585</v>
      </c>
      <c r="H17" s="683" t="s">
        <v>586</v>
      </c>
      <c r="I17" s="683" t="s">
        <v>587</v>
      </c>
      <c r="J17" s="683" t="s">
        <v>588</v>
      </c>
      <c r="K17" s="683" t="s">
        <v>589</v>
      </c>
      <c r="L17" s="683" t="s">
        <v>590</v>
      </c>
      <c r="M17" s="683" t="s">
        <v>591</v>
      </c>
      <c r="N17" s="683" t="s">
        <v>592</v>
      </c>
      <c r="O17" s="683" t="s">
        <v>593</v>
      </c>
      <c r="P17" s="683" t="s">
        <v>594</v>
      </c>
      <c r="Q17" s="683" t="s">
        <v>595</v>
      </c>
      <c r="R17" s="683" t="s">
        <v>3</v>
      </c>
    </row>
    <row r="18" spans="1:19" ht="17.25" customHeight="1">
      <c r="A18" s="708"/>
      <c r="B18" s="708"/>
      <c r="C18" s="708"/>
      <c r="D18" s="708"/>
      <c r="E18" s="712" t="s">
        <v>145</v>
      </c>
      <c r="F18" s="708">
        <v>3000</v>
      </c>
      <c r="G18" s="708">
        <v>5000</v>
      </c>
      <c r="H18" s="708">
        <v>-2000</v>
      </c>
      <c r="I18" s="708">
        <v>4000</v>
      </c>
      <c r="J18" s="708">
        <v>6000</v>
      </c>
      <c r="K18" s="708">
        <v>-13000</v>
      </c>
      <c r="L18" s="708">
        <v>4000</v>
      </c>
      <c r="M18" s="708">
        <v>12000</v>
      </c>
      <c r="N18" s="708">
        <v>-9300</v>
      </c>
      <c r="O18" s="708">
        <v>-6700.04</v>
      </c>
      <c r="P18" s="708">
        <v>5000.04</v>
      </c>
      <c r="Q18" s="708">
        <v>21958.6</v>
      </c>
      <c r="R18" s="708">
        <v>29958.6</v>
      </c>
    </row>
    <row r="19" spans="1:19" ht="17.25" customHeight="1">
      <c r="A19" s="708"/>
      <c r="B19" s="708"/>
      <c r="C19" s="708"/>
      <c r="D19" s="708"/>
      <c r="E19" s="712" t="s">
        <v>149</v>
      </c>
      <c r="F19" s="708">
        <v>-22523.369999999995</v>
      </c>
      <c r="G19" s="708">
        <v>26909.040000000005</v>
      </c>
      <c r="H19" s="708">
        <v>71483.49000000002</v>
      </c>
      <c r="I19" s="708">
        <v>6857.070000000017</v>
      </c>
      <c r="J19" s="708">
        <v>37485.000000000036</v>
      </c>
      <c r="K19" s="708">
        <v>-69661.150000000009</v>
      </c>
      <c r="L19" s="708">
        <v>63200.18</v>
      </c>
      <c r="M19" s="708">
        <v>3445.9300000000253</v>
      </c>
      <c r="N19" s="708">
        <v>26080.00000000004</v>
      </c>
      <c r="O19" s="708">
        <v>94955.320000000051</v>
      </c>
      <c r="P19" s="708">
        <v>-84308.76999999996</v>
      </c>
      <c r="Q19" s="708">
        <v>-18977.450000000041</v>
      </c>
      <c r="R19" s="708">
        <v>134945.29000000018</v>
      </c>
    </row>
    <row r="20" spans="1:19" ht="17.25" customHeight="1">
      <c r="A20" s="708"/>
      <c r="B20" s="708"/>
      <c r="D20" s="708"/>
      <c r="E20" s="712" t="s">
        <v>152</v>
      </c>
      <c r="F20" s="708"/>
      <c r="G20" s="708">
        <v>13.01</v>
      </c>
      <c r="H20" s="708"/>
      <c r="I20" s="708">
        <v>127.18</v>
      </c>
      <c r="J20" s="708"/>
      <c r="K20" s="708"/>
      <c r="L20" s="708">
        <v>332.74</v>
      </c>
      <c r="M20" s="708"/>
      <c r="N20" s="708">
        <v>335.84</v>
      </c>
      <c r="O20" s="708"/>
      <c r="P20" s="708"/>
      <c r="Q20" s="708"/>
      <c r="R20" s="708">
        <v>808.77</v>
      </c>
    </row>
    <row r="21" spans="1:19" ht="17.25" customHeight="1">
      <c r="A21" s="708"/>
      <c r="B21" s="708"/>
      <c r="C21" s="708"/>
      <c r="D21" s="708"/>
      <c r="E21" s="712" t="s">
        <v>154</v>
      </c>
      <c r="F21" s="708">
        <v>-2905.9299999999985</v>
      </c>
      <c r="G21" s="708">
        <v>17593.46</v>
      </c>
      <c r="H21" s="708">
        <v>16268.030000000004</v>
      </c>
      <c r="I21" s="708">
        <v>-9.4500000000043656</v>
      </c>
      <c r="J21" s="708">
        <v>-1318.7800000000007</v>
      </c>
      <c r="K21" s="708">
        <v>-17670.54</v>
      </c>
      <c r="L21" s="708">
        <v>11482.48</v>
      </c>
      <c r="M21" s="708">
        <v>-5712.52</v>
      </c>
      <c r="N21" s="708">
        <v>17922.68</v>
      </c>
      <c r="O21" s="708">
        <v>-2567.3600000000088</v>
      </c>
      <c r="P21" s="708">
        <v>1870.1000000000074</v>
      </c>
      <c r="Q21" s="708">
        <v>-7332.3600000000033</v>
      </c>
      <c r="R21" s="708">
        <v>27619.809999999994</v>
      </c>
    </row>
    <row r="22" spans="1:19" ht="17.25" customHeight="1">
      <c r="A22" s="708"/>
      <c r="B22" s="708"/>
      <c r="C22" s="708"/>
      <c r="D22" s="708"/>
      <c r="E22" s="712" t="s">
        <v>448</v>
      </c>
      <c r="F22" s="708">
        <v>1087.1300000000001</v>
      </c>
      <c r="G22" s="708">
        <v>550.79999999999995</v>
      </c>
      <c r="H22" s="708">
        <v>400.14</v>
      </c>
      <c r="I22" s="708">
        <v>39.450000000000003</v>
      </c>
      <c r="J22" s="708"/>
      <c r="K22" s="708">
        <v>513.44000000000005</v>
      </c>
      <c r="L22" s="708">
        <v>88.38</v>
      </c>
      <c r="M22" s="708">
        <v>497.15</v>
      </c>
      <c r="N22" s="708">
        <v>393.97</v>
      </c>
      <c r="O22" s="708">
        <v>51.61</v>
      </c>
      <c r="P22" s="708">
        <v>354.86</v>
      </c>
      <c r="Q22" s="708">
        <v>-34.340000000000003</v>
      </c>
      <c r="R22" s="708">
        <v>3942.59</v>
      </c>
    </row>
    <row r="23" spans="1:19" ht="17.25" customHeight="1">
      <c r="A23" s="708"/>
      <c r="B23" s="708"/>
      <c r="C23" s="708"/>
      <c r="D23" s="708"/>
      <c r="E23" s="712" t="s">
        <v>450</v>
      </c>
      <c r="F23" s="708">
        <v>46.55</v>
      </c>
      <c r="G23" s="708">
        <v>49.26</v>
      </c>
      <c r="H23" s="708"/>
      <c r="I23" s="708"/>
      <c r="J23" s="708"/>
      <c r="K23" s="708"/>
      <c r="L23" s="708"/>
      <c r="M23" s="708"/>
      <c r="N23" s="708"/>
      <c r="O23" s="708"/>
      <c r="P23" s="708"/>
      <c r="Q23" s="708"/>
      <c r="R23" s="708">
        <v>95.81</v>
      </c>
    </row>
    <row r="24" spans="1:19" ht="17.25" customHeight="1">
      <c r="A24" s="708"/>
      <c r="B24" s="708"/>
      <c r="C24" s="708"/>
      <c r="D24" s="708"/>
      <c r="E24" s="712" t="s">
        <v>838</v>
      </c>
      <c r="F24" s="708">
        <v>112.51</v>
      </c>
      <c r="G24" s="708">
        <v>2405.41</v>
      </c>
      <c r="H24" s="708">
        <v>0</v>
      </c>
      <c r="I24" s="708">
        <v>-2151.6</v>
      </c>
      <c r="J24" s="708">
        <v>259.52999999999997</v>
      </c>
      <c r="K24" s="708">
        <v>7709.04</v>
      </c>
      <c r="L24" s="708">
        <v>-3297.51</v>
      </c>
      <c r="M24" s="708">
        <v>-3898.2400000000002</v>
      </c>
      <c r="N24" s="708">
        <v>123.95</v>
      </c>
      <c r="O24" s="708">
        <v>2886.02</v>
      </c>
      <c r="P24" s="708">
        <v>-2762.66</v>
      </c>
      <c r="Q24" s="708">
        <v>139.94999999999999</v>
      </c>
      <c r="R24" s="708">
        <v>1526.399999999999</v>
      </c>
    </row>
    <row r="25" spans="1:19" ht="17.25" customHeight="1">
      <c r="A25" s="708"/>
      <c r="B25" s="708"/>
      <c r="C25" s="708"/>
      <c r="D25" s="708"/>
      <c r="E25" s="712" t="s">
        <v>839</v>
      </c>
      <c r="F25" s="714">
        <v>114302.93000000009</v>
      </c>
      <c r="G25" s="714">
        <v>29193.59</v>
      </c>
      <c r="H25" s="714">
        <v>41404.50999999998</v>
      </c>
      <c r="I25" s="714">
        <v>146925.48000000024</v>
      </c>
      <c r="J25" s="714">
        <v>136958.56000000008</v>
      </c>
      <c r="K25" s="714">
        <v>145551.15999999983</v>
      </c>
      <c r="L25" s="714">
        <v>138044.02000000005</v>
      </c>
      <c r="M25" s="714">
        <v>155138.39999999997</v>
      </c>
      <c r="N25" s="714">
        <v>138913.29999999984</v>
      </c>
      <c r="O25" s="714">
        <v>41722.890000000007</v>
      </c>
      <c r="P25" s="714">
        <v>221415.88999999993</v>
      </c>
      <c r="Q25" s="714">
        <v>138721.38</v>
      </c>
      <c r="R25" s="714">
        <v>1448292.1099999999</v>
      </c>
    </row>
    <row r="26" spans="1:19" ht="17.25" customHeight="1">
      <c r="A26" s="708"/>
      <c r="B26" s="708"/>
      <c r="D26" s="708"/>
      <c r="E26" s="713" t="s">
        <v>3</v>
      </c>
      <c r="F26" s="715">
        <f t="shared" ref="F26:H26" si="4">ROUND(SUM(F18:F25),2)</f>
        <v>93119.82</v>
      </c>
      <c r="G26" s="715">
        <f t="shared" si="4"/>
        <v>81714.570000000007</v>
      </c>
      <c r="H26" s="715">
        <f t="shared" si="4"/>
        <v>127556.17</v>
      </c>
      <c r="I26" s="715">
        <f>ROUND(SUM(I18:I25),2)</f>
        <v>155788.13</v>
      </c>
      <c r="J26" s="715">
        <f t="shared" ref="J26:R26" si="5">ROUND(SUM(J18:J25),2)</f>
        <v>179384.31</v>
      </c>
      <c r="K26" s="715">
        <f t="shared" si="5"/>
        <v>53441.95</v>
      </c>
      <c r="L26" s="715">
        <f t="shared" si="5"/>
        <v>213850.29</v>
      </c>
      <c r="M26" s="715">
        <f t="shared" si="5"/>
        <v>161470.72</v>
      </c>
      <c r="N26" s="715">
        <f t="shared" si="5"/>
        <v>174469.74</v>
      </c>
      <c r="O26" s="715">
        <f t="shared" si="5"/>
        <v>130348.44</v>
      </c>
      <c r="P26" s="715">
        <f t="shared" si="5"/>
        <v>141569.46</v>
      </c>
      <c r="Q26" s="715">
        <f t="shared" si="5"/>
        <v>134475.78</v>
      </c>
      <c r="R26" s="715">
        <f t="shared" si="5"/>
        <v>1647189.38</v>
      </c>
    </row>
    <row r="27" spans="1:19" ht="10.5" customHeight="1">
      <c r="A27" s="708"/>
      <c r="B27" s="708"/>
      <c r="C27" s="708"/>
      <c r="D27" s="708"/>
      <c r="E27" s="713"/>
      <c r="F27" s="708"/>
      <c r="G27" s="708"/>
      <c r="H27" s="708"/>
      <c r="I27" s="708"/>
      <c r="J27" s="708"/>
      <c r="K27" s="708"/>
      <c r="L27" s="708"/>
      <c r="M27" s="708"/>
      <c r="N27" s="708"/>
      <c r="O27" s="708"/>
      <c r="P27" s="708"/>
      <c r="Q27" s="708"/>
      <c r="R27" s="708"/>
      <c r="S27" s="736"/>
    </row>
    <row r="28" spans="1:19" ht="17.25" customHeight="1">
      <c r="A28" s="708"/>
      <c r="B28" s="708"/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</row>
    <row r="29" spans="1:19" ht="17.25" customHeight="1">
      <c r="A29" s="708"/>
      <c r="B29" s="708"/>
      <c r="C29" s="724" t="s">
        <v>834</v>
      </c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</row>
    <row r="30" spans="1:19" ht="17.25" customHeight="1">
      <c r="A30" s="708"/>
      <c r="B30" s="708"/>
      <c r="D30" s="718"/>
      <c r="E30" s="716" t="s">
        <v>175</v>
      </c>
      <c r="F30" s="683" t="s">
        <v>584</v>
      </c>
      <c r="G30" s="683" t="s">
        <v>585</v>
      </c>
      <c r="H30" s="683" t="s">
        <v>586</v>
      </c>
      <c r="I30" s="683" t="s">
        <v>587</v>
      </c>
      <c r="J30" s="683" t="s">
        <v>588</v>
      </c>
      <c r="K30" s="683" t="s">
        <v>589</v>
      </c>
      <c r="L30" s="683" t="s">
        <v>590</v>
      </c>
      <c r="M30" s="683" t="s">
        <v>591</v>
      </c>
      <c r="N30" s="683" t="s">
        <v>592</v>
      </c>
      <c r="O30" s="683" t="s">
        <v>593</v>
      </c>
      <c r="P30" s="683" t="s">
        <v>594</v>
      </c>
      <c r="Q30" s="683" t="s">
        <v>595</v>
      </c>
      <c r="R30" s="683" t="s">
        <v>3</v>
      </c>
    </row>
    <row r="31" spans="1:19" ht="17.25" customHeight="1">
      <c r="A31" s="708"/>
      <c r="B31" s="708"/>
      <c r="C31" s="708"/>
      <c r="D31" s="708"/>
      <c r="E31" s="712" t="s">
        <v>366</v>
      </c>
      <c r="F31" s="708">
        <v>52553</v>
      </c>
      <c r="G31" s="708">
        <v>52553</v>
      </c>
      <c r="H31" s="708">
        <v>52553</v>
      </c>
      <c r="I31" s="708">
        <v>52553</v>
      </c>
      <c r="J31" s="708">
        <v>52553</v>
      </c>
      <c r="K31" s="708">
        <v>52553</v>
      </c>
      <c r="L31" s="708">
        <v>52553</v>
      </c>
      <c r="M31" s="708">
        <v>52553</v>
      </c>
      <c r="N31" s="708">
        <v>52553</v>
      </c>
      <c r="O31" s="708">
        <v>52553</v>
      </c>
      <c r="P31" s="708">
        <v>52553</v>
      </c>
      <c r="Q31" s="708">
        <v>52553</v>
      </c>
      <c r="R31" s="708">
        <f>SUM(F31:Q31)</f>
        <v>630636</v>
      </c>
    </row>
    <row r="32" spans="1:19" ht="10.5" customHeight="1">
      <c r="A32" s="708"/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36"/>
    </row>
    <row r="33" spans="1:18" ht="17.25" customHeight="1">
      <c r="A33" s="708"/>
      <c r="B33" s="708"/>
      <c r="C33" s="708"/>
      <c r="D33" s="708"/>
      <c r="E33" s="708"/>
      <c r="F33" s="708"/>
      <c r="G33" s="708"/>
      <c r="H33" s="708"/>
      <c r="I33" s="708"/>
      <c r="J33" s="708"/>
      <c r="K33" s="708"/>
      <c r="L33" s="708"/>
      <c r="M33" s="708"/>
      <c r="N33" s="708"/>
      <c r="O33" s="708"/>
      <c r="P33" s="708"/>
      <c r="Q33" s="708"/>
      <c r="R33" s="708"/>
    </row>
    <row r="34" spans="1:18" ht="17.25" customHeight="1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8"/>
      <c r="R34" s="708"/>
    </row>
    <row r="35" spans="1:18" ht="17.25" customHeight="1">
      <c r="A35" s="708"/>
      <c r="B35" s="708"/>
      <c r="C35" s="708"/>
      <c r="D35" s="708"/>
      <c r="E35" s="708"/>
      <c r="F35" s="708"/>
      <c r="G35" s="708"/>
      <c r="H35" s="708"/>
      <c r="I35" s="708"/>
      <c r="J35" s="708"/>
      <c r="K35" s="708"/>
      <c r="L35" s="708"/>
      <c r="M35" s="708"/>
      <c r="N35" s="708"/>
      <c r="O35" s="708"/>
      <c r="P35" s="708"/>
      <c r="Q35" s="708"/>
      <c r="R35" s="708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58B4-4622-4516-93AD-4AB7802463B0}">
  <sheetPr>
    <pageSetUpPr fitToPage="1"/>
  </sheetPr>
  <dimension ref="B1:I35"/>
  <sheetViews>
    <sheetView view="pageBreakPreview" zoomScaleNormal="100" zoomScaleSheetLayoutView="100" workbookViewId="0"/>
  </sheetViews>
  <sheetFormatPr defaultRowHeight="15.75"/>
  <cols>
    <col min="1" max="1" width="9.140625" style="253"/>
    <col min="2" max="2" width="2.42578125" style="253" customWidth="1"/>
    <col min="3" max="3" width="12" style="253" customWidth="1"/>
    <col min="4" max="8" width="12.140625" style="253" customWidth="1"/>
    <col min="9" max="9" width="12" style="253" customWidth="1"/>
    <col min="10" max="10" width="2.140625" style="253" customWidth="1"/>
    <col min="11" max="257" width="9.140625" style="253"/>
    <col min="258" max="258" width="2.42578125" style="253" customWidth="1"/>
    <col min="259" max="265" width="12.140625" style="253" customWidth="1"/>
    <col min="266" max="266" width="2.140625" style="253" customWidth="1"/>
    <col min="267" max="513" width="9.140625" style="253"/>
    <col min="514" max="514" width="2.42578125" style="253" customWidth="1"/>
    <col min="515" max="521" width="12.140625" style="253" customWidth="1"/>
    <col min="522" max="522" width="2.140625" style="253" customWidth="1"/>
    <col min="523" max="769" width="9.140625" style="253"/>
    <col min="770" max="770" width="2.42578125" style="253" customWidth="1"/>
    <col min="771" max="777" width="12.140625" style="253" customWidth="1"/>
    <col min="778" max="778" width="2.140625" style="253" customWidth="1"/>
    <col min="779" max="1025" width="9.140625" style="253"/>
    <col min="1026" max="1026" width="2.42578125" style="253" customWidth="1"/>
    <col min="1027" max="1033" width="12.140625" style="253" customWidth="1"/>
    <col min="1034" max="1034" width="2.140625" style="253" customWidth="1"/>
    <col min="1035" max="1281" width="9.140625" style="253"/>
    <col min="1282" max="1282" width="2.42578125" style="253" customWidth="1"/>
    <col min="1283" max="1289" width="12.140625" style="253" customWidth="1"/>
    <col min="1290" max="1290" width="2.140625" style="253" customWidth="1"/>
    <col min="1291" max="1537" width="9.140625" style="253"/>
    <col min="1538" max="1538" width="2.42578125" style="253" customWidth="1"/>
    <col min="1539" max="1545" width="12.140625" style="253" customWidth="1"/>
    <col min="1546" max="1546" width="2.140625" style="253" customWidth="1"/>
    <col min="1547" max="1793" width="9.140625" style="253"/>
    <col min="1794" max="1794" width="2.42578125" style="253" customWidth="1"/>
    <col min="1795" max="1801" width="12.140625" style="253" customWidth="1"/>
    <col min="1802" max="1802" width="2.140625" style="253" customWidth="1"/>
    <col min="1803" max="2049" width="9.140625" style="253"/>
    <col min="2050" max="2050" width="2.42578125" style="253" customWidth="1"/>
    <col min="2051" max="2057" width="12.140625" style="253" customWidth="1"/>
    <col min="2058" max="2058" width="2.140625" style="253" customWidth="1"/>
    <col min="2059" max="2305" width="9.140625" style="253"/>
    <col min="2306" max="2306" width="2.42578125" style="253" customWidth="1"/>
    <col min="2307" max="2313" width="12.140625" style="253" customWidth="1"/>
    <col min="2314" max="2314" width="2.140625" style="253" customWidth="1"/>
    <col min="2315" max="2561" width="9.140625" style="253"/>
    <col min="2562" max="2562" width="2.42578125" style="253" customWidth="1"/>
    <col min="2563" max="2569" width="12.140625" style="253" customWidth="1"/>
    <col min="2570" max="2570" width="2.140625" style="253" customWidth="1"/>
    <col min="2571" max="2817" width="9.140625" style="253"/>
    <col min="2818" max="2818" width="2.42578125" style="253" customWidth="1"/>
    <col min="2819" max="2825" width="12.140625" style="253" customWidth="1"/>
    <col min="2826" max="2826" width="2.140625" style="253" customWidth="1"/>
    <col min="2827" max="3073" width="9.140625" style="253"/>
    <col min="3074" max="3074" width="2.42578125" style="253" customWidth="1"/>
    <col min="3075" max="3081" width="12.140625" style="253" customWidth="1"/>
    <col min="3082" max="3082" width="2.140625" style="253" customWidth="1"/>
    <col min="3083" max="3329" width="9.140625" style="253"/>
    <col min="3330" max="3330" width="2.42578125" style="253" customWidth="1"/>
    <col min="3331" max="3337" width="12.140625" style="253" customWidth="1"/>
    <col min="3338" max="3338" width="2.140625" style="253" customWidth="1"/>
    <col min="3339" max="3585" width="9.140625" style="253"/>
    <col min="3586" max="3586" width="2.42578125" style="253" customWidth="1"/>
    <col min="3587" max="3593" width="12.140625" style="253" customWidth="1"/>
    <col min="3594" max="3594" width="2.140625" style="253" customWidth="1"/>
    <col min="3595" max="3841" width="9.140625" style="253"/>
    <col min="3842" max="3842" width="2.42578125" style="253" customWidth="1"/>
    <col min="3843" max="3849" width="12.140625" style="253" customWidth="1"/>
    <col min="3850" max="3850" width="2.140625" style="253" customWidth="1"/>
    <col min="3851" max="4097" width="9.140625" style="253"/>
    <col min="4098" max="4098" width="2.42578125" style="253" customWidth="1"/>
    <col min="4099" max="4105" width="12.140625" style="253" customWidth="1"/>
    <col min="4106" max="4106" width="2.140625" style="253" customWidth="1"/>
    <col min="4107" max="4353" width="9.140625" style="253"/>
    <col min="4354" max="4354" width="2.42578125" style="253" customWidth="1"/>
    <col min="4355" max="4361" width="12.140625" style="253" customWidth="1"/>
    <col min="4362" max="4362" width="2.140625" style="253" customWidth="1"/>
    <col min="4363" max="4609" width="9.140625" style="253"/>
    <col min="4610" max="4610" width="2.42578125" style="253" customWidth="1"/>
    <col min="4611" max="4617" width="12.140625" style="253" customWidth="1"/>
    <col min="4618" max="4618" width="2.140625" style="253" customWidth="1"/>
    <col min="4619" max="4865" width="9.140625" style="253"/>
    <col min="4866" max="4866" width="2.42578125" style="253" customWidth="1"/>
    <col min="4867" max="4873" width="12.140625" style="253" customWidth="1"/>
    <col min="4874" max="4874" width="2.140625" style="253" customWidth="1"/>
    <col min="4875" max="5121" width="9.140625" style="253"/>
    <col min="5122" max="5122" width="2.42578125" style="253" customWidth="1"/>
    <col min="5123" max="5129" width="12.140625" style="253" customWidth="1"/>
    <col min="5130" max="5130" width="2.140625" style="253" customWidth="1"/>
    <col min="5131" max="5377" width="9.140625" style="253"/>
    <col min="5378" max="5378" width="2.42578125" style="253" customWidth="1"/>
    <col min="5379" max="5385" width="12.140625" style="253" customWidth="1"/>
    <col min="5386" max="5386" width="2.140625" style="253" customWidth="1"/>
    <col min="5387" max="5633" width="9.140625" style="253"/>
    <col min="5634" max="5634" width="2.42578125" style="253" customWidth="1"/>
    <col min="5635" max="5641" width="12.140625" style="253" customWidth="1"/>
    <col min="5642" max="5642" width="2.140625" style="253" customWidth="1"/>
    <col min="5643" max="5889" width="9.140625" style="253"/>
    <col min="5890" max="5890" width="2.42578125" style="253" customWidth="1"/>
    <col min="5891" max="5897" width="12.140625" style="253" customWidth="1"/>
    <col min="5898" max="5898" width="2.140625" style="253" customWidth="1"/>
    <col min="5899" max="6145" width="9.140625" style="253"/>
    <col min="6146" max="6146" width="2.42578125" style="253" customWidth="1"/>
    <col min="6147" max="6153" width="12.140625" style="253" customWidth="1"/>
    <col min="6154" max="6154" width="2.140625" style="253" customWidth="1"/>
    <col min="6155" max="6401" width="9.140625" style="253"/>
    <col min="6402" max="6402" width="2.42578125" style="253" customWidth="1"/>
    <col min="6403" max="6409" width="12.140625" style="253" customWidth="1"/>
    <col min="6410" max="6410" width="2.140625" style="253" customWidth="1"/>
    <col min="6411" max="6657" width="9.140625" style="253"/>
    <col min="6658" max="6658" width="2.42578125" style="253" customWidth="1"/>
    <col min="6659" max="6665" width="12.140625" style="253" customWidth="1"/>
    <col min="6666" max="6666" width="2.140625" style="253" customWidth="1"/>
    <col min="6667" max="6913" width="9.140625" style="253"/>
    <col min="6914" max="6914" width="2.42578125" style="253" customWidth="1"/>
    <col min="6915" max="6921" width="12.140625" style="253" customWidth="1"/>
    <col min="6922" max="6922" width="2.140625" style="253" customWidth="1"/>
    <col min="6923" max="7169" width="9.140625" style="253"/>
    <col min="7170" max="7170" width="2.42578125" style="253" customWidth="1"/>
    <col min="7171" max="7177" width="12.140625" style="253" customWidth="1"/>
    <col min="7178" max="7178" width="2.140625" style="253" customWidth="1"/>
    <col min="7179" max="7425" width="9.140625" style="253"/>
    <col min="7426" max="7426" width="2.42578125" style="253" customWidth="1"/>
    <col min="7427" max="7433" width="12.140625" style="253" customWidth="1"/>
    <col min="7434" max="7434" width="2.140625" style="253" customWidth="1"/>
    <col min="7435" max="7681" width="9.140625" style="253"/>
    <col min="7682" max="7682" width="2.42578125" style="253" customWidth="1"/>
    <col min="7683" max="7689" width="12.140625" style="253" customWidth="1"/>
    <col min="7690" max="7690" width="2.140625" style="253" customWidth="1"/>
    <col min="7691" max="7937" width="9.140625" style="253"/>
    <col min="7938" max="7938" width="2.42578125" style="253" customWidth="1"/>
    <col min="7939" max="7945" width="12.140625" style="253" customWidth="1"/>
    <col min="7946" max="7946" width="2.140625" style="253" customWidth="1"/>
    <col min="7947" max="8193" width="9.140625" style="253"/>
    <col min="8194" max="8194" width="2.42578125" style="253" customWidth="1"/>
    <col min="8195" max="8201" width="12.140625" style="253" customWidth="1"/>
    <col min="8202" max="8202" width="2.140625" style="253" customWidth="1"/>
    <col min="8203" max="8449" width="9.140625" style="253"/>
    <col min="8450" max="8450" width="2.42578125" style="253" customWidth="1"/>
    <col min="8451" max="8457" width="12.140625" style="253" customWidth="1"/>
    <col min="8458" max="8458" width="2.140625" style="253" customWidth="1"/>
    <col min="8459" max="8705" width="9.140625" style="253"/>
    <col min="8706" max="8706" width="2.42578125" style="253" customWidth="1"/>
    <col min="8707" max="8713" width="12.140625" style="253" customWidth="1"/>
    <col min="8714" max="8714" width="2.140625" style="253" customWidth="1"/>
    <col min="8715" max="8961" width="9.140625" style="253"/>
    <col min="8962" max="8962" width="2.42578125" style="253" customWidth="1"/>
    <col min="8963" max="8969" width="12.140625" style="253" customWidth="1"/>
    <col min="8970" max="8970" width="2.140625" style="253" customWidth="1"/>
    <col min="8971" max="9217" width="9.140625" style="253"/>
    <col min="9218" max="9218" width="2.42578125" style="253" customWidth="1"/>
    <col min="9219" max="9225" width="12.140625" style="253" customWidth="1"/>
    <col min="9226" max="9226" width="2.140625" style="253" customWidth="1"/>
    <col min="9227" max="9473" width="9.140625" style="253"/>
    <col min="9474" max="9474" width="2.42578125" style="253" customWidth="1"/>
    <col min="9475" max="9481" width="12.140625" style="253" customWidth="1"/>
    <col min="9482" max="9482" width="2.140625" style="253" customWidth="1"/>
    <col min="9483" max="9729" width="9.140625" style="253"/>
    <col min="9730" max="9730" width="2.42578125" style="253" customWidth="1"/>
    <col min="9731" max="9737" width="12.140625" style="253" customWidth="1"/>
    <col min="9738" max="9738" width="2.140625" style="253" customWidth="1"/>
    <col min="9739" max="9985" width="9.140625" style="253"/>
    <col min="9986" max="9986" width="2.42578125" style="253" customWidth="1"/>
    <col min="9987" max="9993" width="12.140625" style="253" customWidth="1"/>
    <col min="9994" max="9994" width="2.140625" style="253" customWidth="1"/>
    <col min="9995" max="10241" width="9.140625" style="253"/>
    <col min="10242" max="10242" width="2.42578125" style="253" customWidth="1"/>
    <col min="10243" max="10249" width="12.140625" style="253" customWidth="1"/>
    <col min="10250" max="10250" width="2.140625" style="253" customWidth="1"/>
    <col min="10251" max="10497" width="9.140625" style="253"/>
    <col min="10498" max="10498" width="2.42578125" style="253" customWidth="1"/>
    <col min="10499" max="10505" width="12.140625" style="253" customWidth="1"/>
    <col min="10506" max="10506" width="2.140625" style="253" customWidth="1"/>
    <col min="10507" max="10753" width="9.140625" style="253"/>
    <col min="10754" max="10754" width="2.42578125" style="253" customWidth="1"/>
    <col min="10755" max="10761" width="12.140625" style="253" customWidth="1"/>
    <col min="10762" max="10762" width="2.140625" style="253" customWidth="1"/>
    <col min="10763" max="11009" width="9.140625" style="253"/>
    <col min="11010" max="11010" width="2.42578125" style="253" customWidth="1"/>
    <col min="11011" max="11017" width="12.140625" style="253" customWidth="1"/>
    <col min="11018" max="11018" width="2.140625" style="253" customWidth="1"/>
    <col min="11019" max="11265" width="9.140625" style="253"/>
    <col min="11266" max="11266" width="2.42578125" style="253" customWidth="1"/>
    <col min="11267" max="11273" width="12.140625" style="253" customWidth="1"/>
    <col min="11274" max="11274" width="2.140625" style="253" customWidth="1"/>
    <col min="11275" max="11521" width="9.140625" style="253"/>
    <col min="11522" max="11522" width="2.42578125" style="253" customWidth="1"/>
    <col min="11523" max="11529" width="12.140625" style="253" customWidth="1"/>
    <col min="11530" max="11530" width="2.140625" style="253" customWidth="1"/>
    <col min="11531" max="11777" width="9.140625" style="253"/>
    <col min="11778" max="11778" width="2.42578125" style="253" customWidth="1"/>
    <col min="11779" max="11785" width="12.140625" style="253" customWidth="1"/>
    <col min="11786" max="11786" width="2.140625" style="253" customWidth="1"/>
    <col min="11787" max="12033" width="9.140625" style="253"/>
    <col min="12034" max="12034" width="2.42578125" style="253" customWidth="1"/>
    <col min="12035" max="12041" width="12.140625" style="253" customWidth="1"/>
    <col min="12042" max="12042" width="2.140625" style="253" customWidth="1"/>
    <col min="12043" max="12289" width="9.140625" style="253"/>
    <col min="12290" max="12290" width="2.42578125" style="253" customWidth="1"/>
    <col min="12291" max="12297" width="12.140625" style="253" customWidth="1"/>
    <col min="12298" max="12298" width="2.140625" style="253" customWidth="1"/>
    <col min="12299" max="12545" width="9.140625" style="253"/>
    <col min="12546" max="12546" width="2.42578125" style="253" customWidth="1"/>
    <col min="12547" max="12553" width="12.140625" style="253" customWidth="1"/>
    <col min="12554" max="12554" width="2.140625" style="253" customWidth="1"/>
    <col min="12555" max="12801" width="9.140625" style="253"/>
    <col min="12802" max="12802" width="2.42578125" style="253" customWidth="1"/>
    <col min="12803" max="12809" width="12.140625" style="253" customWidth="1"/>
    <col min="12810" max="12810" width="2.140625" style="253" customWidth="1"/>
    <col min="12811" max="13057" width="9.140625" style="253"/>
    <col min="13058" max="13058" width="2.42578125" style="253" customWidth="1"/>
    <col min="13059" max="13065" width="12.140625" style="253" customWidth="1"/>
    <col min="13066" max="13066" width="2.140625" style="253" customWidth="1"/>
    <col min="13067" max="13313" width="9.140625" style="253"/>
    <col min="13314" max="13314" width="2.42578125" style="253" customWidth="1"/>
    <col min="13315" max="13321" width="12.140625" style="253" customWidth="1"/>
    <col min="13322" max="13322" width="2.140625" style="253" customWidth="1"/>
    <col min="13323" max="13569" width="9.140625" style="253"/>
    <col min="13570" max="13570" width="2.42578125" style="253" customWidth="1"/>
    <col min="13571" max="13577" width="12.140625" style="253" customWidth="1"/>
    <col min="13578" max="13578" width="2.140625" style="253" customWidth="1"/>
    <col min="13579" max="13825" width="9.140625" style="253"/>
    <col min="13826" max="13826" width="2.42578125" style="253" customWidth="1"/>
    <col min="13827" max="13833" width="12.140625" style="253" customWidth="1"/>
    <col min="13834" max="13834" width="2.140625" style="253" customWidth="1"/>
    <col min="13835" max="14081" width="9.140625" style="253"/>
    <col min="14082" max="14082" width="2.42578125" style="253" customWidth="1"/>
    <col min="14083" max="14089" width="12.140625" style="253" customWidth="1"/>
    <col min="14090" max="14090" width="2.140625" style="253" customWidth="1"/>
    <col min="14091" max="14337" width="9.140625" style="253"/>
    <col min="14338" max="14338" width="2.42578125" style="253" customWidth="1"/>
    <col min="14339" max="14345" width="12.140625" style="253" customWidth="1"/>
    <col min="14346" max="14346" width="2.140625" style="253" customWidth="1"/>
    <col min="14347" max="14593" width="9.140625" style="253"/>
    <col min="14594" max="14594" width="2.42578125" style="253" customWidth="1"/>
    <col min="14595" max="14601" width="12.140625" style="253" customWidth="1"/>
    <col min="14602" max="14602" width="2.140625" style="253" customWidth="1"/>
    <col min="14603" max="14849" width="9.140625" style="253"/>
    <col min="14850" max="14850" width="2.42578125" style="253" customWidth="1"/>
    <col min="14851" max="14857" width="12.140625" style="253" customWidth="1"/>
    <col min="14858" max="14858" width="2.140625" style="253" customWidth="1"/>
    <col min="14859" max="15105" width="9.140625" style="253"/>
    <col min="15106" max="15106" width="2.42578125" style="253" customWidth="1"/>
    <col min="15107" max="15113" width="12.140625" style="253" customWidth="1"/>
    <col min="15114" max="15114" width="2.140625" style="253" customWidth="1"/>
    <col min="15115" max="15361" width="9.140625" style="253"/>
    <col min="15362" max="15362" width="2.42578125" style="253" customWidth="1"/>
    <col min="15363" max="15369" width="12.140625" style="253" customWidth="1"/>
    <col min="15370" max="15370" width="2.140625" style="253" customWidth="1"/>
    <col min="15371" max="15617" width="9.140625" style="253"/>
    <col min="15618" max="15618" width="2.42578125" style="253" customWidth="1"/>
    <col min="15619" max="15625" width="12.140625" style="253" customWidth="1"/>
    <col min="15626" max="15626" width="2.140625" style="253" customWidth="1"/>
    <col min="15627" max="15873" width="9.140625" style="253"/>
    <col min="15874" max="15874" width="2.42578125" style="253" customWidth="1"/>
    <col min="15875" max="15881" width="12.140625" style="253" customWidth="1"/>
    <col min="15882" max="15882" width="2.140625" style="253" customWidth="1"/>
    <col min="15883" max="16129" width="9.140625" style="253"/>
    <col min="16130" max="16130" width="2.42578125" style="253" customWidth="1"/>
    <col min="16131" max="16137" width="12.140625" style="253" customWidth="1"/>
    <col min="16138" max="16138" width="2.140625" style="253" customWidth="1"/>
    <col min="16139" max="16384" width="9.140625" style="253"/>
  </cols>
  <sheetData>
    <row r="1" spans="2:9" ht="18.75">
      <c r="B1" s="1203"/>
      <c r="C1" s="1203"/>
      <c r="D1" s="1203"/>
      <c r="E1" s="1203"/>
      <c r="F1" s="1203"/>
      <c r="G1" s="1203"/>
      <c r="H1" s="1203"/>
      <c r="I1" s="1203"/>
    </row>
    <row r="2" spans="2:9" ht="20.25" customHeight="1">
      <c r="B2" s="1203"/>
      <c r="C2" s="1203"/>
      <c r="D2" s="1203"/>
      <c r="E2" s="1203"/>
      <c r="F2" s="1203"/>
      <c r="G2" s="1203"/>
      <c r="H2" s="1203"/>
      <c r="I2" s="1203"/>
    </row>
    <row r="3" spans="2:9" ht="20.25" customHeight="1"/>
    <row r="4" spans="2:9" ht="20.25" customHeight="1"/>
    <row r="5" spans="2:9" ht="20.25" customHeight="1"/>
    <row r="6" spans="2:9" ht="20.25" customHeight="1"/>
    <row r="7" spans="2:9" ht="20.25" customHeight="1"/>
    <row r="8" spans="2:9" ht="20.25" customHeight="1">
      <c r="D8" s="1552" t="s">
        <v>669</v>
      </c>
      <c r="E8" s="1552"/>
      <c r="F8" s="1552"/>
      <c r="G8" s="1552"/>
      <c r="H8" s="1552"/>
      <c r="I8" s="1202"/>
    </row>
    <row r="9" spans="2:9" ht="20.25" customHeight="1">
      <c r="D9" s="1552" t="s">
        <v>961</v>
      </c>
      <c r="E9" s="1552"/>
      <c r="F9" s="1552"/>
      <c r="G9" s="1552"/>
      <c r="H9" s="1552"/>
      <c r="I9" s="1202"/>
    </row>
    <row r="10" spans="2:9" ht="20.25" customHeight="1">
      <c r="D10" s="1552"/>
      <c r="E10" s="1552"/>
      <c r="F10" s="1552"/>
      <c r="G10" s="1552"/>
      <c r="H10" s="1552"/>
      <c r="I10" s="1202"/>
    </row>
    <row r="11" spans="2:9" ht="20.25" customHeight="1">
      <c r="D11" s="1552"/>
      <c r="E11" s="1552"/>
      <c r="F11" s="1552"/>
      <c r="G11" s="1552"/>
      <c r="H11" s="1552"/>
    </row>
    <row r="12" spans="2:9" ht="20.25" customHeight="1">
      <c r="D12" s="1552" t="s">
        <v>1071</v>
      </c>
      <c r="E12" s="1552"/>
      <c r="F12" s="1552"/>
      <c r="G12" s="1552"/>
      <c r="H12" s="1552"/>
    </row>
    <row r="13" spans="2:9" ht="20.25" customHeight="1">
      <c r="D13" s="1552"/>
      <c r="E13" s="1552"/>
      <c r="F13" s="1552"/>
      <c r="G13" s="1552"/>
      <c r="H13" s="1552"/>
    </row>
    <row r="14" spans="2:9" ht="20.25" customHeight="1">
      <c r="D14" s="1552" t="s">
        <v>424</v>
      </c>
      <c r="E14" s="1552"/>
      <c r="F14" s="1552"/>
      <c r="G14" s="1552"/>
      <c r="H14" s="1552"/>
    </row>
    <row r="15" spans="2:9" ht="20.25" customHeight="1"/>
    <row r="16" spans="2:9" ht="20.25" customHeight="1">
      <c r="D16" s="1552" t="s">
        <v>362</v>
      </c>
      <c r="E16" s="1552"/>
      <c r="F16" s="1552"/>
      <c r="G16" s="1552"/>
      <c r="H16" s="1552"/>
      <c r="I16" s="1202"/>
    </row>
    <row r="17" spans="2:9" ht="20.25" customHeight="1">
      <c r="D17" s="1552" t="s">
        <v>363</v>
      </c>
      <c r="E17" s="1552"/>
      <c r="F17" s="1552" t="s">
        <v>362</v>
      </c>
      <c r="G17" s="1552"/>
      <c r="H17" s="1552"/>
    </row>
    <row r="18" spans="2:9" ht="20.25" customHeight="1">
      <c r="D18" s="1552" t="s">
        <v>1072</v>
      </c>
      <c r="E18" s="1552"/>
      <c r="F18" s="1552"/>
      <c r="G18" s="1552"/>
      <c r="H18" s="1552"/>
    </row>
    <row r="19" spans="2:9" ht="20.25" customHeight="1">
      <c r="D19" s="1552"/>
      <c r="E19" s="1552"/>
      <c r="F19" s="1552" t="s">
        <v>363</v>
      </c>
      <c r="G19" s="1552"/>
      <c r="H19" s="1552"/>
    </row>
    <row r="20" spans="2:9" ht="20.25" customHeight="1">
      <c r="D20" s="1552" t="s">
        <v>1073</v>
      </c>
      <c r="E20" s="1552"/>
      <c r="F20" s="1552" t="s">
        <v>364</v>
      </c>
      <c r="G20" s="1552"/>
      <c r="H20" s="1552"/>
    </row>
    <row r="21" spans="2:9" ht="20.25" customHeight="1">
      <c r="D21" s="1552" t="s">
        <v>1074</v>
      </c>
      <c r="E21" s="1552"/>
      <c r="F21" s="1552" t="s">
        <v>1074</v>
      </c>
      <c r="G21" s="1552"/>
      <c r="H21" s="1552"/>
    </row>
    <row r="22" spans="2:9" ht="20.25" customHeight="1">
      <c r="D22" s="1552" t="s">
        <v>1075</v>
      </c>
      <c r="E22" s="1552"/>
      <c r="F22" s="1552"/>
      <c r="G22" s="1552"/>
      <c r="H22" s="1552"/>
    </row>
    <row r="23" spans="2:9" ht="20.25" customHeight="1">
      <c r="D23" s="1201"/>
      <c r="E23" s="1201"/>
      <c r="F23" s="1201"/>
      <c r="G23" s="1201"/>
      <c r="H23" s="1201"/>
    </row>
    <row r="24" spans="2:9" ht="20.25" customHeight="1">
      <c r="D24" s="1201"/>
      <c r="E24" s="1201"/>
      <c r="F24" s="1201"/>
      <c r="G24" s="1201"/>
      <c r="H24" s="1201"/>
    </row>
    <row r="25" spans="2:9" ht="20.25" customHeight="1"/>
    <row r="26" spans="2:9" ht="20.25" customHeight="1"/>
    <row r="27" spans="2:9" ht="20.25" customHeight="1"/>
    <row r="28" spans="2:9" ht="20.25" customHeight="1"/>
    <row r="29" spans="2:9" ht="20.25" customHeight="1"/>
    <row r="31" spans="2:9" ht="18.75">
      <c r="B31" s="1203"/>
      <c r="C31" s="1203"/>
      <c r="D31" s="1203"/>
      <c r="E31" s="1203"/>
      <c r="F31" s="1203"/>
      <c r="G31" s="1203"/>
      <c r="H31" s="1203"/>
      <c r="I31" s="1203"/>
    </row>
    <row r="32" spans="2:9" ht="18.75">
      <c r="B32" s="1203"/>
      <c r="C32" s="1203"/>
      <c r="D32" s="1203"/>
      <c r="E32" s="1203"/>
      <c r="F32" s="1203"/>
      <c r="G32" s="1203"/>
      <c r="H32" s="1203"/>
      <c r="I32" s="1203"/>
    </row>
    <row r="33" spans="2:9" ht="18.75">
      <c r="B33" s="1203"/>
      <c r="C33" s="1203"/>
      <c r="D33" s="1203"/>
      <c r="E33" s="1203"/>
      <c r="F33" s="1203"/>
      <c r="G33" s="1203"/>
      <c r="H33" s="1203"/>
      <c r="I33" s="1203"/>
    </row>
    <row r="34" spans="2:9" ht="18.75">
      <c r="B34" s="1203"/>
      <c r="C34" s="1203"/>
      <c r="D34" s="1203"/>
      <c r="E34" s="1203"/>
      <c r="F34" s="1203"/>
      <c r="G34" s="1203"/>
      <c r="H34" s="1203"/>
      <c r="I34" s="1203"/>
    </row>
    <row r="35" spans="2:9" ht="18.75">
      <c r="B35" s="1203"/>
      <c r="C35" s="1203"/>
      <c r="D35" s="1203"/>
      <c r="E35" s="1203"/>
      <c r="F35" s="1203"/>
      <c r="G35" s="1203"/>
      <c r="H35" s="1203"/>
      <c r="I35" s="1203"/>
    </row>
  </sheetData>
  <mergeCells count="14">
    <mergeCell ref="D21:H21"/>
    <mergeCell ref="D19:H19"/>
    <mergeCell ref="D22:H22"/>
    <mergeCell ref="D10:H10"/>
    <mergeCell ref="D11:H11"/>
    <mergeCell ref="D17:H17"/>
    <mergeCell ref="D18:H18"/>
    <mergeCell ref="D20:H20"/>
    <mergeCell ref="D16:H16"/>
    <mergeCell ref="D8:H8"/>
    <mergeCell ref="D9:H9"/>
    <mergeCell ref="D12:H12"/>
    <mergeCell ref="D13:H13"/>
    <mergeCell ref="D14:H14"/>
  </mergeCells>
  <printOptions horizontalCentered="1"/>
  <pageMargins left="0.5" right="0.5" top="0.75" bottom="0.75" header="0.3" footer="0.3"/>
  <pageSetup orientation="portrait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7638-C5F1-4016-B35D-D5E1FB23C87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706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  <c r="V9" s="725"/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'202112 Bk Depr'!R13</f>
        <v>0</v>
      </c>
      <c r="H13" s="1">
        <f>1.62%/12</f>
        <v>1.3500000000000003E-3</v>
      </c>
      <c r="J13" s="278">
        <f>F13*H13</f>
        <v>0</v>
      </c>
      <c r="L13" s="535">
        <f>'Cap&amp;OpEx 2022'!C9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'202112 Bk Depr'!R14</f>
        <v>0</v>
      </c>
      <c r="H14" s="1">
        <f>2.05%/12</f>
        <v>1.7083333333333332E-3</v>
      </c>
      <c r="J14" s="278">
        <f t="shared" ref="J14:J17" si="1">F14*H14</f>
        <v>0</v>
      </c>
      <c r="L14" s="535">
        <f>'Cap&amp;OpEx 2022'!C10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'202112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-492669.67999999959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'202112 Bk Depr'!R16</f>
        <v>11361912.480000006</v>
      </c>
      <c r="H16" s="1">
        <f>3.24%/12</f>
        <v>2.7000000000000006E-3</v>
      </c>
      <c r="J16" s="278">
        <f t="shared" si="1"/>
        <v>30677.163696000021</v>
      </c>
      <c r="L16" s="535">
        <f>'Cap&amp;OpEx 2022'!C11</f>
        <v>110893.83</v>
      </c>
      <c r="N16" s="278">
        <f t="shared" si="2"/>
        <v>149.70667050000003</v>
      </c>
      <c r="P16" s="278">
        <f t="shared" si="3"/>
        <v>30826.870366500021</v>
      </c>
      <c r="R16" s="278">
        <f t="shared" si="4"/>
        <v>11472806.310000006</v>
      </c>
      <c r="U16" s="488">
        <f>R19</f>
        <v>45170275.110000014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'202112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2022'!C12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44677605.430000015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'202112 Bk Depr'!R18</f>
        <v>33012544.400000002</v>
      </c>
      <c r="H18" s="1">
        <f>3.24%/12</f>
        <v>2.7000000000000006E-3</v>
      </c>
      <c r="J18" s="278">
        <f>F18*H18+310.52</f>
        <v>89444.389880000032</v>
      </c>
      <c r="L18" s="536">
        <f>'Cap&amp;OpEx 2022'!C13</f>
        <v>684924.39999999991</v>
      </c>
      <c r="N18" s="278">
        <f t="shared" si="2"/>
        <v>924.64794000000006</v>
      </c>
      <c r="P18" s="278">
        <f t="shared" si="3"/>
        <v>90369.037820000027</v>
      </c>
      <c r="R18" s="278">
        <f t="shared" si="4"/>
        <v>33697468.800000004</v>
      </c>
      <c r="U18" s="488">
        <f>'Rev Req 2022-Distr'!E11</f>
        <v>44677605.43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44374456.88000001</v>
      </c>
      <c r="J19" s="276">
        <f>SUM(J13:J18)</f>
        <v>120121.55357600005</v>
      </c>
      <c r="L19" s="276">
        <f>SUM(L13:L18)</f>
        <v>795818.22999999986</v>
      </c>
      <c r="N19" s="276">
        <f>SUM(N13:N18)</f>
        <v>1074.3546105</v>
      </c>
      <c r="P19" s="276">
        <f>SUM(P13:P18)</f>
        <v>121195.90818650005</v>
      </c>
      <c r="R19" s="276">
        <f>SUM(R13:R18)</f>
        <v>45170275.110000014</v>
      </c>
      <c r="T19" s="367">
        <f>F19-'Day 4 Report -Dec 2022'!B53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'202112 Bk Depr'!R22</f>
        <v>0</v>
      </c>
      <c r="H22" s="1">
        <f>1.62%/12</f>
        <v>1.3500000000000003E-3</v>
      </c>
      <c r="J22" s="278">
        <f>F22*H22</f>
        <v>0</v>
      </c>
      <c r="L22" s="535">
        <f>'Cap&amp;OpEx 2022'!C16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'202112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2022'!C17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'202112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'202112 Bk Depr'!R25</f>
        <v>-492669.67999999959</v>
      </c>
      <c r="H25" s="1">
        <f>3.24%/12</f>
        <v>2.7000000000000006E-3</v>
      </c>
      <c r="J25" s="278">
        <f t="shared" si="6"/>
        <v>-1330.2081359999991</v>
      </c>
      <c r="L25" s="535">
        <f>'Cap&amp;OpEx 2022'!C18</f>
        <v>0</v>
      </c>
      <c r="N25" s="486">
        <f t="shared" si="7"/>
        <v>0</v>
      </c>
      <c r="P25" s="278">
        <f t="shared" si="8"/>
        <v>-1330.2081359999991</v>
      </c>
      <c r="R25" s="278">
        <f t="shared" si="9"/>
        <v>-492669.67999999959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'202112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2022'!C19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'202112 Bk Depr'!R27</f>
        <v>0</v>
      </c>
      <c r="H27" s="1">
        <f>3.24%/12</f>
        <v>2.7000000000000006E-3</v>
      </c>
      <c r="J27" s="278">
        <f t="shared" si="6"/>
        <v>0</v>
      </c>
      <c r="L27" s="536">
        <f>'Cap&amp;OpEx 2022'!C20</f>
        <v>0</v>
      </c>
      <c r="N27" s="486">
        <f t="shared" si="7"/>
        <v>0</v>
      </c>
      <c r="P27" s="278">
        <f t="shared" si="8"/>
        <v>0</v>
      </c>
      <c r="R27" s="278">
        <f t="shared" si="9"/>
        <v>0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43881787.20000001</v>
      </c>
      <c r="G30" s="6"/>
      <c r="H30" s="4"/>
      <c r="I30" s="6"/>
      <c r="J30" s="277">
        <f>J19+J28</f>
        <v>118791.34544000005</v>
      </c>
      <c r="K30" s="6"/>
      <c r="L30" s="277">
        <f>L19+L28</f>
        <v>795818.22999999986</v>
      </c>
      <c r="M30" s="6"/>
      <c r="N30" s="277">
        <f>N19+N28</f>
        <v>1074.3546105</v>
      </c>
      <c r="O30" s="6"/>
      <c r="P30" s="277">
        <f>P19+P28</f>
        <v>119865.70005050005</v>
      </c>
      <c r="Q30" s="6"/>
      <c r="R30" s="277">
        <f>R19+R28</f>
        <v>44677605.430000015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'202112 Bk Depr'!R33</f>
        <v>0</v>
      </c>
      <c r="J33" s="278"/>
      <c r="L33" s="535">
        <f>'Cap&amp;OpEx 2022'!C30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'202112 Bk Depr'!R34</f>
        <v>0</v>
      </c>
      <c r="J34" s="278"/>
      <c r="L34" s="535">
        <f>'Cap&amp;OpEx 2022'!C31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'202112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'202112 Bk Depr'!R36</f>
        <v>3597439.7</v>
      </c>
      <c r="J36" s="278"/>
      <c r="L36" s="535">
        <f>'Cap&amp;OpEx 2022'!C32</f>
        <v>43394.899999999994</v>
      </c>
      <c r="N36" s="278"/>
      <c r="P36" s="278"/>
      <c r="R36" s="278">
        <f t="shared" si="11"/>
        <v>3640834.6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'202112 Bk Depr'!R37</f>
        <v>0</v>
      </c>
      <c r="G37" s="397"/>
      <c r="I37" s="397"/>
      <c r="J37" s="274"/>
      <c r="K37" s="397"/>
      <c r="L37" s="535">
        <f>'Cap&amp;OpEx 2022'!C33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'202112 Bk Depr'!R38</f>
        <v>6402.2</v>
      </c>
      <c r="J38" s="278"/>
      <c r="L38" s="536">
        <f>'Cap&amp;OpEx 2022'!C34</f>
        <v>0</v>
      </c>
      <c r="N38" s="278"/>
      <c r="P38" s="278"/>
      <c r="R38" s="278">
        <f t="shared" si="11"/>
        <v>6402.2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3603841.9000000004</v>
      </c>
      <c r="J39" s="276">
        <f>SUM(J33:J38)</f>
        <v>0</v>
      </c>
      <c r="L39" s="276">
        <f>SUM(L33:L38)</f>
        <v>43394.899999999994</v>
      </c>
      <c r="N39" s="276">
        <f>SUM(N33:N38)</f>
        <v>0</v>
      </c>
      <c r="P39" s="276">
        <f>SUM(P33:P38)</f>
        <v>0</v>
      </c>
      <c r="R39" s="276">
        <f>SUM(R33:R38)</f>
        <v>3647236.8000000003</v>
      </c>
    </row>
    <row r="41" spans="1:22">
      <c r="R41" s="390"/>
    </row>
    <row r="42" spans="1:22">
      <c r="M42" s="389"/>
      <c r="N42" s="390"/>
      <c r="O42" s="389"/>
      <c r="P42" s="585"/>
      <c r="Q42" s="389"/>
      <c r="R42" s="585"/>
    </row>
    <row r="43" spans="1:22">
      <c r="L43" s="390"/>
      <c r="M43" s="389"/>
      <c r="N43" s="390"/>
      <c r="O43" s="389"/>
      <c r="P43" s="585"/>
      <c r="Q43" s="389"/>
      <c r="R43" s="585"/>
    </row>
  </sheetData>
  <conditionalFormatting sqref="T19">
    <cfRule type="cellIs" dxfId="23" priority="1" operator="notEqual">
      <formula>0</formula>
    </cfRule>
    <cfRule type="cellIs" dxfId="2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  <ignoredErrors>
    <ignoredError sqref="H14 H23" formula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13E21-C0DB-417D-AA4A-A23C11FD3DC9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707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'202201 Bk Depr'!R13</f>
        <v>0</v>
      </c>
      <c r="H13" s="1">
        <f>1.62%/12</f>
        <v>1.3500000000000003E-3</v>
      </c>
      <c r="J13" s="278">
        <f>F13*H13</f>
        <v>0</v>
      </c>
      <c r="L13" s="535">
        <f>'Cap&amp;OpEx 2022'!D9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'202201 Bk Depr'!R14</f>
        <v>0</v>
      </c>
      <c r="H14" s="1">
        <f>2.05%/12</f>
        <v>1.7083333333333332E-3</v>
      </c>
      <c r="J14" s="278">
        <f t="shared" ref="J14:J17" si="1">F14*H14</f>
        <v>0</v>
      </c>
      <c r="L14" s="535">
        <f>'Cap&amp;OpEx 2022'!D10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'202201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-492669.67999999959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'202201 Bk Depr'!R16</f>
        <v>11472806.310000006</v>
      </c>
      <c r="H16" s="1">
        <f>3.24%/12</f>
        <v>2.7000000000000006E-3</v>
      </c>
      <c r="J16" s="278">
        <f>F16*H16+156.33</f>
        <v>31132.907037000026</v>
      </c>
      <c r="L16" s="535">
        <f>'Cap&amp;OpEx 2022'!D11</f>
        <v>194528.65</v>
      </c>
      <c r="N16" s="278">
        <f t="shared" si="2"/>
        <v>262.61367750000005</v>
      </c>
      <c r="P16" s="278">
        <f t="shared" si="3"/>
        <v>31395.520714500028</v>
      </c>
      <c r="R16" s="278">
        <f t="shared" si="4"/>
        <v>11667334.960000006</v>
      </c>
      <c r="U16" s="488">
        <f>R19</f>
        <v>46160084.590000011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'202201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2022'!D12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45667414.910000011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'202201 Bk Depr'!R18</f>
        <v>33697468.800000004</v>
      </c>
      <c r="H18" s="1">
        <f>3.24%/12</f>
        <v>2.7000000000000006E-3</v>
      </c>
      <c r="J18" s="278">
        <f>F18*H18</f>
        <v>90983.165760000033</v>
      </c>
      <c r="L18" s="535">
        <f>'Cap&amp;OpEx 2022'!D13</f>
        <v>795280.83000000007</v>
      </c>
      <c r="N18" s="278">
        <f t="shared" si="2"/>
        <v>1073.6291205000002</v>
      </c>
      <c r="P18" s="278">
        <f t="shared" si="3"/>
        <v>92056.794880500034</v>
      </c>
      <c r="R18" s="278">
        <f t="shared" si="4"/>
        <v>34492749.630000003</v>
      </c>
      <c r="U18" s="488">
        <f>'Rev Req 2022-Distr'!F11</f>
        <v>45667414.909999996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45170275.110000014</v>
      </c>
      <c r="J19" s="276">
        <f>SUM(J13:J18)</f>
        <v>122116.07279700006</v>
      </c>
      <c r="L19" s="276">
        <f>SUM(L13:L18)</f>
        <v>989809.4800000001</v>
      </c>
      <c r="N19" s="276">
        <f>SUM(N13:N18)</f>
        <v>1336.2427980000002</v>
      </c>
      <c r="P19" s="276">
        <f>SUM(P13:P18)</f>
        <v>123452.31559500007</v>
      </c>
      <c r="R19" s="276">
        <f>SUM(R13:R18)</f>
        <v>46160084.590000011</v>
      </c>
      <c r="T19" s="367">
        <f>F19-'Day 4 Report -Dec 2022'!C54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'202201 Bk Depr'!R22</f>
        <v>0</v>
      </c>
      <c r="H22" s="1">
        <f>1.62%/12</f>
        <v>1.3500000000000003E-3</v>
      </c>
      <c r="J22" s="278">
        <f>F22*H22</f>
        <v>0</v>
      </c>
      <c r="L22" s="535">
        <f>'Cap&amp;OpEx 2022'!D16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'202201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2022'!D17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'202201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'202201 Bk Depr'!R25</f>
        <v>-492669.67999999959</v>
      </c>
      <c r="H25" s="1">
        <f>3.24%/12</f>
        <v>2.7000000000000006E-3</v>
      </c>
      <c r="J25" s="278">
        <f t="shared" si="6"/>
        <v>-1330.2081359999991</v>
      </c>
      <c r="L25" s="535">
        <f>'Cap&amp;OpEx 2022'!D18</f>
        <v>0</v>
      </c>
      <c r="N25" s="486">
        <f t="shared" si="7"/>
        <v>0</v>
      </c>
      <c r="P25" s="278">
        <f t="shared" si="8"/>
        <v>-1330.2081359999991</v>
      </c>
      <c r="R25" s="278">
        <f t="shared" si="9"/>
        <v>-492669.67999999959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'202201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2022'!D19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'202201 Bk Depr'!R27</f>
        <v>0</v>
      </c>
      <c r="H27" s="1">
        <f>3.24%/12</f>
        <v>2.7000000000000006E-3</v>
      </c>
      <c r="J27" s="278">
        <f t="shared" si="6"/>
        <v>0</v>
      </c>
      <c r="L27" s="535">
        <f>'Cap&amp;OpEx 2022'!D20</f>
        <v>0</v>
      </c>
      <c r="N27" s="486">
        <f t="shared" si="7"/>
        <v>0</v>
      </c>
      <c r="P27" s="278">
        <f t="shared" si="8"/>
        <v>0</v>
      </c>
      <c r="R27" s="278">
        <f t="shared" si="9"/>
        <v>0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44677605.430000015</v>
      </c>
      <c r="G30" s="6"/>
      <c r="H30" s="4"/>
      <c r="I30" s="6"/>
      <c r="J30" s="277">
        <f>J19+J28</f>
        <v>120785.86466100006</v>
      </c>
      <c r="K30" s="6"/>
      <c r="L30" s="277">
        <f>L19+L28</f>
        <v>989809.4800000001</v>
      </c>
      <c r="M30" s="6"/>
      <c r="N30" s="277">
        <f>N19+N28</f>
        <v>1336.2427980000002</v>
      </c>
      <c r="O30" s="6"/>
      <c r="P30" s="277">
        <f>P19+P28</f>
        <v>122122.10745900006</v>
      </c>
      <c r="Q30" s="6"/>
      <c r="R30" s="277">
        <f>R19+R28</f>
        <v>45667414.910000011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'202201 Bk Depr'!R33</f>
        <v>0</v>
      </c>
      <c r="J33" s="278"/>
      <c r="L33" s="535">
        <f>'Cap&amp;OpEx 2022'!D30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'202201 Bk Depr'!R34</f>
        <v>0</v>
      </c>
      <c r="J34" s="278"/>
      <c r="L34" s="535">
        <f>'Cap&amp;OpEx 2022'!D31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'202201 Bk Depr'!R36</f>
        <v>3640834.6</v>
      </c>
      <c r="J36" s="278"/>
      <c r="L36" s="535">
        <f>'Cap&amp;OpEx 2022'!D32</f>
        <v>31219.420000000002</v>
      </c>
      <c r="N36" s="278"/>
      <c r="P36" s="278"/>
      <c r="R36" s="278">
        <f t="shared" si="11"/>
        <v>3672054.02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'202201 Bk Depr'!R37</f>
        <v>0</v>
      </c>
      <c r="G37" s="397"/>
      <c r="I37" s="397"/>
      <c r="J37" s="274"/>
      <c r="K37" s="397"/>
      <c r="L37" s="535">
        <f>'Cap&amp;OpEx 2022'!D33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'202201 Bk Depr'!R38</f>
        <v>6402.2</v>
      </c>
      <c r="J38" s="278"/>
      <c r="L38" s="535">
        <f>'Cap&amp;OpEx 2022'!D34</f>
        <v>1600.03</v>
      </c>
      <c r="N38" s="278"/>
      <c r="P38" s="278"/>
      <c r="R38" s="278">
        <f t="shared" si="11"/>
        <v>8002.23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3647236.8000000003</v>
      </c>
      <c r="J39" s="276">
        <f>SUM(J33:J38)</f>
        <v>0</v>
      </c>
      <c r="L39" s="276">
        <f>SUM(L33:L38)</f>
        <v>32819.450000000004</v>
      </c>
      <c r="N39" s="276">
        <f>SUM(N33:N38)</f>
        <v>0</v>
      </c>
      <c r="P39" s="276">
        <f>SUM(P33:P38)</f>
        <v>0</v>
      </c>
      <c r="R39" s="276">
        <f>SUM(R33:R38)</f>
        <v>3680056.25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21" priority="1" operator="notEqual">
      <formula>0</formula>
    </cfRule>
    <cfRule type="cellIs" dxfId="2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  <ignoredErrors>
    <ignoredError sqref="J16" 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B4B5-3647-48B3-8E4C-F994992A3CCA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1.42578125" style="4" bestFit="1" customWidth="1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708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'202202 Bk Depr'!R13</f>
        <v>0</v>
      </c>
      <c r="H13" s="1">
        <f>1.62%/12</f>
        <v>1.3500000000000003E-3</v>
      </c>
      <c r="J13" s="278">
        <f>F13*H13</f>
        <v>0</v>
      </c>
      <c r="L13" s="535">
        <f>'Cap&amp;OpEx 2022'!E9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'202202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2022'!E10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'202202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'202202 Bk Depr'!R16</f>
        <v>11667334.960000006</v>
      </c>
      <c r="H16" s="1">
        <f>3.24%/12</f>
        <v>2.7000000000000006E-3</v>
      </c>
      <c r="J16" s="278">
        <f t="shared" si="1"/>
        <v>31501.804392000024</v>
      </c>
      <c r="L16" s="535">
        <f>'Cap&amp;OpEx 2022'!E11</f>
        <v>366443.06</v>
      </c>
      <c r="N16" s="278">
        <f t="shared" si="2"/>
        <v>494.6981310000001</v>
      </c>
      <c r="P16" s="278">
        <f t="shared" si="3"/>
        <v>31996.502523000025</v>
      </c>
      <c r="R16" s="278">
        <f t="shared" si="4"/>
        <v>12033778.020000007</v>
      </c>
      <c r="U16" s="488">
        <f>R19</f>
        <v>47319144.660000011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'202202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2022'!E12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46794055.860000014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'202202 Bk Depr'!R18</f>
        <v>34492749.630000003</v>
      </c>
      <c r="H18" s="1">
        <f>3.24%/12</f>
        <v>2.7000000000000006E-3</v>
      </c>
      <c r="J18" s="278">
        <f t="shared" si="1"/>
        <v>93130.424001000021</v>
      </c>
      <c r="L18" s="535">
        <f>'Cap&amp;OpEx 2022'!E13</f>
        <v>792617.00999999978</v>
      </c>
      <c r="N18" s="278">
        <f t="shared" si="2"/>
        <v>1070.0329634999998</v>
      </c>
      <c r="P18" s="278">
        <f t="shared" si="3"/>
        <v>94200.456964500016</v>
      </c>
      <c r="R18" s="278">
        <f t="shared" si="4"/>
        <v>35285366.640000001</v>
      </c>
      <c r="U18" s="488">
        <f>'Rev Req 2022-Distr'!G11</f>
        <v>46794055.859999999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46160084.590000011</v>
      </c>
      <c r="J19" s="276">
        <f>SUM(J13:J18)</f>
        <v>124632.22839300004</v>
      </c>
      <c r="L19" s="276">
        <f>SUM(L13:L18)</f>
        <v>1159060.0699999998</v>
      </c>
      <c r="N19" s="276">
        <f>SUM(N13:N18)</f>
        <v>1564.7310944999999</v>
      </c>
      <c r="P19" s="276">
        <f>SUM(P13:P18)</f>
        <v>126196.95948750005</v>
      </c>
      <c r="R19" s="276">
        <f>SUM(R13:R18)</f>
        <v>47319144.660000011</v>
      </c>
      <c r="T19" s="367">
        <f>F19-'Day 4 Report -Dec 2022'!D54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'202202 Bk Depr'!R22</f>
        <v>0</v>
      </c>
      <c r="H22" s="1">
        <f>1.62%/12</f>
        <v>1.3500000000000003E-3</v>
      </c>
      <c r="J22" s="278">
        <f>F22*H22</f>
        <v>0</v>
      </c>
      <c r="L22" s="535">
        <f>'Cap&amp;OpEx 2022'!E16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'202202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2022'!E17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'202202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'202202 Bk Depr'!R25</f>
        <v>-492669.67999999959</v>
      </c>
      <c r="H25" s="1">
        <f>3.24%/12</f>
        <v>2.7000000000000006E-3</v>
      </c>
      <c r="J25" s="278">
        <f t="shared" si="6"/>
        <v>-1330.2081359999991</v>
      </c>
      <c r="L25" s="535">
        <f>'Cap&amp;OpEx 2022'!E18</f>
        <v>-30509.43</v>
      </c>
      <c r="N25" s="486">
        <f t="shared" si="7"/>
        <v>-41.187730500000008</v>
      </c>
      <c r="P25" s="278">
        <f t="shared" si="8"/>
        <v>-1371.3958664999991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'202202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2022'!E19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'202202 Bk Depr'!R27</f>
        <v>0</v>
      </c>
      <c r="H27" s="1">
        <f>3.24%/12</f>
        <v>2.7000000000000006E-3</v>
      </c>
      <c r="J27" s="278">
        <f t="shared" si="6"/>
        <v>0</v>
      </c>
      <c r="L27" s="535">
        <f>'Cap&amp;OpEx 2022'!E20</f>
        <v>-1909.69</v>
      </c>
      <c r="N27" s="486">
        <f t="shared" si="7"/>
        <v>-2.5780815000000006</v>
      </c>
      <c r="P27" s="278">
        <f t="shared" si="8"/>
        <v>-2.5780815000000006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K28" s="791"/>
      <c r="L28" s="276">
        <f>SUM(L22:L27)</f>
        <v>-32419.119999999999</v>
      </c>
      <c r="M28" s="791"/>
      <c r="N28" s="276">
        <f>SUM(N22:N27)</f>
        <v>-43.765812000000011</v>
      </c>
      <c r="O28" s="791"/>
      <c r="P28" s="276">
        <f>SUM(P22:P27)</f>
        <v>-1373.9739479999992</v>
      </c>
      <c r="R28" s="276">
        <f>SUM(R22:R27)</f>
        <v>-525088.79999999958</v>
      </c>
      <c r="T28" s="495"/>
    </row>
    <row r="29" spans="1:22">
      <c r="B29" s="4"/>
      <c r="T29" s="495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45667414.910000011</v>
      </c>
      <c r="G30" s="6"/>
      <c r="H30" s="4"/>
      <c r="I30" s="6"/>
      <c r="J30" s="277">
        <f>J19+J28</f>
        <v>123302.02025700004</v>
      </c>
      <c r="K30" s="6"/>
      <c r="L30" s="277">
        <f>L19+L28</f>
        <v>1126640.9499999997</v>
      </c>
      <c r="M30" s="6"/>
      <c r="N30" s="277">
        <f>N19+N28</f>
        <v>1520.9652824999998</v>
      </c>
      <c r="O30" s="6"/>
      <c r="P30" s="277">
        <f>P19+P28</f>
        <v>124822.98553950005</v>
      </c>
      <c r="Q30" s="6"/>
      <c r="R30" s="277">
        <f>R19+R28</f>
        <v>46794055.860000014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'202202 Bk Depr'!R33</f>
        <v>0</v>
      </c>
      <c r="J33" s="278"/>
      <c r="L33" s="535">
        <f>'Cap&amp;OpEx 2022'!E30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'202202 Bk Depr'!R34</f>
        <v>0</v>
      </c>
      <c r="J34" s="278"/>
      <c r="L34" s="535">
        <f>'Cap&amp;OpEx 2022'!E31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'202202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'202202 Bk Depr'!R36</f>
        <v>3672054.02</v>
      </c>
      <c r="J36" s="278"/>
      <c r="L36" s="535">
        <f>'Cap&amp;OpEx 2022'!E32</f>
        <v>45506.83</v>
      </c>
      <c r="N36" s="278"/>
      <c r="P36" s="278"/>
      <c r="R36" s="278">
        <f t="shared" si="11"/>
        <v>3717560.85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'202202 Bk Depr'!R37</f>
        <v>0</v>
      </c>
      <c r="G37" s="397"/>
      <c r="I37" s="397"/>
      <c r="J37" s="274"/>
      <c r="K37" s="397"/>
      <c r="L37" s="535">
        <f>'Cap&amp;OpEx 2022'!E33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'202202 Bk Depr'!R38</f>
        <v>8002.23</v>
      </c>
      <c r="J38" s="278"/>
      <c r="L38" s="535">
        <f>'Cap&amp;OpEx 2022'!E34</f>
        <v>10497.34</v>
      </c>
      <c r="N38" s="278"/>
      <c r="P38" s="278"/>
      <c r="R38" s="278">
        <f t="shared" si="11"/>
        <v>18499.57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3680056.25</v>
      </c>
      <c r="J39" s="276">
        <f>SUM(J33:J38)</f>
        <v>0</v>
      </c>
      <c r="L39" s="276">
        <f>SUM(L33:L38)</f>
        <v>56004.17</v>
      </c>
      <c r="N39" s="276">
        <f>SUM(N33:N38)</f>
        <v>0</v>
      </c>
      <c r="P39" s="276">
        <f>SUM(P33:P38)</f>
        <v>0</v>
      </c>
      <c r="R39" s="276">
        <f>SUM(R33:R38)</f>
        <v>3736060.42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19" priority="1" operator="notEqual">
      <formula>0</formula>
    </cfRule>
    <cfRule type="cellIs" dxfId="18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1A4B-E4BE-4288-B8FC-7FE1A6248455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709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'202203 Bk Depr'!R13</f>
        <v>0</v>
      </c>
      <c r="H13" s="1">
        <f>1.62%/12</f>
        <v>1.3500000000000003E-3</v>
      </c>
      <c r="J13" s="278">
        <f>F13*H13</f>
        <v>0</v>
      </c>
      <c r="L13" s="535">
        <f>'Cap&amp;OpEx 2022'!F9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'202203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2022'!F10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'202203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'202203 Bk Depr'!R16</f>
        <v>12033778.020000007</v>
      </c>
      <c r="H16" s="1">
        <f>3.24%/12</f>
        <v>2.7000000000000006E-3</v>
      </c>
      <c r="J16" s="278">
        <f t="shared" si="1"/>
        <v>32491.200654000026</v>
      </c>
      <c r="L16" s="535">
        <f>'Cap&amp;OpEx 2022'!F11</f>
        <v>392895.84</v>
      </c>
      <c r="N16" s="278">
        <f t="shared" si="2"/>
        <v>530.40938400000016</v>
      </c>
      <c r="P16" s="278">
        <f t="shared" si="3"/>
        <v>33021.610038000028</v>
      </c>
      <c r="R16" s="278">
        <f t="shared" si="4"/>
        <v>12426673.860000007</v>
      </c>
      <c r="U16" s="488">
        <f>R19</f>
        <v>48485898.800000004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'202203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2022'!F12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47960810.000000007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'202203 Bk Depr'!R18</f>
        <v>35285366.640000001</v>
      </c>
      <c r="H18" s="1">
        <f>3.24%/12</f>
        <v>2.7000000000000006E-3</v>
      </c>
      <c r="J18" s="278">
        <f t="shared" si="1"/>
        <v>95270.489928000025</v>
      </c>
      <c r="L18" s="535">
        <f>'Cap&amp;OpEx 2022'!F13</f>
        <v>773858.29999999993</v>
      </c>
      <c r="N18" s="278">
        <f t="shared" si="2"/>
        <v>1044.7087050000002</v>
      </c>
      <c r="P18" s="278">
        <f t="shared" si="3"/>
        <v>96315.198633000022</v>
      </c>
      <c r="R18" s="278">
        <f t="shared" si="4"/>
        <v>36059224.939999998</v>
      </c>
      <c r="U18" s="488">
        <f>'Rev Req 2022-Distr'!H11</f>
        <v>47960810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47319144.660000011</v>
      </c>
      <c r="J19" s="276">
        <f>SUM(J13:J18)</f>
        <v>127761.69058200005</v>
      </c>
      <c r="L19" s="276">
        <f>SUM(L13:L18)</f>
        <v>1166754.1399999999</v>
      </c>
      <c r="N19" s="276">
        <f>SUM(N13:N18)</f>
        <v>1575.1180890000005</v>
      </c>
      <c r="P19" s="276">
        <f>SUM(P13:P18)</f>
        <v>129336.80867100005</v>
      </c>
      <c r="R19" s="276">
        <f>SUM(R13:R18)</f>
        <v>48485898.800000004</v>
      </c>
      <c r="T19" s="367">
        <f>F19-'Day 4 Report -Dec 2022'!E54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'202203 Bk Depr'!R22</f>
        <v>0</v>
      </c>
      <c r="H22" s="1">
        <f>1.62%/12</f>
        <v>1.3500000000000003E-3</v>
      </c>
      <c r="J22" s="278">
        <f>F22*H22</f>
        <v>0</v>
      </c>
      <c r="L22" s="535">
        <f>'Cap&amp;OpEx 2022'!F16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'202203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2022'!F17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'202203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'202203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2022'!F18</f>
        <v>0</v>
      </c>
      <c r="N25" s="486">
        <f t="shared" si="7"/>
        <v>0</v>
      </c>
      <c r="P25" s="278">
        <f t="shared" si="8"/>
        <v>-1412.5835969999991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'202203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2022'!F19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'202203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2022'!F20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46794055.860000014</v>
      </c>
      <c r="G30" s="6"/>
      <c r="H30" s="4"/>
      <c r="I30" s="6"/>
      <c r="J30" s="277">
        <f>J19+J28</f>
        <v>126343.95082200006</v>
      </c>
      <c r="K30" s="6"/>
      <c r="L30" s="277">
        <f>L19+L28</f>
        <v>1166754.1399999999</v>
      </c>
      <c r="M30" s="6"/>
      <c r="N30" s="277">
        <f>N19+N28</f>
        <v>1575.1180890000005</v>
      </c>
      <c r="O30" s="6"/>
      <c r="P30" s="277">
        <f>P19+P28</f>
        <v>127919.06891100005</v>
      </c>
      <c r="Q30" s="6"/>
      <c r="R30" s="277">
        <f>R19+R28</f>
        <v>47960810.000000007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'202203 Bk Depr'!R33</f>
        <v>0</v>
      </c>
      <c r="J33" s="278"/>
      <c r="L33" s="535">
        <f>'Cap&amp;OpEx 2022'!F30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'202203 Bk Depr'!R34</f>
        <v>0</v>
      </c>
      <c r="J34" s="278"/>
      <c r="L34" s="535">
        <f>'Cap&amp;OpEx 2022'!F31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'202203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'202203 Bk Depr'!R36</f>
        <v>3717560.85</v>
      </c>
      <c r="J36" s="278"/>
      <c r="L36" s="535">
        <f>'Cap&amp;OpEx 2022'!F32</f>
        <v>14939.419999999998</v>
      </c>
      <c r="N36" s="278"/>
      <c r="P36" s="278"/>
      <c r="R36" s="278">
        <f t="shared" si="11"/>
        <v>3732500.27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'202203 Bk Depr'!R37</f>
        <v>0</v>
      </c>
      <c r="G37" s="397"/>
      <c r="I37" s="397"/>
      <c r="J37" s="274"/>
      <c r="K37" s="397"/>
      <c r="L37" s="535">
        <f>'Cap&amp;OpEx 2022'!F33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'202203 Bk Depr'!R38</f>
        <v>18499.57</v>
      </c>
      <c r="J38" s="278"/>
      <c r="L38" s="535">
        <f>'Cap&amp;OpEx 2022'!F34</f>
        <v>5971.86</v>
      </c>
      <c r="N38" s="278"/>
      <c r="P38" s="278"/>
      <c r="R38" s="278">
        <f t="shared" si="11"/>
        <v>24471.43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3736060.42</v>
      </c>
      <c r="J39" s="276">
        <f>SUM(J33:J38)</f>
        <v>0</v>
      </c>
      <c r="L39" s="276">
        <f>SUM(L33:L38)</f>
        <v>20911.28</v>
      </c>
      <c r="N39" s="276">
        <f>SUM(N33:N38)</f>
        <v>0</v>
      </c>
      <c r="P39" s="276">
        <f>SUM(P33:P38)</f>
        <v>0</v>
      </c>
      <c r="R39" s="276">
        <f>SUM(R33:R38)</f>
        <v>3756971.7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17" priority="1" operator="notEqual">
      <formula>0</formula>
    </cfRule>
    <cfRule type="cellIs" dxfId="16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F0C5B-AE79-4F04-B752-2157FA15818A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'202204 Bk Depr'!R13</f>
        <v>0</v>
      </c>
      <c r="H13" s="1">
        <f>1.62%/12</f>
        <v>1.3500000000000003E-3</v>
      </c>
      <c r="J13" s="278">
        <f>F13*H13</f>
        <v>0</v>
      </c>
      <c r="L13" s="535">
        <f>'Cap&amp;OpEx 2022'!G9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'202204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2022'!G10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'202204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'202204 Bk Depr'!R16</f>
        <v>12426673.860000007</v>
      </c>
      <c r="H16" s="1">
        <f>3.24%/12</f>
        <v>2.7000000000000006E-3</v>
      </c>
      <c r="J16" s="278">
        <f t="shared" si="1"/>
        <v>33552.019422000027</v>
      </c>
      <c r="L16" s="535">
        <f>'Cap&amp;OpEx 2022'!G11</f>
        <v>566446.77</v>
      </c>
      <c r="N16" s="278">
        <f t="shared" si="2"/>
        <v>764.70313950000013</v>
      </c>
      <c r="P16" s="278">
        <f t="shared" si="3"/>
        <v>34316.722561500028</v>
      </c>
      <c r="R16" s="278">
        <f t="shared" si="4"/>
        <v>12993120.630000006</v>
      </c>
      <c r="U16" s="488">
        <f>R19</f>
        <v>49776044.180000007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'202204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2022'!G12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49250955.38000001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'202204 Bk Depr'!R18</f>
        <v>36059224.939999998</v>
      </c>
      <c r="H18" s="1">
        <f>3.24%/12</f>
        <v>2.7000000000000006E-3</v>
      </c>
      <c r="J18" s="278">
        <f t="shared" si="1"/>
        <v>97359.907338000019</v>
      </c>
      <c r="L18" s="535">
        <f>'Cap&amp;OpEx 2022'!G13</f>
        <v>723698.60999999987</v>
      </c>
      <c r="N18" s="278">
        <f t="shared" si="2"/>
        <v>976.99312350000002</v>
      </c>
      <c r="P18" s="278">
        <f t="shared" si="3"/>
        <v>98336.900461500016</v>
      </c>
      <c r="R18" s="278">
        <f t="shared" si="4"/>
        <v>36782923.549999997</v>
      </c>
      <c r="U18" s="488">
        <f>'Rev Req 2022-Distr'!I11</f>
        <v>49250955.380000003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48485898.800000004</v>
      </c>
      <c r="J19" s="276">
        <f>SUM(J13:J18)</f>
        <v>130911.92676000005</v>
      </c>
      <c r="L19" s="276">
        <f>SUM(L13:L18)</f>
        <v>1290145.3799999999</v>
      </c>
      <c r="N19" s="276">
        <f>SUM(N13:N18)</f>
        <v>1741.6962630000003</v>
      </c>
      <c r="P19" s="276">
        <f>SUM(P13:P18)</f>
        <v>132653.62302300005</v>
      </c>
      <c r="R19" s="276">
        <f>SUM(R13:R18)</f>
        <v>49776044.180000007</v>
      </c>
      <c r="T19" s="367">
        <f>F19-'Day 4 Report -Dec 2022'!F54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'202204 Bk Depr'!R22</f>
        <v>0</v>
      </c>
      <c r="H22" s="1">
        <f>1.62%/12</f>
        <v>1.3500000000000003E-3</v>
      </c>
      <c r="J22" s="278">
        <f>F22*H22</f>
        <v>0</v>
      </c>
      <c r="L22" s="535">
        <f>'Cap&amp;OpEx 2022'!G16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'202204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2022'!G17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'202204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'202204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2022'!G18</f>
        <v>0</v>
      </c>
      <c r="N25" s="486">
        <f t="shared" si="7"/>
        <v>0</v>
      </c>
      <c r="P25" s="278">
        <f t="shared" si="8"/>
        <v>-1412.5835969999991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'202204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2022'!G19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'202204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2022'!G20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47960810.000000007</v>
      </c>
      <c r="G30" s="6"/>
      <c r="H30" s="4"/>
      <c r="I30" s="6"/>
      <c r="J30" s="277">
        <f>J19+J28</f>
        <v>129494.18700000005</v>
      </c>
      <c r="K30" s="6"/>
      <c r="L30" s="277">
        <f>L19+L28</f>
        <v>1290145.3799999999</v>
      </c>
      <c r="M30" s="6"/>
      <c r="N30" s="277">
        <f>N19+N28</f>
        <v>1741.6962630000003</v>
      </c>
      <c r="O30" s="6"/>
      <c r="P30" s="277">
        <f>P19+P28</f>
        <v>131235.88326300005</v>
      </c>
      <c r="Q30" s="6"/>
      <c r="R30" s="277">
        <f>R19+R28</f>
        <v>49250955.38000001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'202204 Bk Depr'!R33</f>
        <v>0</v>
      </c>
      <c r="J33" s="278"/>
      <c r="L33" s="535">
        <f>'Cap&amp;OpEx 2022'!G30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'202204 Bk Depr'!R34</f>
        <v>0</v>
      </c>
      <c r="J34" s="278"/>
      <c r="L34" s="535">
        <f>'Cap&amp;OpEx 2022'!G31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'202204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'202204 Bk Depr'!R36</f>
        <v>3732500.27</v>
      </c>
      <c r="J36" s="278"/>
      <c r="L36" s="535">
        <f>'Cap&amp;OpEx 2022'!G32</f>
        <v>56211.990000000005</v>
      </c>
      <c r="N36" s="278"/>
      <c r="P36" s="278"/>
      <c r="R36" s="278">
        <f t="shared" si="11"/>
        <v>3788712.2600000002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'202204 Bk Depr'!R37</f>
        <v>0</v>
      </c>
      <c r="G37" s="397"/>
      <c r="I37" s="397"/>
      <c r="J37" s="274"/>
      <c r="K37" s="397"/>
      <c r="L37" s="535">
        <f>'Cap&amp;OpEx 2022'!G33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'202204 Bk Depr'!R38</f>
        <v>24471.43</v>
      </c>
      <c r="J38" s="278"/>
      <c r="L38" s="535">
        <f>'Cap&amp;OpEx 2022'!G34</f>
        <v>2061.71</v>
      </c>
      <c r="N38" s="278"/>
      <c r="P38" s="278"/>
      <c r="R38" s="278">
        <f t="shared" si="11"/>
        <v>26533.14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3756971.7</v>
      </c>
      <c r="J39" s="276">
        <f>SUM(J33:J38)</f>
        <v>0</v>
      </c>
      <c r="L39" s="276">
        <f>SUM(L33:L38)</f>
        <v>58273.700000000004</v>
      </c>
      <c r="N39" s="276">
        <f>SUM(N33:N38)</f>
        <v>0</v>
      </c>
      <c r="P39" s="276">
        <f>SUM(P33:P38)</f>
        <v>0</v>
      </c>
      <c r="R39" s="276">
        <f>SUM(R33:R38)</f>
        <v>3815245.4000000004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15" priority="1" operator="notEqual">
      <formula>0</formula>
    </cfRule>
    <cfRule type="cellIs" dxfId="14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2C752-6890-4403-AB2F-C4B214241CC8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'202205 Bk Depr'!R13</f>
        <v>0</v>
      </c>
      <c r="H13" s="1">
        <f>1.62%/12</f>
        <v>1.3500000000000003E-3</v>
      </c>
      <c r="J13" s="278">
        <f>F13*H13</f>
        <v>0</v>
      </c>
      <c r="L13" s="535">
        <f>'Cap&amp;OpEx 2022'!H9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'202205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2022'!H10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'202205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'202205 Bk Depr'!R16</f>
        <v>12993120.630000006</v>
      </c>
      <c r="H16" s="1">
        <f>3.24%/12</f>
        <v>2.7000000000000006E-3</v>
      </c>
      <c r="J16" s="278">
        <f t="shared" si="1"/>
        <v>35081.425701000022</v>
      </c>
      <c r="L16" s="535">
        <f>'Cap&amp;OpEx 2022'!H11</f>
        <v>453237.13</v>
      </c>
      <c r="N16" s="278">
        <f t="shared" si="2"/>
        <v>611.87012550000009</v>
      </c>
      <c r="P16" s="278">
        <f t="shared" si="3"/>
        <v>35693.29582650002</v>
      </c>
      <c r="R16" s="278">
        <f t="shared" si="4"/>
        <v>13446357.760000007</v>
      </c>
      <c r="U16" s="488">
        <f>R19</f>
        <v>50855184.030000001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'202205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2022'!H12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50330095.230000004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'202205 Bk Depr'!R18</f>
        <v>36782923.549999997</v>
      </c>
      <c r="H18" s="1">
        <f>3.24%/12</f>
        <v>2.7000000000000006E-3</v>
      </c>
      <c r="J18" s="278">
        <f t="shared" si="1"/>
        <v>99313.893585000013</v>
      </c>
      <c r="L18" s="535">
        <f>'Cap&amp;OpEx 2022'!H13</f>
        <v>625902.72</v>
      </c>
      <c r="N18" s="278">
        <f t="shared" si="2"/>
        <v>844.9686720000002</v>
      </c>
      <c r="P18" s="278">
        <f t="shared" si="3"/>
        <v>100158.86225700002</v>
      </c>
      <c r="R18" s="278">
        <f t="shared" si="4"/>
        <v>37408826.269999996</v>
      </c>
      <c r="U18" s="488">
        <f>'Rev Req 2022-Distr'!J11</f>
        <v>50330095.230000004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49776044.180000007</v>
      </c>
      <c r="J19" s="276">
        <f>SUM(J13:J18)</f>
        <v>134395.31928600004</v>
      </c>
      <c r="L19" s="276">
        <f>SUM(L13:L18)</f>
        <v>1079139.8500000001</v>
      </c>
      <c r="N19" s="276">
        <f>SUM(N13:N18)</f>
        <v>1456.8387975000003</v>
      </c>
      <c r="P19" s="276">
        <f>SUM(P13:P18)</f>
        <v>135852.15808350005</v>
      </c>
      <c r="R19" s="276">
        <f>SUM(R13:R18)</f>
        <v>50855184.030000001</v>
      </c>
      <c r="T19" s="367">
        <f>F19-'Day 4 Report -Dec 2022'!G54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'202205 Bk Depr'!R22</f>
        <v>0</v>
      </c>
      <c r="H22" s="1">
        <f>1.62%/12</f>
        <v>1.3500000000000003E-3</v>
      </c>
      <c r="J22" s="278">
        <f>F22*H22</f>
        <v>0</v>
      </c>
      <c r="L22" s="279">
        <f>'Cap&amp;OpEx 2022'!H16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'202205 Bk Depr'!R23</f>
        <v>0</v>
      </c>
      <c r="H23" s="1">
        <f>2.05%/12</f>
        <v>1.7083333333333332E-3</v>
      </c>
      <c r="J23" s="278">
        <f t="shared" ref="J23:J27" si="6">F23*H23</f>
        <v>0</v>
      </c>
      <c r="L23" s="279">
        <f>'Cap&amp;OpEx 2022'!H17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'202205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'202205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279">
        <f>'Cap&amp;OpEx 2022'!H18</f>
        <v>0</v>
      </c>
      <c r="N25" s="486">
        <f t="shared" si="7"/>
        <v>0</v>
      </c>
      <c r="P25" s="278">
        <f t="shared" si="8"/>
        <v>-1412.5835969999991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'202205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279">
        <f>'Cap&amp;OpEx 2022'!H19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'202205 Bk Depr'!R27</f>
        <v>-1909.69</v>
      </c>
      <c r="H27" s="1">
        <f>3.24%/12</f>
        <v>2.7000000000000006E-3</v>
      </c>
      <c r="J27" s="278">
        <f t="shared" si="6"/>
        <v>-5.1561630000000012</v>
      </c>
      <c r="L27" s="279">
        <f>'Cap&amp;OpEx 2022'!H20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49250955.38000001</v>
      </c>
      <c r="G30" s="6"/>
      <c r="H30" s="4"/>
      <c r="I30" s="6"/>
      <c r="J30" s="277">
        <f>J19+J28</f>
        <v>132977.57952600005</v>
      </c>
      <c r="K30" s="6"/>
      <c r="L30" s="277">
        <f>L19+L28</f>
        <v>1079139.8500000001</v>
      </c>
      <c r="M30" s="6"/>
      <c r="N30" s="277">
        <f>N19+N28</f>
        <v>1456.8387975000003</v>
      </c>
      <c r="O30" s="6"/>
      <c r="P30" s="277">
        <f>P19+P28</f>
        <v>134434.41832350005</v>
      </c>
      <c r="Q30" s="6"/>
      <c r="R30" s="277">
        <f>R19+R28</f>
        <v>50330095.230000004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'202205 Bk Depr'!R33</f>
        <v>0</v>
      </c>
      <c r="J33" s="278"/>
      <c r="L33" s="535">
        <f>'Cap&amp;OpEx 2022'!H30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'202205 Bk Depr'!R34</f>
        <v>0</v>
      </c>
      <c r="J34" s="278"/>
      <c r="L34" s="535">
        <f>'Cap&amp;OpEx 2022'!H31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'202205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'202205 Bk Depr'!R36</f>
        <v>3788712.2600000002</v>
      </c>
      <c r="J36" s="278"/>
      <c r="L36" s="535">
        <f>'Cap&amp;OpEx 2022'!H32</f>
        <v>-10928.25</v>
      </c>
      <c r="N36" s="278"/>
      <c r="P36" s="278"/>
      <c r="R36" s="278">
        <f t="shared" si="11"/>
        <v>3777784.0100000002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'202205 Bk Depr'!R37</f>
        <v>0</v>
      </c>
      <c r="G37" s="397"/>
      <c r="I37" s="397"/>
      <c r="J37" s="274"/>
      <c r="K37" s="397"/>
      <c r="L37" s="535">
        <f>'Cap&amp;OpEx 2022'!H33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'202205 Bk Depr'!R38</f>
        <v>26533.14</v>
      </c>
      <c r="J38" s="278"/>
      <c r="L38" s="535">
        <f>'Cap&amp;OpEx 2022'!H34</f>
        <v>8451.86</v>
      </c>
      <c r="N38" s="278"/>
      <c r="P38" s="278"/>
      <c r="R38" s="278">
        <f t="shared" si="11"/>
        <v>34985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3815245.4000000004</v>
      </c>
      <c r="J39" s="276">
        <f>SUM(J33:J38)</f>
        <v>0</v>
      </c>
      <c r="L39" s="276">
        <f>SUM(L33:L38)</f>
        <v>-2476.3899999999994</v>
      </c>
      <c r="N39" s="276">
        <f>SUM(N33:N38)</f>
        <v>0</v>
      </c>
      <c r="P39" s="276">
        <f>SUM(P33:P38)</f>
        <v>0</v>
      </c>
      <c r="R39" s="276">
        <f>SUM(R33:R38)</f>
        <v>3812769.0100000002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13" priority="1" operator="notEqual">
      <formula>0</formula>
    </cfRule>
    <cfRule type="cellIs" dxfId="1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E5A5-9ED1-4DF7-BD37-B7D819908F6D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3.8554687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'202206 Bk Depr'!R13</f>
        <v>0</v>
      </c>
      <c r="H13" s="1">
        <f>1.62%/12</f>
        <v>1.3500000000000003E-3</v>
      </c>
      <c r="J13" s="278">
        <f>F13*H13</f>
        <v>0</v>
      </c>
      <c r="L13" s="535">
        <f>'Cap&amp;OpEx 2022'!I9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'202206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2022'!I10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'202206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'202206 Bk Depr'!R16</f>
        <v>13446357.760000007</v>
      </c>
      <c r="H16" s="1">
        <f>3.24%/12</f>
        <v>2.7000000000000006E-3</v>
      </c>
      <c r="J16" s="278">
        <f t="shared" si="1"/>
        <v>36305.165952000025</v>
      </c>
      <c r="L16" s="535">
        <f>'Cap&amp;OpEx 2022'!I11</f>
        <v>795836.38000000012</v>
      </c>
      <c r="N16" s="278">
        <f t="shared" si="2"/>
        <v>1074.3791130000004</v>
      </c>
      <c r="P16" s="278">
        <f t="shared" si="3"/>
        <v>37379.545065000028</v>
      </c>
      <c r="R16" s="278">
        <f t="shared" si="4"/>
        <v>14242194.140000008</v>
      </c>
      <c r="U16" s="488">
        <f>R19</f>
        <v>52471761.160000004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'202206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2022'!I12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51946672.360000007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'202206 Bk Depr'!R18</f>
        <v>37408826.269999996</v>
      </c>
      <c r="H18" s="1">
        <f>3.24%/12</f>
        <v>2.7000000000000006E-3</v>
      </c>
      <c r="J18" s="278">
        <f t="shared" si="1"/>
        <v>101003.830929</v>
      </c>
      <c r="L18" s="535">
        <f>'Cap&amp;OpEx 2022'!I13</f>
        <v>820740.75</v>
      </c>
      <c r="N18" s="278">
        <f t="shared" si="2"/>
        <v>1108.0000125000001</v>
      </c>
      <c r="P18" s="278">
        <f t="shared" si="3"/>
        <v>102111.8309415</v>
      </c>
      <c r="R18" s="278">
        <f t="shared" si="4"/>
        <v>38229567.019999996</v>
      </c>
      <c r="U18" s="488">
        <f>'Rev Req 2022-Distr'!K11</f>
        <v>51946672.360000007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50855184.030000001</v>
      </c>
      <c r="J19" s="276">
        <f>SUM(J13:J18)</f>
        <v>137308.99688100003</v>
      </c>
      <c r="L19" s="276">
        <f>SUM(L13:L18)</f>
        <v>1616577.1300000001</v>
      </c>
      <c r="N19" s="276">
        <f>SUM(N13:N18)</f>
        <v>2182.3791255000006</v>
      </c>
      <c r="P19" s="276">
        <f>SUM(P13:P18)</f>
        <v>139491.37600650004</v>
      </c>
      <c r="R19" s="276">
        <f>SUM(R13:R18)</f>
        <v>52471761.160000004</v>
      </c>
      <c r="T19" s="367">
        <f>F19-'Day 4 Report -Dec 2022'!H54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'202206 Bk Depr'!R22</f>
        <v>0</v>
      </c>
      <c r="H22" s="1">
        <f>1.62%/12</f>
        <v>1.3500000000000003E-3</v>
      </c>
      <c r="J22" s="278">
        <f>F22*H22</f>
        <v>0</v>
      </c>
      <c r="L22" s="535">
        <f>'Cap&amp;OpEx 2022'!I16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'202206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2022'!I17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'202206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'202206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2022'!I18</f>
        <v>0</v>
      </c>
      <c r="N25" s="486">
        <f t="shared" si="7"/>
        <v>0</v>
      </c>
      <c r="P25" s="278">
        <f t="shared" si="8"/>
        <v>-1412.5835969999991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'202206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2022'!I19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'202206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2022'!I20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50330095.230000004</v>
      </c>
      <c r="G30" s="6"/>
      <c r="H30" s="4"/>
      <c r="I30" s="6"/>
      <c r="J30" s="277">
        <f>J19+J28</f>
        <v>135891.25712100003</v>
      </c>
      <c r="K30" s="6"/>
      <c r="L30" s="277">
        <f>L19+L28</f>
        <v>1616577.1300000001</v>
      </c>
      <c r="M30" s="6"/>
      <c r="N30" s="277">
        <f>N19+N28</f>
        <v>2182.3791255000006</v>
      </c>
      <c r="O30" s="6"/>
      <c r="P30" s="277">
        <f>P19+P28</f>
        <v>138073.63624650004</v>
      </c>
      <c r="Q30" s="6"/>
      <c r="R30" s="277">
        <f>R19+R28</f>
        <v>51946672.360000007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'202206 Bk Depr'!R33</f>
        <v>0</v>
      </c>
      <c r="J33" s="278"/>
      <c r="L33" s="535">
        <f>'Cap&amp;OpEx 2022'!I30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'202206 Bk Depr'!R34</f>
        <v>0</v>
      </c>
      <c r="J34" s="278"/>
      <c r="L34" s="535">
        <f>'Cap&amp;OpEx 2022'!I31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'202206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'202206 Bk Depr'!R36</f>
        <v>3777784.0100000002</v>
      </c>
      <c r="J36" s="278"/>
      <c r="L36" s="535">
        <f>'Cap&amp;OpEx 2022'!I32</f>
        <v>105675.54999999999</v>
      </c>
      <c r="N36" s="278"/>
      <c r="P36" s="278"/>
      <c r="R36" s="278">
        <f t="shared" si="11"/>
        <v>3883459.56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'202206 Bk Depr'!R37</f>
        <v>0</v>
      </c>
      <c r="G37" s="397"/>
      <c r="I37" s="397"/>
      <c r="J37" s="274"/>
      <c r="K37" s="397"/>
      <c r="L37" s="535">
        <f>'Cap&amp;OpEx 2022'!I33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'202206 Bk Depr'!R38</f>
        <v>34985</v>
      </c>
      <c r="J38" s="278"/>
      <c r="L38" s="535">
        <f>'Cap&amp;OpEx 2022'!I34</f>
        <v>6366.58</v>
      </c>
      <c r="N38" s="278"/>
      <c r="P38" s="278"/>
      <c r="R38" s="278">
        <f t="shared" si="11"/>
        <v>41351.58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3812769.0100000002</v>
      </c>
      <c r="J39" s="276">
        <f>SUM(J33:J38)</f>
        <v>0</v>
      </c>
      <c r="L39" s="276">
        <f>SUM(L33:L38)</f>
        <v>112042.12999999999</v>
      </c>
      <c r="N39" s="276">
        <f>SUM(N33:N38)</f>
        <v>0</v>
      </c>
      <c r="P39" s="276">
        <f>SUM(P33:P38)</f>
        <v>0</v>
      </c>
      <c r="R39" s="276">
        <f>SUM(R33:R38)</f>
        <v>3924811.14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11" priority="1" operator="notEqual">
      <formula>0</formula>
    </cfRule>
    <cfRule type="cellIs" dxfId="1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B053-FABB-464A-958B-846759775026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'202207 Bk Depr'!R13</f>
        <v>0</v>
      </c>
      <c r="H13" s="1">
        <f>1.62%/12</f>
        <v>1.3500000000000003E-3</v>
      </c>
      <c r="J13" s="278">
        <f>F13*H13</f>
        <v>0</v>
      </c>
      <c r="L13" s="535">
        <f>'Cap&amp;OpEx 2022'!J9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'202207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2022'!J10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'202207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'202207 Bk Depr'!R16</f>
        <v>14242194.140000008</v>
      </c>
      <c r="H16" s="1">
        <f>3.24%/12</f>
        <v>2.7000000000000006E-3</v>
      </c>
      <c r="J16" s="278">
        <f t="shared" si="1"/>
        <v>38453.92417800003</v>
      </c>
      <c r="L16" s="535">
        <f>'Cap&amp;OpEx 2022'!J11</f>
        <v>510533.66</v>
      </c>
      <c r="N16" s="278">
        <f t="shared" si="2"/>
        <v>689.22044100000016</v>
      </c>
      <c r="P16" s="278">
        <f t="shared" si="3"/>
        <v>39143.144619000028</v>
      </c>
      <c r="R16" s="278">
        <f t="shared" si="4"/>
        <v>14752727.800000008</v>
      </c>
      <c r="U16" s="488">
        <f>R19</f>
        <v>54098969.790000007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'202207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2022'!J12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53573880.99000001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'202207 Bk Depr'!R18</f>
        <v>38229567.019999996</v>
      </c>
      <c r="H18" s="1">
        <f>3.24%/12</f>
        <v>2.7000000000000006E-3</v>
      </c>
      <c r="J18" s="278">
        <f t="shared" si="1"/>
        <v>103219.830954</v>
      </c>
      <c r="L18" s="535">
        <f>'Cap&amp;OpEx 2022'!J13</f>
        <v>1116674.9700000002</v>
      </c>
      <c r="N18" s="278">
        <f t="shared" si="2"/>
        <v>1507.5112095000006</v>
      </c>
      <c r="P18" s="278">
        <f t="shared" si="3"/>
        <v>104727.34216350001</v>
      </c>
      <c r="R18" s="278">
        <f t="shared" si="4"/>
        <v>39346241.989999995</v>
      </c>
      <c r="U18" s="488">
        <f>'Rev Req 2022-Distr'!L11</f>
        <v>53573880.99000001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52471761.160000004</v>
      </c>
      <c r="J19" s="276">
        <f>SUM(J13:J18)</f>
        <v>141673.75513200002</v>
      </c>
      <c r="L19" s="276">
        <f>SUM(L13:L18)</f>
        <v>1627208.6300000001</v>
      </c>
      <c r="N19" s="276">
        <f>SUM(N13:N18)</f>
        <v>2196.7316505000008</v>
      </c>
      <c r="P19" s="276">
        <f>SUM(P13:P18)</f>
        <v>143870.48678250005</v>
      </c>
      <c r="R19" s="276">
        <f>SUM(R13:R18)</f>
        <v>54098969.790000007</v>
      </c>
      <c r="T19" s="367">
        <f>F19-'Day 4 Report -Dec 2022'!I54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'202207 Bk Depr'!R22</f>
        <v>0</v>
      </c>
      <c r="H22" s="1">
        <f>1.62%/12</f>
        <v>1.3500000000000003E-3</v>
      </c>
      <c r="J22" s="278">
        <f>F22*H22</f>
        <v>0</v>
      </c>
      <c r="L22" s="535">
        <f>'Cap&amp;OpEx 2022'!J16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'202207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2022'!J17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'202207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'202207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2022'!J18</f>
        <v>0</v>
      </c>
      <c r="N25" s="486">
        <f t="shared" si="7"/>
        <v>0</v>
      </c>
      <c r="P25" s="278">
        <f t="shared" si="8"/>
        <v>-1412.5835969999991</v>
      </c>
      <c r="R25" s="278">
        <f t="shared" si="9"/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'202207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2022'!J19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'202207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2022'!J20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51946672.360000007</v>
      </c>
      <c r="G30" s="6"/>
      <c r="H30" s="4"/>
      <c r="I30" s="6"/>
      <c r="J30" s="277">
        <f>J19+J28</f>
        <v>140256.01537200002</v>
      </c>
      <c r="K30" s="6"/>
      <c r="L30" s="277">
        <f>L19+L28</f>
        <v>1627208.6300000001</v>
      </c>
      <c r="M30" s="6"/>
      <c r="N30" s="277">
        <f>N19+N28</f>
        <v>2196.7316505000008</v>
      </c>
      <c r="O30" s="6"/>
      <c r="P30" s="277">
        <f>P19+P28</f>
        <v>142452.74702250006</v>
      </c>
      <c r="Q30" s="6"/>
      <c r="R30" s="277">
        <f>R19+R28</f>
        <v>53573880.99000001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'202207 Bk Depr'!R33</f>
        <v>0</v>
      </c>
      <c r="J33" s="278"/>
      <c r="L33" s="535">
        <f>'Cap&amp;OpEx 2022'!J30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'202207 Bk Depr'!R34</f>
        <v>0</v>
      </c>
      <c r="J34" s="278"/>
      <c r="L34" s="535">
        <f>'Cap&amp;OpEx 2022'!J31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'202207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'202207 Bk Depr'!R36</f>
        <v>3883459.56</v>
      </c>
      <c r="J36" s="278"/>
      <c r="L36" s="535">
        <f>'Cap&amp;OpEx 2022'!J32</f>
        <v>81337.31</v>
      </c>
      <c r="N36" s="278"/>
      <c r="P36" s="278"/>
      <c r="R36" s="278">
        <f t="shared" si="11"/>
        <v>3964796.87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'202207 Bk Depr'!R37</f>
        <v>0</v>
      </c>
      <c r="G37" s="397"/>
      <c r="I37" s="397"/>
      <c r="J37" s="274"/>
      <c r="K37" s="397"/>
      <c r="L37" s="535">
        <f>'Cap&amp;OpEx 2022'!J33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'202207 Bk Depr'!R38</f>
        <v>41351.58</v>
      </c>
      <c r="J38" s="278"/>
      <c r="L38" s="535">
        <f>'Cap&amp;OpEx 2022'!J34</f>
        <v>8613.56</v>
      </c>
      <c r="N38" s="278"/>
      <c r="P38" s="278"/>
      <c r="R38" s="278">
        <f t="shared" si="11"/>
        <v>49965.14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3924811.14</v>
      </c>
      <c r="J39" s="276">
        <f>SUM(J33:J38)</f>
        <v>0</v>
      </c>
      <c r="L39" s="276">
        <f>SUM(L33:L38)</f>
        <v>89950.87</v>
      </c>
      <c r="N39" s="276">
        <f>SUM(N33:N38)</f>
        <v>0</v>
      </c>
      <c r="P39" s="276">
        <f>SUM(P33:P38)</f>
        <v>0</v>
      </c>
      <c r="R39" s="276">
        <f>SUM(R33:R38)</f>
        <v>4014762.0100000002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9" priority="1" operator="notEqual">
      <formula>0</formula>
    </cfRule>
    <cfRule type="cellIs" dxfId="8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6227D-3961-4E03-8442-5AD0C594227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'202208 Bk Depr'!R13</f>
        <v>0</v>
      </c>
      <c r="H13" s="1">
        <f>1.62%/12</f>
        <v>1.3500000000000003E-3</v>
      </c>
      <c r="J13" s="278">
        <f>F13*H13</f>
        <v>0</v>
      </c>
      <c r="L13" s="535">
        <f>'Cap&amp;OpEx 2022'!K9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'202208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2022'!K10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'202208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-525088.79999999958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'202208 Bk Depr'!R16</f>
        <v>14752727.800000008</v>
      </c>
      <c r="H16" s="1">
        <f>3.24%/12</f>
        <v>2.7000000000000006E-3</v>
      </c>
      <c r="J16" s="278">
        <f t="shared" si="1"/>
        <v>39832.365060000033</v>
      </c>
      <c r="L16" s="535">
        <f>'Cap&amp;OpEx 2022'!K11</f>
        <v>615726.25</v>
      </c>
      <c r="N16" s="278">
        <f t="shared" si="2"/>
        <v>831.23043750000022</v>
      </c>
      <c r="P16" s="278">
        <f t="shared" si="3"/>
        <v>40663.595497500035</v>
      </c>
      <c r="R16" s="278">
        <f t="shared" si="4"/>
        <v>15368454.050000008</v>
      </c>
      <c r="U16" s="488">
        <f>R19</f>
        <v>55510929.590000004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'202208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2022'!K12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54985840.790000007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'202208 Bk Depr'!R18</f>
        <v>39346241.989999995</v>
      </c>
      <c r="H18" s="1">
        <f>3.24%/12</f>
        <v>2.7000000000000006E-3</v>
      </c>
      <c r="J18" s="278">
        <f t="shared" si="1"/>
        <v>106234.85337300001</v>
      </c>
      <c r="L18" s="535">
        <f>'Cap&amp;OpEx 2022'!K13</f>
        <v>796233.55000000016</v>
      </c>
      <c r="N18" s="278">
        <f t="shared" si="2"/>
        <v>1074.9152925000005</v>
      </c>
      <c r="P18" s="278">
        <f t="shared" si="3"/>
        <v>107309.7686655</v>
      </c>
      <c r="R18" s="278">
        <f t="shared" si="4"/>
        <v>40142475.539999992</v>
      </c>
      <c r="U18" s="488">
        <f>'Rev Req 2022-Distr'!M11</f>
        <v>54985840.790000007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54098969.790000007</v>
      </c>
      <c r="J19" s="276">
        <f>SUM(J13:J18)</f>
        <v>146067.21843300003</v>
      </c>
      <c r="L19" s="276">
        <f>SUM(L13:L18)</f>
        <v>1411959.8000000003</v>
      </c>
      <c r="N19" s="276">
        <f>SUM(N13:N18)</f>
        <v>1906.1457300000006</v>
      </c>
      <c r="P19" s="276">
        <f>SUM(P13:P18)</f>
        <v>147973.36416300002</v>
      </c>
      <c r="R19" s="276">
        <f>SUM(R13:R18)</f>
        <v>55510929.590000004</v>
      </c>
      <c r="T19" s="367">
        <f>F19-'Day 4 Report -Dec 2022'!J54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'202208 Bk Depr'!R22</f>
        <v>0</v>
      </c>
      <c r="H22" s="1">
        <f>1.62%/12</f>
        <v>1.3500000000000003E-3</v>
      </c>
      <c r="J22" s="278">
        <f>F22*H22</f>
        <v>0</v>
      </c>
      <c r="L22" s="535">
        <f>'Cap&amp;OpEx 2022'!K16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'202208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2022'!K17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'202208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'202208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2022'!K18</f>
        <v>0</v>
      </c>
      <c r="N25" s="486">
        <f>H25*L25*0.5</f>
        <v>0</v>
      </c>
      <c r="P25" s="278">
        <f t="shared" si="8"/>
        <v>-1412.5835969999991</v>
      </c>
      <c r="R25" s="278">
        <f>L25+F25</f>
        <v>-523179.10999999958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'202208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2022'!K19</f>
        <v>0</v>
      </c>
      <c r="M26" s="397"/>
      <c r="N26" s="486">
        <f>H26*L26*0.5</f>
        <v>0</v>
      </c>
      <c r="O26" s="397"/>
      <c r="P26" s="278">
        <f t="shared" si="8"/>
        <v>0</v>
      </c>
      <c r="Q26" s="397"/>
      <c r="R26" s="278">
        <f>L26+F26</f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'202208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2022'!K20</f>
        <v>0</v>
      </c>
      <c r="N27" s="486">
        <f t="shared" si="7"/>
        <v>0</v>
      </c>
      <c r="P27" s="278">
        <f t="shared" si="8"/>
        <v>-5.1561630000000012</v>
      </c>
      <c r="R27" s="278">
        <f t="shared" si="9"/>
        <v>-1909.69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0</v>
      </c>
      <c r="N28" s="276">
        <f>SUM(N22:N27)</f>
        <v>0</v>
      </c>
      <c r="P28" s="276">
        <f>SUM(P22:P27)</f>
        <v>-1417.7397599999993</v>
      </c>
      <c r="R28" s="276">
        <f>SUM(R22:R27)</f>
        <v>-525088.79999999958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53573880.99000001</v>
      </c>
      <c r="G30" s="6"/>
      <c r="H30" s="4"/>
      <c r="I30" s="6"/>
      <c r="J30" s="277">
        <f>J19+J28</f>
        <v>144649.47867300003</v>
      </c>
      <c r="K30" s="6"/>
      <c r="L30" s="277">
        <f>L19+L28</f>
        <v>1411959.8000000003</v>
      </c>
      <c r="M30" s="6"/>
      <c r="N30" s="277">
        <f>N19+N28</f>
        <v>1906.1457300000006</v>
      </c>
      <c r="O30" s="6"/>
      <c r="P30" s="277">
        <f>P19+P28</f>
        <v>146555.62440300002</v>
      </c>
      <c r="Q30" s="6"/>
      <c r="R30" s="277">
        <f>R19+R28</f>
        <v>54985840.790000007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'202208 Bk Depr'!R33</f>
        <v>0</v>
      </c>
      <c r="J33" s="278"/>
      <c r="L33" s="535">
        <f>'Cap&amp;OpEx 2022'!K30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'202208 Bk Depr'!R34</f>
        <v>0</v>
      </c>
      <c r="J34" s="278"/>
      <c r="L34" s="535">
        <f>'Cap&amp;OpEx 2022'!K31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'202208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'202208 Bk Depr'!R36</f>
        <v>3964796.87</v>
      </c>
      <c r="J36" s="278"/>
      <c r="L36" s="535">
        <f>'Cap&amp;OpEx 2022'!K32</f>
        <v>85656.31</v>
      </c>
      <c r="N36" s="278"/>
      <c r="P36" s="278"/>
      <c r="R36" s="278">
        <f t="shared" si="11"/>
        <v>4050453.18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'202208 Bk Depr'!R37</f>
        <v>0</v>
      </c>
      <c r="G37" s="397"/>
      <c r="I37" s="397"/>
      <c r="J37" s="274"/>
      <c r="K37" s="397"/>
      <c r="L37" s="535">
        <f>'Cap&amp;OpEx 2022'!K33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'202208 Bk Depr'!R38</f>
        <v>49965.14</v>
      </c>
      <c r="J38" s="278"/>
      <c r="L38" s="535">
        <f>'Cap&amp;OpEx 2022'!K34</f>
        <v>4039.5</v>
      </c>
      <c r="N38" s="278"/>
      <c r="P38" s="278"/>
      <c r="R38" s="278">
        <f t="shared" si="11"/>
        <v>54004.639999999999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4014762.0100000002</v>
      </c>
      <c r="J39" s="276">
        <f>SUM(J33:J38)</f>
        <v>0</v>
      </c>
      <c r="L39" s="276">
        <f>SUM(L33:L38)</f>
        <v>89695.81</v>
      </c>
      <c r="N39" s="276">
        <f>SUM(N33:N38)</f>
        <v>0</v>
      </c>
      <c r="P39" s="276">
        <f>SUM(P33:P38)</f>
        <v>0</v>
      </c>
      <c r="R39" s="276">
        <f>SUM(R33:R38)</f>
        <v>4104457.8200000003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7" priority="1" operator="notEqual">
      <formula>0</formula>
    </cfRule>
    <cfRule type="cellIs" dxfId="6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44779-0BED-4984-AF47-7C0328700D8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'202209 Bk Depr'!R13</f>
        <v>0</v>
      </c>
      <c r="H13" s="1">
        <f>1.62%/12</f>
        <v>1.3500000000000003E-3</v>
      </c>
      <c r="J13" s="278">
        <f>F13*H13</f>
        <v>0</v>
      </c>
      <c r="L13" s="535">
        <f>'Cap&amp;OpEx 2022'!L9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'202209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2022'!L10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'202209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-556482.17999999959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'202209 Bk Depr'!R16</f>
        <v>15368454.050000008</v>
      </c>
      <c r="H16" s="1">
        <f>3.24%/12</f>
        <v>2.7000000000000006E-3</v>
      </c>
      <c r="J16" s="278">
        <f t="shared" si="1"/>
        <v>41494.82593500003</v>
      </c>
      <c r="L16" s="535">
        <f>'Cap&amp;OpEx 2022'!L11</f>
        <v>57375.8</v>
      </c>
      <c r="N16" s="278">
        <f t="shared" si="2"/>
        <v>77.457330000000027</v>
      </c>
      <c r="P16" s="278">
        <f t="shared" si="3"/>
        <v>41572.283265000027</v>
      </c>
      <c r="R16" s="278">
        <f t="shared" si="4"/>
        <v>15425829.850000009</v>
      </c>
      <c r="U16" s="488">
        <f>R19</f>
        <v>56409078.270000003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'202209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2022'!L12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55852596.090000004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'202209 Bk Depr'!R18</f>
        <v>40142475.539999992</v>
      </c>
      <c r="H18" s="1">
        <f>3.24%/12</f>
        <v>2.7000000000000006E-3</v>
      </c>
      <c r="J18" s="278">
        <f t="shared" si="1"/>
        <v>108384.68395799999</v>
      </c>
      <c r="L18" s="535">
        <f>'Cap&amp;OpEx 2022'!L13</f>
        <v>840772.88000000012</v>
      </c>
      <c r="N18" s="278">
        <f t="shared" si="2"/>
        <v>1135.0433880000005</v>
      </c>
      <c r="P18" s="278">
        <f t="shared" si="3"/>
        <v>109519.727346</v>
      </c>
      <c r="R18" s="278">
        <f t="shared" si="4"/>
        <v>40983248.419999994</v>
      </c>
      <c r="U18" s="488">
        <f>'Rev Req 2022-Distr'!N11</f>
        <v>55852596.090000004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55510929.590000004</v>
      </c>
      <c r="J19" s="276">
        <f>SUM(J13:J18)</f>
        <v>149879.50989300001</v>
      </c>
      <c r="L19" s="276">
        <f>SUM(L13:L18)</f>
        <v>898148.68000000017</v>
      </c>
      <c r="N19" s="276">
        <f>SUM(N13:N18)</f>
        <v>1212.5007180000005</v>
      </c>
      <c r="P19" s="276">
        <f>SUM(P13:P18)</f>
        <v>151092.01061100003</v>
      </c>
      <c r="R19" s="276">
        <f>SUM(R13:R18)</f>
        <v>56409078.270000003</v>
      </c>
      <c r="T19" s="367">
        <f>F19-'Day 4 Report -Dec 2022'!K54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'202209 Bk Depr'!R22</f>
        <v>0</v>
      </c>
      <c r="H22" s="1">
        <f>1.62%/12</f>
        <v>1.3500000000000003E-3</v>
      </c>
      <c r="J22" s="278">
        <f>F22*H22</f>
        <v>0</v>
      </c>
      <c r="L22" s="535">
        <f>'Cap&amp;OpEx 2022'!L16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'202209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2022'!L17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'202209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'202209 Bk Depr'!R25</f>
        <v>-523179.10999999958</v>
      </c>
      <c r="H25" s="1">
        <f>3.24%/12</f>
        <v>2.7000000000000006E-3</v>
      </c>
      <c r="J25" s="278">
        <f t="shared" si="6"/>
        <v>-1412.5835969999991</v>
      </c>
      <c r="L25" s="535">
        <f>'Cap&amp;OpEx 2022'!L18</f>
        <v>-30242.22</v>
      </c>
      <c r="N25" s="486">
        <f t="shared" si="7"/>
        <v>-40.826997000000013</v>
      </c>
      <c r="P25" s="278">
        <f t="shared" si="8"/>
        <v>-1453.4105939999993</v>
      </c>
      <c r="R25" s="278">
        <f t="shared" si="9"/>
        <v>-553421.32999999961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'202209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2022'!L19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'202209 Bk Depr'!R27</f>
        <v>-1909.69</v>
      </c>
      <c r="H27" s="1">
        <f>3.24%/12</f>
        <v>2.7000000000000006E-3</v>
      </c>
      <c r="J27" s="278">
        <f t="shared" si="6"/>
        <v>-5.1561630000000012</v>
      </c>
      <c r="L27" s="535">
        <f>'Cap&amp;OpEx 2022'!L20</f>
        <v>-1151.1600000000001</v>
      </c>
      <c r="N27" s="486">
        <f t="shared" si="7"/>
        <v>-1.5540660000000004</v>
      </c>
      <c r="P27" s="278">
        <f t="shared" si="8"/>
        <v>-6.7102290000000018</v>
      </c>
      <c r="R27" s="278">
        <f t="shared" si="9"/>
        <v>-3060.8500000000004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-525088.79999999958</v>
      </c>
      <c r="J28" s="276">
        <f>SUM(J22:J27)</f>
        <v>-1417.7397599999993</v>
      </c>
      <c r="L28" s="276">
        <f>SUM(L22:L27)</f>
        <v>-31393.38</v>
      </c>
      <c r="N28" s="276">
        <f>SUM(N22:N27)</f>
        <v>-42.381063000000012</v>
      </c>
      <c r="P28" s="276">
        <f>SUM(P22:P27)</f>
        <v>-1460.1208229999993</v>
      </c>
      <c r="R28" s="276">
        <f>SUM(R22:R27)</f>
        <v>-556482.17999999959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54985840.790000007</v>
      </c>
      <c r="G30" s="6"/>
      <c r="H30" s="4"/>
      <c r="I30" s="6"/>
      <c r="J30" s="277">
        <f>J19+J28</f>
        <v>148461.77013300001</v>
      </c>
      <c r="K30" s="6"/>
      <c r="L30" s="277">
        <f>L19+L28</f>
        <v>866755.30000000016</v>
      </c>
      <c r="M30" s="6"/>
      <c r="N30" s="277">
        <f>N19+N28</f>
        <v>1170.1196550000004</v>
      </c>
      <c r="O30" s="6"/>
      <c r="P30" s="277">
        <f>P19+P28</f>
        <v>149631.88978800003</v>
      </c>
      <c r="Q30" s="6"/>
      <c r="R30" s="277">
        <f>R19+R28</f>
        <v>55852596.090000004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'202209 Bk Depr'!R33</f>
        <v>0</v>
      </c>
      <c r="J33" s="278"/>
      <c r="L33" s="535">
        <f>'Cap&amp;OpEx 2022'!L30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'202209 Bk Depr'!R34</f>
        <v>0</v>
      </c>
      <c r="J34" s="278"/>
      <c r="L34" s="535">
        <f>'Cap&amp;OpEx 2022'!L31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'202209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'202209 Bk Depr'!R36</f>
        <v>4050453.18</v>
      </c>
      <c r="J36" s="278"/>
      <c r="L36" s="535">
        <f>'Cap&amp;OpEx 2022'!L32</f>
        <v>20717.22</v>
      </c>
      <c r="N36" s="278"/>
      <c r="P36" s="278"/>
      <c r="R36" s="278">
        <f t="shared" si="11"/>
        <v>4071170.4000000004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'202209 Bk Depr'!R37</f>
        <v>0</v>
      </c>
      <c r="G37" s="397"/>
      <c r="I37" s="397"/>
      <c r="J37" s="274"/>
      <c r="K37" s="397"/>
      <c r="L37" s="535">
        <f>'Cap&amp;OpEx 2022'!L33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'202209 Bk Depr'!R38</f>
        <v>54004.639999999999</v>
      </c>
      <c r="J38" s="278"/>
      <c r="L38" s="535">
        <f>'Cap&amp;OpEx 2022'!L34</f>
        <v>2006.57</v>
      </c>
      <c r="N38" s="278"/>
      <c r="P38" s="278"/>
      <c r="R38" s="278">
        <f t="shared" si="11"/>
        <v>56011.21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4104457.8200000003</v>
      </c>
      <c r="J39" s="276">
        <f>SUM(J33:J38)</f>
        <v>0</v>
      </c>
      <c r="L39" s="276">
        <f>SUM(L33:L38)</f>
        <v>22723.79</v>
      </c>
      <c r="N39" s="276">
        <f>SUM(N33:N38)</f>
        <v>0</v>
      </c>
      <c r="P39" s="276">
        <f>SUM(P33:P38)</f>
        <v>0</v>
      </c>
      <c r="R39" s="276">
        <f>SUM(R33:R38)</f>
        <v>4127181.6100000003</v>
      </c>
    </row>
    <row r="41" spans="1:22">
      <c r="R41" s="390"/>
    </row>
    <row r="42" spans="1:22">
      <c r="M42" s="389"/>
      <c r="N42" s="390"/>
      <c r="O42" s="389"/>
      <c r="P42" s="585"/>
      <c r="R42" s="585"/>
    </row>
    <row r="43" spans="1:22">
      <c r="L43" s="390"/>
      <c r="M43" s="389"/>
      <c r="N43" s="390"/>
      <c r="O43" s="389"/>
      <c r="P43" s="585"/>
      <c r="R43" s="585"/>
    </row>
  </sheetData>
  <conditionalFormatting sqref="T19">
    <cfRule type="cellIs" dxfId="5" priority="1" operator="notEqual">
      <formula>0</formula>
    </cfRule>
    <cfRule type="cellIs" dxfId="4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  <pageSetUpPr autoPageBreaks="0"/>
  </sheetPr>
  <dimension ref="A1:G26"/>
  <sheetViews>
    <sheetView showGridLines="0" view="pageBreakPreview" zoomScale="80" zoomScaleNormal="100" zoomScaleSheetLayoutView="80" workbookViewId="0"/>
  </sheetViews>
  <sheetFormatPr defaultColWidth="9.140625" defaultRowHeight="15.75"/>
  <cols>
    <col min="1" max="1" width="20.85546875" style="260" customWidth="1"/>
    <col min="2" max="2" width="16.85546875" style="260" customWidth="1"/>
    <col min="3" max="3" width="18.140625" style="260" customWidth="1"/>
    <col min="4" max="4" width="18.42578125" style="260" customWidth="1"/>
    <col min="5" max="6" width="16" style="260" customWidth="1"/>
    <col min="7" max="7" width="20.85546875" style="266" customWidth="1"/>
    <col min="8" max="16384" width="9.140625" style="266"/>
  </cols>
  <sheetData>
    <row r="1" spans="1:7">
      <c r="A1" s="327" t="s">
        <v>669</v>
      </c>
      <c r="B1" s="1204"/>
      <c r="C1" s="1204"/>
      <c r="D1" s="1204"/>
      <c r="E1" s="1204"/>
      <c r="F1" s="1204"/>
      <c r="G1" s="1205"/>
    </row>
    <row r="2" spans="1:7" ht="15.75" customHeight="1">
      <c r="A2" s="1206" t="s">
        <v>365</v>
      </c>
      <c r="B2" s="1206"/>
      <c r="C2" s="1206"/>
      <c r="D2" s="1204"/>
      <c r="E2" s="1204"/>
      <c r="F2" s="1204"/>
      <c r="G2" s="1205"/>
    </row>
    <row r="3" spans="1:7" ht="15.75" customHeight="1">
      <c r="A3" s="1207" t="s">
        <v>966</v>
      </c>
      <c r="B3" s="1204"/>
      <c r="C3" s="1207"/>
      <c r="D3" s="1207"/>
      <c r="E3" s="1204"/>
      <c r="F3" s="1204"/>
      <c r="G3" s="1205"/>
    </row>
    <row r="4" spans="1:7" ht="15.75" customHeight="1"/>
    <row r="5" spans="1:7" ht="15.75" customHeight="1"/>
    <row r="6" spans="1:7" ht="15.75" customHeight="1">
      <c r="A6" s="1208"/>
      <c r="B6" s="833" t="s">
        <v>367</v>
      </c>
      <c r="C6" s="833" t="s">
        <v>368</v>
      </c>
      <c r="D6" s="833" t="s">
        <v>369</v>
      </c>
      <c r="E6" s="833" t="s">
        <v>370</v>
      </c>
      <c r="F6" s="833" t="s">
        <v>371</v>
      </c>
      <c r="G6" s="833" t="s">
        <v>372</v>
      </c>
    </row>
    <row r="7" spans="1:7" s="260" customFormat="1" ht="19.5" customHeight="1">
      <c r="A7" s="1556" t="s">
        <v>373</v>
      </c>
      <c r="B7" s="1553" t="s">
        <v>157</v>
      </c>
      <c r="C7" s="1553" t="s">
        <v>1069</v>
      </c>
      <c r="D7" s="1553" t="s">
        <v>1070</v>
      </c>
      <c r="E7" s="1553" t="s">
        <v>375</v>
      </c>
      <c r="F7" s="1553" t="s">
        <v>376</v>
      </c>
      <c r="G7" s="1553" t="s">
        <v>1068</v>
      </c>
    </row>
    <row r="8" spans="1:7" s="260" customFormat="1" ht="19.5" customHeight="1">
      <c r="A8" s="1556"/>
      <c r="B8" s="1554"/>
      <c r="C8" s="1554"/>
      <c r="D8" s="1554"/>
      <c r="E8" s="1554"/>
      <c r="F8" s="1558"/>
      <c r="G8" s="1554"/>
    </row>
    <row r="9" spans="1:7" s="260" customFormat="1" ht="19.5" customHeight="1">
      <c r="A9" s="1557"/>
      <c r="B9" s="1555"/>
      <c r="C9" s="1555"/>
      <c r="D9" s="1555"/>
      <c r="E9" s="1555"/>
      <c r="F9" s="1555"/>
      <c r="G9" s="1555"/>
    </row>
    <row r="10" spans="1:7" s="260" customFormat="1" ht="15.75" customHeight="1">
      <c r="A10" s="1209"/>
      <c r="B10" s="1210"/>
      <c r="C10" s="1210"/>
      <c r="D10" s="1211" t="s">
        <v>377</v>
      </c>
      <c r="E10" s="1210"/>
      <c r="F10" s="1210"/>
      <c r="G10" s="1212" t="s">
        <v>378</v>
      </c>
    </row>
    <row r="11" spans="1:7" ht="19.5" customHeight="1">
      <c r="A11" s="267">
        <v>44927</v>
      </c>
      <c r="B11" s="779">
        <f>RevReq!I14</f>
        <v>748496.06779958354</v>
      </c>
      <c r="C11" s="261">
        <v>57038.27</v>
      </c>
      <c r="D11" s="261">
        <f t="shared" ref="D11:D22" si="0">B11+C11</f>
        <v>805534.33779958356</v>
      </c>
      <c r="E11" s="261">
        <v>628719.51</v>
      </c>
      <c r="F11" s="261">
        <v>-8338</v>
      </c>
      <c r="G11" s="1213">
        <f>ROUND(D11-E11-F11,2)</f>
        <v>185152.83</v>
      </c>
    </row>
    <row r="12" spans="1:7" ht="19.5" customHeight="1">
      <c r="A12" s="262">
        <f>DATE(YEAR(A11+45),MONTH(A11+45),1)</f>
        <v>44958</v>
      </c>
      <c r="B12" s="1215">
        <f>RevReq!I15</f>
        <v>818966.30064908345</v>
      </c>
      <c r="C12" s="1216">
        <v>57038.27</v>
      </c>
      <c r="D12" s="1216">
        <f t="shared" si="0"/>
        <v>876004.57064908347</v>
      </c>
      <c r="E12" s="1216">
        <v>621675.56999999995</v>
      </c>
      <c r="F12" s="1216">
        <v>-28905.42</v>
      </c>
      <c r="G12" s="1217">
        <f t="shared" ref="G12:G22" si="1">ROUND(D12-E12-F12,2)</f>
        <v>283234.42</v>
      </c>
    </row>
    <row r="13" spans="1:7" ht="19.5" customHeight="1">
      <c r="A13" s="262">
        <f t="shared" ref="A13:A22" si="2">DATE(YEAR(A12+45),MONTH(A12+45),1)</f>
        <v>44986</v>
      </c>
      <c r="B13" s="1215">
        <f>RevReq!I16</f>
        <v>776417.79756208346</v>
      </c>
      <c r="C13" s="1216">
        <v>57038.27</v>
      </c>
      <c r="D13" s="1216">
        <f t="shared" si="0"/>
        <v>833456.06756208348</v>
      </c>
      <c r="E13" s="1216">
        <v>633362.02</v>
      </c>
      <c r="F13" s="1216">
        <v>4905.42</v>
      </c>
      <c r="G13" s="1217">
        <f t="shared" si="1"/>
        <v>195188.63</v>
      </c>
    </row>
    <row r="14" spans="1:7" ht="19.5" customHeight="1">
      <c r="A14" s="262">
        <f t="shared" si="2"/>
        <v>45017</v>
      </c>
      <c r="B14" s="1215">
        <f>RevReq!I17</f>
        <v>806281.42566958326</v>
      </c>
      <c r="C14" s="1216">
        <v>57038.27</v>
      </c>
      <c r="D14" s="1216">
        <f t="shared" si="0"/>
        <v>863319.69566958328</v>
      </c>
      <c r="E14" s="1216">
        <v>622353.56999999995</v>
      </c>
      <c r="F14" s="1216">
        <v>-20000</v>
      </c>
      <c r="G14" s="1217">
        <f t="shared" si="1"/>
        <v>260966.13</v>
      </c>
    </row>
    <row r="15" spans="1:7" ht="19.5" customHeight="1">
      <c r="A15" s="262">
        <f t="shared" si="2"/>
        <v>45047</v>
      </c>
      <c r="B15" s="1215">
        <f>RevReq!I18</f>
        <v>876260.25196758378</v>
      </c>
      <c r="C15" s="1216">
        <v>32707.22</v>
      </c>
      <c r="D15" s="1216">
        <f t="shared" si="0"/>
        <v>908967.47196758376</v>
      </c>
      <c r="E15" s="1216">
        <v>658721.62</v>
      </c>
      <c r="F15" s="1216">
        <v>-60891</v>
      </c>
      <c r="G15" s="1217">
        <f t="shared" si="1"/>
        <v>311136.84999999998</v>
      </c>
    </row>
    <row r="16" spans="1:7" ht="19.5" customHeight="1">
      <c r="A16" s="262">
        <f t="shared" si="2"/>
        <v>45078</v>
      </c>
      <c r="B16" s="1215">
        <f>RevReq!I19</f>
        <v>910024.02140008355</v>
      </c>
      <c r="C16" s="1216">
        <v>8376.16</v>
      </c>
      <c r="D16" s="1216">
        <f t="shared" si="0"/>
        <v>918400.18140008359</v>
      </c>
      <c r="E16" s="1216">
        <v>701717.61</v>
      </c>
      <c r="F16" s="1216">
        <v>9106.7099999999991</v>
      </c>
      <c r="G16" s="1217">
        <f t="shared" si="1"/>
        <v>207575.86</v>
      </c>
    </row>
    <row r="17" spans="1:7" ht="19.5" customHeight="1">
      <c r="A17" s="262">
        <f t="shared" si="2"/>
        <v>45108</v>
      </c>
      <c r="B17" s="1215">
        <f>RevReq!I20</f>
        <v>927500.69805708365</v>
      </c>
      <c r="C17" s="1216">
        <v>8376.16</v>
      </c>
      <c r="D17" s="1216">
        <f t="shared" si="0"/>
        <v>935876.85805708368</v>
      </c>
      <c r="E17" s="1216">
        <v>701726.85</v>
      </c>
      <c r="F17" s="1216">
        <v>2893.29</v>
      </c>
      <c r="G17" s="1217">
        <f t="shared" si="1"/>
        <v>231256.72</v>
      </c>
    </row>
    <row r="18" spans="1:7" ht="19.5" customHeight="1">
      <c r="A18" s="262">
        <f t="shared" si="2"/>
        <v>45139</v>
      </c>
      <c r="B18" s="1215">
        <f>RevReq!I21</f>
        <v>912214.44648008374</v>
      </c>
      <c r="C18" s="1216">
        <v>8376.16</v>
      </c>
      <c r="D18" s="1216">
        <f t="shared" si="0"/>
        <v>920590.60648008378</v>
      </c>
      <c r="E18" s="1216">
        <v>704111.29</v>
      </c>
      <c r="F18" s="1216">
        <v>-4106</v>
      </c>
      <c r="G18" s="1217">
        <f t="shared" si="1"/>
        <v>220585.32</v>
      </c>
    </row>
    <row r="19" spans="1:7" ht="19.5" customHeight="1">
      <c r="A19" s="262">
        <f t="shared" si="2"/>
        <v>45170</v>
      </c>
      <c r="B19" s="1215">
        <f>RevReq!I22</f>
        <v>906288.52071008366</v>
      </c>
      <c r="C19" s="1216">
        <v>8376.16</v>
      </c>
      <c r="D19" s="1216">
        <f t="shared" si="0"/>
        <v>914664.68071008369</v>
      </c>
      <c r="E19" s="1216">
        <v>689152.37</v>
      </c>
      <c r="F19" s="1216">
        <v>1106</v>
      </c>
      <c r="G19" s="1217">
        <f t="shared" si="1"/>
        <v>224406.31</v>
      </c>
    </row>
    <row r="20" spans="1:7" ht="19.5" customHeight="1">
      <c r="A20" s="262">
        <f t="shared" si="2"/>
        <v>45200</v>
      </c>
      <c r="B20" s="1215">
        <f>RevReq!I23</f>
        <v>901950.16304258327</v>
      </c>
      <c r="C20" s="1216">
        <v>8376.16</v>
      </c>
      <c r="D20" s="1216">
        <f t="shared" si="0"/>
        <v>910326.3230425833</v>
      </c>
      <c r="E20" s="1216">
        <v>704452.17</v>
      </c>
      <c r="F20" s="1216">
        <v>-54000</v>
      </c>
      <c r="G20" s="1217">
        <f t="shared" si="1"/>
        <v>259874.15</v>
      </c>
    </row>
    <row r="21" spans="1:7" ht="19.5" customHeight="1">
      <c r="A21" s="262">
        <f t="shared" si="2"/>
        <v>45231</v>
      </c>
      <c r="B21" s="1215">
        <f>RevReq!I24</f>
        <v>920399.36815008346</v>
      </c>
      <c r="C21" s="1216">
        <v>8376.16</v>
      </c>
      <c r="D21" s="1216">
        <f t="shared" si="0"/>
        <v>928775.5281500835</v>
      </c>
      <c r="E21" s="1216">
        <v>702912.74</v>
      </c>
      <c r="F21" s="1216">
        <v>-116066.83</v>
      </c>
      <c r="G21" s="1217">
        <f t="shared" si="1"/>
        <v>341929.62</v>
      </c>
    </row>
    <row r="22" spans="1:7" ht="19.5" customHeight="1">
      <c r="A22" s="263">
        <f t="shared" si="2"/>
        <v>45261</v>
      </c>
      <c r="B22" s="1218">
        <f>RevReq!I25</f>
        <v>919188.47647858341</v>
      </c>
      <c r="C22" s="1219">
        <v>8376.16</v>
      </c>
      <c r="D22" s="1219">
        <f t="shared" si="0"/>
        <v>927564.63647858344</v>
      </c>
      <c r="E22" s="1219">
        <v>699083.09</v>
      </c>
      <c r="F22" s="1219">
        <v>-62826.46</v>
      </c>
      <c r="G22" s="1219">
        <f t="shared" si="1"/>
        <v>291308.01</v>
      </c>
    </row>
    <row r="23" spans="1:7" s="260" customFormat="1" ht="19.5" customHeight="1" thickBot="1">
      <c r="B23" s="1153">
        <f t="shared" ref="B23:F23" si="3">SUM(B11:B22)</f>
        <v>10423987.537966503</v>
      </c>
      <c r="C23" s="1153">
        <f t="shared" si="3"/>
        <v>319493.41999999981</v>
      </c>
      <c r="D23" s="1153">
        <f t="shared" si="3"/>
        <v>10743480.957966503</v>
      </c>
      <c r="E23" s="1153">
        <f t="shared" si="3"/>
        <v>8067988.4100000001</v>
      </c>
      <c r="F23" s="1153">
        <f t="shared" si="3"/>
        <v>-337122.29000000004</v>
      </c>
      <c r="G23" s="1153">
        <f>SUM(G11:G22)</f>
        <v>3012614.8499999996</v>
      </c>
    </row>
    <row r="24" spans="1:7" s="260" customFormat="1" ht="15.75" customHeight="1" thickTop="1"/>
    <row r="25" spans="1:7" s="260" customFormat="1" ht="15.75" customHeight="1"/>
    <row r="26" spans="1:7" s="260" customFormat="1" ht="15.75" customHeight="1">
      <c r="A26" s="1220"/>
    </row>
  </sheetData>
  <mergeCells count="7">
    <mergeCell ref="G7:G9"/>
    <mergeCell ref="A7:A9"/>
    <mergeCell ref="B7:B9"/>
    <mergeCell ref="C7:C9"/>
    <mergeCell ref="D7:D9"/>
    <mergeCell ref="E7:E9"/>
    <mergeCell ref="F7:F9"/>
  </mergeCells>
  <printOptions horizontalCentered="1"/>
  <pageMargins left="0.5" right="0.5" top="0.75" bottom="0.75" header="0.3" footer="0.3"/>
  <pageSetup scale="80" orientation="landscape" blackAndWhite="1" r:id="rId1"/>
  <headerFooter scaleWithDoc="0" alignWithMargins="0">
    <oddFooter>&amp;R&amp;"Times New Roman,Bold"Exhibit 3
Page 1 of 4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D900E-F821-4236-83E3-ECC935AFBEA4}">
  <sheetPr>
    <tabColor rgb="FF002060"/>
    <pageSetUpPr fitToPage="1"/>
  </sheetPr>
  <dimension ref="A1:V44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710937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'202210 Bk Depr'!R13</f>
        <v>0</v>
      </c>
      <c r="H13" s="1">
        <f>1.62%/12</f>
        <v>1.3500000000000003E-3</v>
      </c>
      <c r="J13" s="278">
        <f>F13*H13</f>
        <v>0</v>
      </c>
      <c r="L13" s="535">
        <f>'Cap&amp;OpEx 2022'!M9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'202210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2022'!M10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'202210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-556482.17999999959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'202210 Bk Depr'!R16</f>
        <v>15425829.850000009</v>
      </c>
      <c r="H16" s="1">
        <f>3.24%/12</f>
        <v>2.7000000000000006E-3</v>
      </c>
      <c r="J16" s="278">
        <f t="shared" si="1"/>
        <v>41649.740595000032</v>
      </c>
      <c r="L16" s="535">
        <f>'Cap&amp;OpEx 2022'!M11</f>
        <v>501193.86</v>
      </c>
      <c r="M16" s="783" t="s">
        <v>1035</v>
      </c>
      <c r="N16" s="278">
        <f t="shared" si="2"/>
        <v>676.61171100000013</v>
      </c>
      <c r="P16" s="278">
        <f t="shared" si="3"/>
        <v>42326.35230600003</v>
      </c>
      <c r="R16" s="278">
        <f t="shared" si="4"/>
        <v>15927023.710000008</v>
      </c>
      <c r="U16" s="488">
        <f>R19</f>
        <v>57653694.560000002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'202210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2022'!M12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57097212.380000003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'202210 Bk Depr'!R18</f>
        <v>40983248.419999994</v>
      </c>
      <c r="H18" s="1">
        <f>3.24%/12</f>
        <v>2.7000000000000006E-3</v>
      </c>
      <c r="J18" s="278">
        <f t="shared" si="1"/>
        <v>110654.77073400001</v>
      </c>
      <c r="L18" s="535">
        <f>'Cap&amp;OpEx 2022'!M13</f>
        <v>743422.42999999993</v>
      </c>
      <c r="N18" s="278">
        <f t="shared" si="2"/>
        <v>1003.6202805000001</v>
      </c>
      <c r="P18" s="278">
        <f t="shared" si="3"/>
        <v>111658.39101450001</v>
      </c>
      <c r="R18" s="278">
        <f t="shared" si="4"/>
        <v>41726670.849999994</v>
      </c>
      <c r="U18" s="488">
        <f>'Rev Req 2022-Distr'!O11</f>
        <v>57097212.380000003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56409078.270000003</v>
      </c>
      <c r="J19" s="276">
        <f>SUM(J13:J18)</f>
        <v>152304.51132900003</v>
      </c>
      <c r="L19" s="276">
        <f>SUM(L13:L18)</f>
        <v>1244616.29</v>
      </c>
      <c r="N19" s="276">
        <f>SUM(N13:N18)</f>
        <v>1680.2319915000003</v>
      </c>
      <c r="P19" s="276">
        <f>SUM(P13:P18)</f>
        <v>153984.74332050004</v>
      </c>
      <c r="R19" s="1008">
        <f>SUM(R13:R18)</f>
        <v>57653694.560000002</v>
      </c>
      <c r="T19" s="367">
        <f>F19-'Day 4 Report -Dec 2022'!L54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'202210 Bk Depr'!R22</f>
        <v>0</v>
      </c>
      <c r="H22" s="1">
        <f>1.62%/12</f>
        <v>1.3500000000000003E-3</v>
      </c>
      <c r="J22" s="278">
        <f>F22*H22</f>
        <v>0</v>
      </c>
      <c r="L22" s="535">
        <f>'Cap&amp;OpEx 2022'!M16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'202210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2022'!M17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'202210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'202210 Bk Depr'!R25</f>
        <v>-553421.32999999961</v>
      </c>
      <c r="H25" s="1">
        <f>3.24%/12</f>
        <v>2.7000000000000006E-3</v>
      </c>
      <c r="J25" s="278">
        <f t="shared" si="6"/>
        <v>-1494.2375909999992</v>
      </c>
      <c r="L25" s="535">
        <f>'Cap&amp;OpEx 2022'!M18</f>
        <v>0</v>
      </c>
      <c r="N25" s="486">
        <f t="shared" si="7"/>
        <v>0</v>
      </c>
      <c r="P25" s="278">
        <f t="shared" si="8"/>
        <v>-1494.2375909999992</v>
      </c>
      <c r="R25" s="278">
        <f t="shared" si="9"/>
        <v>-553421.32999999961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'202210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2022'!M19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'202210 Bk Depr'!R27</f>
        <v>-3060.8500000000004</v>
      </c>
      <c r="H27" s="1">
        <f>3.24%/12</f>
        <v>2.7000000000000006E-3</v>
      </c>
      <c r="J27" s="278">
        <f t="shared" si="6"/>
        <v>-8.2642950000000024</v>
      </c>
      <c r="L27" s="535">
        <f>'Cap&amp;OpEx 2022'!M20</f>
        <v>0</v>
      </c>
      <c r="N27" s="486">
        <f t="shared" si="7"/>
        <v>0</v>
      </c>
      <c r="P27" s="278">
        <f t="shared" si="8"/>
        <v>-8.2642950000000024</v>
      </c>
      <c r="R27" s="278">
        <f t="shared" si="9"/>
        <v>-3060.8500000000004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-556482.17999999959</v>
      </c>
      <c r="J28" s="276">
        <f>SUM(J22:J27)</f>
        <v>-1502.5018859999991</v>
      </c>
      <c r="L28" s="276">
        <f>SUM(L22:L27)</f>
        <v>0</v>
      </c>
      <c r="N28" s="276">
        <f>SUM(N22:N27)</f>
        <v>0</v>
      </c>
      <c r="P28" s="276">
        <f>SUM(P22:P27)</f>
        <v>-1502.5018859999991</v>
      </c>
      <c r="R28" s="276">
        <f>SUM(R22:R27)</f>
        <v>-556482.17999999959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55852596.090000004</v>
      </c>
      <c r="G30" s="6"/>
      <c r="H30" s="4"/>
      <c r="I30" s="6"/>
      <c r="J30" s="277">
        <f>J19+J28</f>
        <v>150802.00944300002</v>
      </c>
      <c r="K30" s="6"/>
      <c r="L30" s="277">
        <f>L19+L28</f>
        <v>1244616.29</v>
      </c>
      <c r="M30" s="6"/>
      <c r="N30" s="277">
        <f>N19+N28</f>
        <v>1680.2319915000003</v>
      </c>
      <c r="O30" s="6"/>
      <c r="P30" s="277">
        <f>P19+P28</f>
        <v>152482.24143450003</v>
      </c>
      <c r="Q30" s="6"/>
      <c r="R30" s="277">
        <f>R19+R28</f>
        <v>57097212.380000003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'202210 Bk Depr'!R33</f>
        <v>0</v>
      </c>
      <c r="J33" s="278"/>
      <c r="L33" s="535">
        <f>'Cap&amp;OpEx 2022'!M30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'202210 Bk Depr'!R34</f>
        <v>0</v>
      </c>
      <c r="J34" s="278"/>
      <c r="L34" s="535">
        <f>'Cap&amp;OpEx 2022'!M31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'202210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'202210 Bk Depr'!R36</f>
        <v>4071170.4000000004</v>
      </c>
      <c r="J36" s="278"/>
      <c r="L36" s="535">
        <f>'Cap&amp;OpEx 2022'!M32</f>
        <v>-9380.2000000000007</v>
      </c>
      <c r="N36" s="278"/>
      <c r="P36" s="278"/>
      <c r="R36" s="278">
        <f t="shared" si="11"/>
        <v>4061790.2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'202210 Bk Depr'!R37</f>
        <v>0</v>
      </c>
      <c r="G37" s="397"/>
      <c r="I37" s="397"/>
      <c r="J37" s="274"/>
      <c r="K37" s="397"/>
      <c r="L37" s="535">
        <f>'Cap&amp;OpEx 2022'!M33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'202210 Bk Depr'!R38</f>
        <v>56011.21</v>
      </c>
      <c r="J38" s="278"/>
      <c r="L38" s="535">
        <f>'Cap&amp;OpEx 2022'!M34</f>
        <v>2288.7399999999998</v>
      </c>
      <c r="N38" s="278"/>
      <c r="P38" s="278"/>
      <c r="R38" s="278">
        <f t="shared" si="11"/>
        <v>58299.95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4127181.6100000003</v>
      </c>
      <c r="J39" s="276">
        <f>SUM(J33:J38)</f>
        <v>0</v>
      </c>
      <c r="L39" s="276">
        <f>SUM(L33:L38)</f>
        <v>-7091.4600000000009</v>
      </c>
      <c r="N39" s="276">
        <f>SUM(N33:N38)</f>
        <v>0</v>
      </c>
      <c r="P39" s="276">
        <f>SUM(P33:P38)</f>
        <v>0</v>
      </c>
      <c r="R39" s="276">
        <f>SUM(R33:R38)</f>
        <v>4120090.1500000004</v>
      </c>
    </row>
    <row r="41" spans="1:22">
      <c r="C41" s="1100" t="s">
        <v>1032</v>
      </c>
    </row>
    <row r="42" spans="1:22">
      <c r="M42" s="389"/>
      <c r="R42" s="390"/>
    </row>
    <row r="43" spans="1:22">
      <c r="L43" s="390"/>
      <c r="M43" s="389"/>
      <c r="N43" s="390"/>
      <c r="O43" s="389"/>
      <c r="P43" s="585"/>
      <c r="R43" s="585"/>
    </row>
    <row r="44" spans="1:22">
      <c r="N44" s="390"/>
      <c r="O44" s="389"/>
      <c r="P44" s="585"/>
      <c r="R44" s="585"/>
    </row>
  </sheetData>
  <conditionalFormatting sqref="T19">
    <cfRule type="cellIs" dxfId="3" priority="1" operator="notEqual">
      <formula>0</formula>
    </cfRule>
    <cfRule type="cellIs" dxfId="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97322-BED7-4CA7-8F47-A9C5434E0A36}">
  <sheetPr>
    <tabColor rgb="FF002060"/>
    <pageSetUpPr fitToPage="1"/>
  </sheetPr>
  <dimension ref="A1:V44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57031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9.140625" style="4" customWidth="1"/>
    <col min="21" max="21" width="64.140625" style="4" customWidth="1"/>
    <col min="22" max="16384" width="9.140625" style="4"/>
  </cols>
  <sheetData>
    <row r="1" spans="1:22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717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2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413</v>
      </c>
      <c r="D13" s="6">
        <v>376</v>
      </c>
      <c r="F13" s="534">
        <f>'202211 Bk Depr'!R13</f>
        <v>0</v>
      </c>
      <c r="H13" s="1">
        <f>1.62%/12</f>
        <v>1.3500000000000003E-3</v>
      </c>
      <c r="J13" s="278">
        <f>F13*H13</f>
        <v>0</v>
      </c>
      <c r="L13" s="535">
        <f>'Cap&amp;OpEx 2022'!N9</f>
        <v>0</v>
      </c>
      <c r="N13" s="278">
        <f>H13*L13*0.5</f>
        <v>0</v>
      </c>
      <c r="P13" s="278">
        <f>J13+N13</f>
        <v>0</v>
      </c>
      <c r="R13" s="278">
        <f>L13+F13</f>
        <v>0</v>
      </c>
    </row>
    <row r="14" spans="1:22" hidden="1">
      <c r="A14" s="6">
        <f t="shared" ref="A14:A19" si="0">A13+1</f>
        <v>2</v>
      </c>
      <c r="B14" s="4"/>
      <c r="C14" s="4" t="s">
        <v>535</v>
      </c>
      <c r="D14" s="6">
        <v>367</v>
      </c>
      <c r="F14" s="534">
        <f>'202211 Bk Depr'!R14</f>
        <v>0</v>
      </c>
      <c r="H14" s="1">
        <f>2.05%/12</f>
        <v>1.7083333333333332E-3</v>
      </c>
      <c r="J14" s="278">
        <f t="shared" ref="J14:J18" si="1">F14*H14</f>
        <v>0</v>
      </c>
      <c r="L14" s="535">
        <f>'Cap&amp;OpEx 2022'!N10</f>
        <v>0</v>
      </c>
      <c r="N14" s="278">
        <f t="shared" ref="N14:N18" si="2">H14*L14*0.5</f>
        <v>0</v>
      </c>
      <c r="P14" s="278">
        <f t="shared" ref="P14:P18" si="3">J14+N14</f>
        <v>0</v>
      </c>
      <c r="R14" s="27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534">
        <f>'202211 Bk Depr'!R15</f>
        <v>0</v>
      </c>
      <c r="H15" s="1">
        <f>1.62%/12</f>
        <v>1.3500000000000003E-3</v>
      </c>
      <c r="J15" s="278">
        <f t="shared" si="1"/>
        <v>0</v>
      </c>
      <c r="L15" s="279">
        <v>0</v>
      </c>
      <c r="N15" s="278">
        <f t="shared" si="2"/>
        <v>0</v>
      </c>
      <c r="P15" s="278">
        <f t="shared" si="3"/>
        <v>0</v>
      </c>
      <c r="R15" s="278">
        <f t="shared" si="4"/>
        <v>0</v>
      </c>
      <c r="U15" s="488">
        <f>R28</f>
        <v>-556482.17999999959</v>
      </c>
      <c r="V15" s="390" t="s">
        <v>795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534">
        <f>'202211 Bk Depr'!R16</f>
        <v>15927023.710000008</v>
      </c>
      <c r="H16" s="1">
        <f>3.24%/12</f>
        <v>2.7000000000000006E-3</v>
      </c>
      <c r="J16" s="278">
        <f t="shared" si="1"/>
        <v>43002.964017000035</v>
      </c>
      <c r="L16" s="535">
        <f>'Cap&amp;OpEx 2022'!N11</f>
        <v>542980.05999999994</v>
      </c>
      <c r="M16" s="6" t="s">
        <v>1035</v>
      </c>
      <c r="N16" s="278">
        <f t="shared" si="2"/>
        <v>733.02308100000005</v>
      </c>
      <c r="P16" s="278">
        <f t="shared" si="3"/>
        <v>43735.987098000034</v>
      </c>
      <c r="R16" s="278">
        <f t="shared" si="4"/>
        <v>16470003.770000009</v>
      </c>
      <c r="U16" s="488">
        <f>R19</f>
        <v>59068220.280000001</v>
      </c>
      <c r="V16" s="390" t="s">
        <v>664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534">
        <f>'202211 Bk Depr'!R17</f>
        <v>0</v>
      </c>
      <c r="H17" s="1">
        <f>3.24%/12</f>
        <v>2.7000000000000006E-3</v>
      </c>
      <c r="J17" s="278">
        <f t="shared" si="1"/>
        <v>0</v>
      </c>
      <c r="L17" s="535">
        <f>'Cap&amp;OpEx 2022'!N12</f>
        <v>0</v>
      </c>
      <c r="N17" s="278">
        <f t="shared" si="2"/>
        <v>0</v>
      </c>
      <c r="P17" s="278">
        <f t="shared" si="3"/>
        <v>0</v>
      </c>
      <c r="R17" s="278">
        <f t="shared" si="4"/>
        <v>0</v>
      </c>
      <c r="U17" s="488">
        <f>SUM(U15:U16)</f>
        <v>58511738.100000001</v>
      </c>
      <c r="V17" s="390" t="s">
        <v>3</v>
      </c>
    </row>
    <row r="18" spans="1:22">
      <c r="A18" s="6">
        <f t="shared" si="0"/>
        <v>5</v>
      </c>
      <c r="B18" s="4"/>
      <c r="C18" s="4" t="s">
        <v>160</v>
      </c>
      <c r="D18" s="6">
        <v>380</v>
      </c>
      <c r="F18" s="534">
        <f>'202211 Bk Depr'!R18</f>
        <v>41726670.849999994</v>
      </c>
      <c r="H18" s="1">
        <f>3.24%/12</f>
        <v>2.7000000000000006E-3</v>
      </c>
      <c r="J18" s="278">
        <f t="shared" si="1"/>
        <v>112662.011295</v>
      </c>
      <c r="L18" s="535">
        <f>'Cap&amp;OpEx 2022'!N13</f>
        <v>871545.66</v>
      </c>
      <c r="N18" s="278">
        <f t="shared" si="2"/>
        <v>1176.5866410000003</v>
      </c>
      <c r="P18" s="278">
        <f t="shared" si="3"/>
        <v>113838.59793600001</v>
      </c>
      <c r="R18" s="278">
        <f t="shared" si="4"/>
        <v>42598216.50999999</v>
      </c>
      <c r="U18" s="488">
        <f>'Rev Req 2022-Distr'!P11</f>
        <v>58511738.100000001</v>
      </c>
      <c r="V18" s="390" t="s">
        <v>772</v>
      </c>
    </row>
    <row r="19" spans="1:22">
      <c r="A19" s="6">
        <f t="shared" si="0"/>
        <v>6</v>
      </c>
      <c r="B19" s="4"/>
      <c r="C19" s="4" t="s">
        <v>21</v>
      </c>
      <c r="F19" s="276">
        <f>SUM(F13:F18)</f>
        <v>57653694.560000002</v>
      </c>
      <c r="J19" s="276">
        <f>SUM(J13:J18)</f>
        <v>155664.97531200002</v>
      </c>
      <c r="L19" s="276">
        <f>SUM(L13:L18)</f>
        <v>1414525.72</v>
      </c>
      <c r="N19" s="276">
        <f>SUM(N13:N18)</f>
        <v>1909.6097220000004</v>
      </c>
      <c r="P19" s="276">
        <f>SUM(P13:P18)</f>
        <v>157574.58503400005</v>
      </c>
      <c r="R19" s="1008">
        <f>SUM(R13:R18)</f>
        <v>59068220.280000001</v>
      </c>
      <c r="T19" s="1007">
        <f>F19-'Day 4 Report -Dec 2022'!M54</f>
        <v>0</v>
      </c>
      <c r="U19" s="489">
        <f>U17-U18</f>
        <v>0</v>
      </c>
      <c r="V19" s="390" t="s">
        <v>39</v>
      </c>
    </row>
    <row r="20" spans="1:22">
      <c r="B20" s="4"/>
      <c r="T20" s="735" t="s">
        <v>841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413</v>
      </c>
      <c r="D22" s="6">
        <v>376</v>
      </c>
      <c r="F22" s="534">
        <f>'202211 Bk Depr'!R22</f>
        <v>0</v>
      </c>
      <c r="H22" s="1">
        <f>1.62%/12</f>
        <v>1.3500000000000003E-3</v>
      </c>
      <c r="J22" s="278">
        <f>F22*H22</f>
        <v>0</v>
      </c>
      <c r="L22" s="535">
        <f>'Cap&amp;OpEx 2022'!N16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22" hidden="1">
      <c r="A23" s="6">
        <f t="shared" ref="A23:A28" si="5">A22+1</f>
        <v>8</v>
      </c>
      <c r="B23" s="4"/>
      <c r="C23" s="4" t="s">
        <v>535</v>
      </c>
      <c r="D23" s="6">
        <v>367</v>
      </c>
      <c r="F23" s="534">
        <f>'202211 Bk Depr'!R23</f>
        <v>0</v>
      </c>
      <c r="H23" s="1">
        <f>2.05%/12</f>
        <v>1.7083333333333332E-3</v>
      </c>
      <c r="J23" s="278">
        <f t="shared" ref="J23:J27" si="6">F23*H23</f>
        <v>0</v>
      </c>
      <c r="L23" s="535">
        <f>'Cap&amp;OpEx 2022'!N17</f>
        <v>0</v>
      </c>
      <c r="N23" s="486">
        <f t="shared" ref="N23:N27" si="7">H23*L23*0.5</f>
        <v>0</v>
      </c>
      <c r="P23" s="278">
        <f t="shared" ref="P23:P27" si="8">J23+N23</f>
        <v>0</v>
      </c>
      <c r="R23" s="278">
        <f t="shared" ref="R23:R27" si="9">L23+F23</f>
        <v>0</v>
      </c>
      <c r="U23" s="398"/>
      <c r="V23" s="398"/>
    </row>
    <row r="24" spans="1:22">
      <c r="A24" s="6">
        <f>A22+1</f>
        <v>8</v>
      </c>
      <c r="B24" s="4"/>
      <c r="C24" s="9" t="s">
        <v>62</v>
      </c>
      <c r="D24" s="6">
        <v>376</v>
      </c>
      <c r="F24" s="534">
        <f>'202211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7"/>
        <v>0</v>
      </c>
      <c r="P24" s="278">
        <f t="shared" si="8"/>
        <v>0</v>
      </c>
      <c r="R24" s="27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534">
        <f>'202211 Bk Depr'!R25</f>
        <v>-553421.32999999961</v>
      </c>
      <c r="H25" s="1">
        <f>3.24%/12</f>
        <v>2.7000000000000006E-3</v>
      </c>
      <c r="J25" s="278">
        <f t="shared" si="6"/>
        <v>-1494.2375909999992</v>
      </c>
      <c r="L25" s="535">
        <f>'Cap&amp;OpEx 2022'!N18</f>
        <v>0</v>
      </c>
      <c r="N25" s="486">
        <f t="shared" si="7"/>
        <v>0</v>
      </c>
      <c r="P25" s="278">
        <f t="shared" si="8"/>
        <v>-1494.2375909999992</v>
      </c>
      <c r="R25" s="278">
        <f t="shared" si="9"/>
        <v>-553421.32999999961</v>
      </c>
    </row>
    <row r="26" spans="1:22" s="398" customFormat="1">
      <c r="A26" s="397">
        <f t="shared" si="5"/>
        <v>10</v>
      </c>
      <c r="C26" s="399" t="s">
        <v>63</v>
      </c>
      <c r="D26" s="397">
        <v>380</v>
      </c>
      <c r="E26" s="397"/>
      <c r="F26" s="534">
        <f>'202211 Bk Depr'!R26</f>
        <v>0</v>
      </c>
      <c r="G26" s="397"/>
      <c r="H26" s="400">
        <f>3.24%/12</f>
        <v>2.7000000000000006E-3</v>
      </c>
      <c r="I26" s="397"/>
      <c r="J26" s="278">
        <f t="shared" si="6"/>
        <v>0</v>
      </c>
      <c r="K26" s="397"/>
      <c r="L26" s="535">
        <f>'Cap&amp;OpEx 2022'!N19</f>
        <v>0</v>
      </c>
      <c r="M26" s="397"/>
      <c r="N26" s="486">
        <f t="shared" si="7"/>
        <v>0</v>
      </c>
      <c r="O26" s="397"/>
      <c r="P26" s="278">
        <f t="shared" si="8"/>
        <v>0</v>
      </c>
      <c r="Q26" s="397"/>
      <c r="R26" s="27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160</v>
      </c>
      <c r="D27" s="6">
        <v>380</v>
      </c>
      <c r="F27" s="534">
        <f>'202211 Bk Depr'!R27</f>
        <v>-3060.8500000000004</v>
      </c>
      <c r="H27" s="1">
        <f>3.24%/12</f>
        <v>2.7000000000000006E-3</v>
      </c>
      <c r="J27" s="278">
        <f t="shared" si="6"/>
        <v>-8.2642950000000024</v>
      </c>
      <c r="L27" s="535">
        <f>'Cap&amp;OpEx 2022'!N20</f>
        <v>0</v>
      </c>
      <c r="N27" s="486">
        <f t="shared" si="7"/>
        <v>0</v>
      </c>
      <c r="P27" s="278">
        <f t="shared" si="8"/>
        <v>-8.2642950000000024</v>
      </c>
      <c r="R27" s="278">
        <f t="shared" si="9"/>
        <v>-3060.8500000000004</v>
      </c>
      <c r="U27" s="414"/>
      <c r="V27" s="414"/>
    </row>
    <row r="28" spans="1:22">
      <c r="A28" s="6">
        <f t="shared" si="5"/>
        <v>12</v>
      </c>
      <c r="B28" s="4"/>
      <c r="C28" s="4" t="s">
        <v>22</v>
      </c>
      <c r="F28" s="276">
        <f>SUM(F22:F27)</f>
        <v>-556482.17999999959</v>
      </c>
      <c r="J28" s="276">
        <f>SUM(J22:J27)</f>
        <v>-1502.5018859999991</v>
      </c>
      <c r="L28" s="276">
        <f>SUM(L22:L27)</f>
        <v>0</v>
      </c>
      <c r="N28" s="276">
        <f>SUM(N22:N27)</f>
        <v>0</v>
      </c>
      <c r="P28" s="276">
        <f>SUM(P22:P27)</f>
        <v>-1502.5018859999991</v>
      </c>
      <c r="R28" s="276">
        <f>SUM(R22:R27)</f>
        <v>-556482.17999999959</v>
      </c>
    </row>
    <row r="29" spans="1:22">
      <c r="B29" s="4"/>
    </row>
    <row r="30" spans="1:22" s="414" customFormat="1" ht="16.5" thickBot="1">
      <c r="A30" s="6">
        <f>A28+1</f>
        <v>13</v>
      </c>
      <c r="B30" s="11" t="s">
        <v>18</v>
      </c>
      <c r="C30" s="11"/>
      <c r="D30" s="6"/>
      <c r="E30" s="6"/>
      <c r="F30" s="277">
        <f>F19+F28</f>
        <v>57097212.380000003</v>
      </c>
      <c r="G30" s="6"/>
      <c r="H30" s="4"/>
      <c r="I30" s="6"/>
      <c r="J30" s="277">
        <f>J19+J28</f>
        <v>154162.47342600001</v>
      </c>
      <c r="K30" s="6"/>
      <c r="L30" s="277">
        <f>L19+L28</f>
        <v>1414525.72</v>
      </c>
      <c r="M30" s="6"/>
      <c r="N30" s="277">
        <f>N19+N28</f>
        <v>1909.6097220000004</v>
      </c>
      <c r="O30" s="6"/>
      <c r="P30" s="277">
        <f>P19+P28</f>
        <v>156072.08314800003</v>
      </c>
      <c r="Q30" s="6"/>
      <c r="R30" s="277">
        <f>R19+R28</f>
        <v>58511738.100000001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413</v>
      </c>
      <c r="D33" s="6">
        <v>376</v>
      </c>
      <c r="F33" s="534">
        <f>'202211 Bk Depr'!R33</f>
        <v>0</v>
      </c>
      <c r="J33" s="278"/>
      <c r="L33" s="535">
        <f>'Cap&amp;OpEx 2022'!N30</f>
        <v>0</v>
      </c>
      <c r="N33" s="278"/>
      <c r="P33" s="278"/>
      <c r="R33" s="27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535</v>
      </c>
      <c r="D34" s="6">
        <v>367</v>
      </c>
      <c r="F34" s="534">
        <f>'202211 Bk Depr'!R34</f>
        <v>0</v>
      </c>
      <c r="J34" s="278"/>
      <c r="L34" s="535">
        <f>'Cap&amp;OpEx 2022'!N31</f>
        <v>0</v>
      </c>
      <c r="N34" s="278"/>
      <c r="P34" s="278"/>
      <c r="R34" s="278">
        <f t="shared" ref="R34:R38" si="11">L34+F34</f>
        <v>0</v>
      </c>
      <c r="U34" s="398"/>
      <c r="V34" s="398"/>
    </row>
    <row r="35" spans="1:22">
      <c r="A35" s="6">
        <f>A33+1</f>
        <v>15</v>
      </c>
      <c r="B35" s="4"/>
      <c r="C35" s="9" t="s">
        <v>62</v>
      </c>
      <c r="D35" s="6">
        <v>376</v>
      </c>
      <c r="F35" s="534">
        <f>'202211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534">
        <f>'202211 Bk Depr'!R36</f>
        <v>4061790.2</v>
      </c>
      <c r="J36" s="278"/>
      <c r="L36" s="535">
        <f>'Cap&amp;OpEx 2022'!N32</f>
        <v>105916.46999999999</v>
      </c>
      <c r="N36" s="278"/>
      <c r="P36" s="278"/>
      <c r="R36" s="278">
        <f t="shared" si="11"/>
        <v>4167706.6700000004</v>
      </c>
    </row>
    <row r="37" spans="1:22" s="398" customFormat="1">
      <c r="A37" s="397">
        <f t="shared" si="10"/>
        <v>17</v>
      </c>
      <c r="C37" s="399" t="s">
        <v>63</v>
      </c>
      <c r="D37" s="397">
        <v>380</v>
      </c>
      <c r="E37" s="397"/>
      <c r="F37" s="534">
        <f>'202211 Bk Depr'!R37</f>
        <v>0</v>
      </c>
      <c r="G37" s="397"/>
      <c r="I37" s="397"/>
      <c r="J37" s="274"/>
      <c r="K37" s="397"/>
      <c r="L37" s="535">
        <f>'Cap&amp;OpEx 2022'!N33</f>
        <v>0</v>
      </c>
      <c r="M37" s="397"/>
      <c r="N37" s="274"/>
      <c r="O37" s="397"/>
      <c r="P37" s="274"/>
      <c r="Q37" s="397"/>
      <c r="R37" s="27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160</v>
      </c>
      <c r="D38" s="6">
        <v>380</v>
      </c>
      <c r="F38" s="534">
        <f>'202211 Bk Depr'!R38</f>
        <v>58299.95</v>
      </c>
      <c r="J38" s="278"/>
      <c r="L38" s="535">
        <f>'Cap&amp;OpEx 2022'!N34</f>
        <v>4192.6100000000006</v>
      </c>
      <c r="N38" s="278"/>
      <c r="P38" s="278"/>
      <c r="R38" s="278">
        <f t="shared" si="11"/>
        <v>62492.56</v>
      </c>
    </row>
    <row r="39" spans="1:22">
      <c r="A39" s="6">
        <f t="shared" si="10"/>
        <v>19</v>
      </c>
      <c r="B39" s="4"/>
      <c r="C39" s="4" t="s">
        <v>23</v>
      </c>
      <c r="F39" s="276">
        <f>SUM(F33:F38)</f>
        <v>4120090.1500000004</v>
      </c>
      <c r="J39" s="276">
        <f>SUM(J33:J38)</f>
        <v>0</v>
      </c>
      <c r="L39" s="276">
        <f>SUM(L33:L38)</f>
        <v>110109.07999999999</v>
      </c>
      <c r="N39" s="276">
        <f>SUM(N33:N38)</f>
        <v>0</v>
      </c>
      <c r="P39" s="276">
        <f>SUM(P33:P38)</f>
        <v>0</v>
      </c>
      <c r="R39" s="276">
        <f>SUM(R33:R38)</f>
        <v>4230199.2300000004</v>
      </c>
    </row>
    <row r="41" spans="1:22">
      <c r="C41" s="1100" t="s">
        <v>1032</v>
      </c>
    </row>
    <row r="42" spans="1:22">
      <c r="M42" s="389"/>
      <c r="R42" s="390"/>
    </row>
    <row r="43" spans="1:22">
      <c r="L43" s="390"/>
      <c r="M43" s="389"/>
      <c r="N43" s="390"/>
      <c r="O43" s="389"/>
      <c r="P43" s="585"/>
      <c r="R43" s="585"/>
    </row>
    <row r="44" spans="1:22">
      <c r="N44" s="390"/>
      <c r="O44" s="389"/>
      <c r="P44" s="585"/>
      <c r="R44" s="585"/>
    </row>
  </sheetData>
  <conditionalFormatting sqref="T19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9BFA9-4BC0-4296-9BE5-5CA12EE8C6FC}">
  <sheetPr>
    <tabColor rgb="FF002060"/>
    <pageSetUpPr fitToPage="1"/>
  </sheetPr>
  <dimension ref="A1:H16"/>
  <sheetViews>
    <sheetView showGridLines="0" zoomScaleNormal="100" zoomScaleSheetLayoutView="110" workbookViewId="0">
      <selection sqref="A1:G1"/>
    </sheetView>
  </sheetViews>
  <sheetFormatPr defaultRowHeight="12.75"/>
  <cols>
    <col min="1" max="1" width="5.85546875" customWidth="1"/>
    <col min="2" max="2" width="17.42578125" bestFit="1" customWidth="1"/>
    <col min="3" max="3" width="10" customWidth="1"/>
    <col min="4" max="4" width="7.7109375" customWidth="1"/>
    <col min="5" max="5" width="10.5703125" customWidth="1"/>
    <col min="6" max="6" width="14.7109375" customWidth="1"/>
    <col min="7" max="7" width="16.140625" customWidth="1"/>
  </cols>
  <sheetData>
    <row r="1" spans="1:8" ht="18.75">
      <c r="A1" s="1579" t="s">
        <v>65</v>
      </c>
      <c r="B1" s="1579"/>
      <c r="C1" s="1579"/>
      <c r="D1" s="1579"/>
      <c r="E1" s="1579"/>
      <c r="F1" s="1579"/>
      <c r="G1" s="1579"/>
    </row>
    <row r="2" spans="1:8" ht="18.75">
      <c r="A2" s="1579" t="s">
        <v>251</v>
      </c>
      <c r="B2" s="1579"/>
      <c r="C2" s="1579"/>
      <c r="D2" s="1579"/>
      <c r="E2" s="1579"/>
      <c r="F2" s="1579"/>
      <c r="G2" s="1579"/>
    </row>
    <row r="3" spans="1:8" ht="18.75">
      <c r="A3" s="1579" t="s">
        <v>66</v>
      </c>
      <c r="B3" s="1579"/>
      <c r="C3" s="1579"/>
      <c r="D3" s="1579"/>
      <c r="E3" s="1579"/>
      <c r="F3" s="1579"/>
      <c r="G3" s="1579"/>
    </row>
    <row r="6" spans="1:8" ht="15.75">
      <c r="A6" s="66"/>
      <c r="B6" s="26"/>
      <c r="C6" s="26"/>
      <c r="D6" s="26"/>
      <c r="E6" s="26"/>
      <c r="F6" s="26"/>
      <c r="G6" s="43" t="s">
        <v>56</v>
      </c>
    </row>
    <row r="7" spans="1:8" ht="15.75">
      <c r="A7" s="43" t="s">
        <v>4</v>
      </c>
      <c r="B7" s="26"/>
      <c r="C7" s="26"/>
      <c r="D7" s="26"/>
      <c r="E7" s="43" t="s">
        <v>46</v>
      </c>
      <c r="F7" s="43" t="s">
        <v>47</v>
      </c>
      <c r="G7" s="67" t="s">
        <v>74</v>
      </c>
    </row>
    <row r="8" spans="1:8" ht="15.75">
      <c r="A8" s="189" t="s">
        <v>5</v>
      </c>
      <c r="B8" s="189" t="s">
        <v>44</v>
      </c>
      <c r="C8" s="189" t="s">
        <v>45</v>
      </c>
      <c r="D8" s="189" t="s">
        <v>35</v>
      </c>
      <c r="E8" s="189" t="s">
        <v>35</v>
      </c>
      <c r="F8" s="341" t="s">
        <v>457</v>
      </c>
      <c r="G8" s="189" t="s">
        <v>75</v>
      </c>
    </row>
    <row r="9" spans="1:8" ht="15.75">
      <c r="A9" s="66"/>
      <c r="B9" s="26"/>
      <c r="C9" s="26"/>
      <c r="D9" s="26"/>
      <c r="E9" s="26"/>
      <c r="F9" s="26"/>
      <c r="G9" s="26"/>
    </row>
    <row r="10" spans="1:8" ht="15.75">
      <c r="A10" s="66">
        <v>1</v>
      </c>
      <c r="B10" s="26" t="s">
        <v>48</v>
      </c>
      <c r="C10" s="899">
        <f>'ROR 2021'!C21</f>
        <v>1.2622813021079897E-2</v>
      </c>
      <c r="D10" s="899">
        <f>'ROR 2021'!D21</f>
        <v>4.6002316569744824E-3</v>
      </c>
      <c r="E10" s="900">
        <f>C10*D10</f>
        <v>5.8067864059641441E-5</v>
      </c>
      <c r="F10" s="69"/>
      <c r="G10" s="69">
        <f>E10</f>
        <v>5.8067864059641441E-5</v>
      </c>
    </row>
    <row r="11" spans="1:8" ht="15.75">
      <c r="A11" s="66">
        <v>2</v>
      </c>
      <c r="B11" s="71" t="s">
        <v>50</v>
      </c>
      <c r="C11" s="899">
        <f>'ROR 2021'!C22</f>
        <v>0.45547230700144359</v>
      </c>
      <c r="D11" s="899">
        <f>'ROR 2021'!D22</f>
        <v>4.0023828792907258E-2</v>
      </c>
      <c r="E11" s="900">
        <f>C11*D11</f>
        <v>1.8229745635336272E-2</v>
      </c>
      <c r="F11" s="69"/>
      <c r="G11" s="69">
        <f>E11</f>
        <v>1.8229745635336272E-2</v>
      </c>
    </row>
    <row r="12" spans="1:8" ht="15.75">
      <c r="A12" s="188">
        <v>3</v>
      </c>
      <c r="B12" s="185" t="s">
        <v>49</v>
      </c>
      <c r="C12" s="901">
        <f>'ROR 2021'!C23</f>
        <v>0.53190487997747649</v>
      </c>
      <c r="D12" s="901">
        <f>'ROR 2021'!D23</f>
        <v>9.35E-2</v>
      </c>
      <c r="E12" s="902">
        <f>C12*D12</f>
        <v>4.9733106277894054E-2</v>
      </c>
      <c r="F12" s="187">
        <f>E12*(0.2495/(1-0.2495))</f>
        <v>1.6533524338886833E-2</v>
      </c>
      <c r="G12" s="187">
        <f>E12/(1-0.2495)</f>
        <v>6.6266630616780883E-2</v>
      </c>
    </row>
    <row r="13" spans="1:8" ht="15.75">
      <c r="A13" s="66">
        <v>4</v>
      </c>
      <c r="B13" s="26" t="s">
        <v>3</v>
      </c>
      <c r="C13" s="69">
        <f>SUM(C10:C12)</f>
        <v>1</v>
      </c>
      <c r="D13" s="26"/>
      <c r="E13" s="69">
        <f>SUM(E10:E12)</f>
        <v>6.8020919777289968E-2</v>
      </c>
      <c r="F13" s="69">
        <f>SUM(F10:F12)</f>
        <v>1.6533524338886833E-2</v>
      </c>
      <c r="G13" s="69">
        <f>ROUND(SUM(G10:G12),4)</f>
        <v>8.4599999999999995E-2</v>
      </c>
    </row>
    <row r="14" spans="1:8" ht="15.75">
      <c r="A14" s="66"/>
      <c r="B14" s="26"/>
      <c r="C14" s="69"/>
      <c r="D14" s="26"/>
      <c r="E14" s="69"/>
      <c r="F14" s="69"/>
      <c r="G14" s="69"/>
    </row>
    <row r="15" spans="1:8" ht="15.75">
      <c r="A15" s="66"/>
      <c r="B15" s="26"/>
      <c r="C15" s="26"/>
      <c r="D15" s="26"/>
      <c r="E15" s="26"/>
      <c r="F15" s="26"/>
      <c r="G15" s="26"/>
    </row>
    <row r="16" spans="1:8" ht="15.75">
      <c r="A16" s="190" t="s">
        <v>704</v>
      </c>
      <c r="B16" s="190"/>
      <c r="C16" s="190"/>
      <c r="D16" s="190"/>
      <c r="E16" s="190"/>
      <c r="F16" s="190"/>
      <c r="G16" s="190"/>
      <c r="H16" s="190"/>
    </row>
  </sheetData>
  <mergeCells count="3">
    <mergeCell ref="A1:G1"/>
    <mergeCell ref="A2:G2"/>
    <mergeCell ref="A3:G3"/>
  </mergeCells>
  <hyperlinks>
    <hyperlink ref="G8" r:id="rId1" display="^@ 38.9%" xr:uid="{E1F7A8FE-31C7-42A1-BF65-4209C8DDCE87}"/>
  </hyperlinks>
  <printOptions horizontalCentered="1"/>
  <pageMargins left="0.7" right="0.7" top="0.75" bottom="0.75" header="0.3" footer="0.3"/>
  <pageSetup orientation="landscape" blackAndWhite="1" r:id="rId2"/>
  <headerFooter>
    <oddFooter>&amp;L&amp;1#&amp;"Calibri"&amp;14&amp;K000000Business Use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A5ECC-0E0B-4CDD-A059-50A906ACBB59}">
  <sheetPr>
    <tabColor rgb="FF002060"/>
  </sheetPr>
  <dimension ref="A1:Q54"/>
  <sheetViews>
    <sheetView showGridLines="0" workbookViewId="0"/>
  </sheetViews>
  <sheetFormatPr defaultRowHeight="12.75"/>
  <cols>
    <col min="1" max="1" width="22.140625" bestFit="1" customWidth="1"/>
    <col min="2" max="14" width="13.28515625" customWidth="1"/>
  </cols>
  <sheetData>
    <row r="1" spans="1:14">
      <c r="A1" s="28" t="s">
        <v>580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>
      <c r="A2" s="28" t="s">
        <v>12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>
      <c r="A3" s="28" t="s">
        <v>564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14" ht="13.5" thickBot="1">
      <c r="A6" s="623" t="s">
        <v>640</v>
      </c>
      <c r="B6" s="630">
        <v>44562</v>
      </c>
      <c r="C6" s="630">
        <v>44593</v>
      </c>
      <c r="D6" s="630">
        <v>44621</v>
      </c>
      <c r="E6" s="630">
        <v>44652</v>
      </c>
      <c r="F6" s="630">
        <v>44682</v>
      </c>
      <c r="G6" s="630">
        <v>44713</v>
      </c>
      <c r="H6" s="630">
        <v>44743</v>
      </c>
      <c r="I6" s="630">
        <v>44774</v>
      </c>
      <c r="J6" s="630">
        <v>44805</v>
      </c>
      <c r="K6" s="630">
        <v>44835</v>
      </c>
      <c r="L6" s="630">
        <v>44866</v>
      </c>
      <c r="M6" s="630">
        <v>44896</v>
      </c>
      <c r="N6" s="631" t="s">
        <v>3</v>
      </c>
    </row>
    <row r="7" spans="1:14">
      <c r="A7" s="626" t="s">
        <v>775</v>
      </c>
      <c r="B7" s="628">
        <v>0</v>
      </c>
      <c r="C7" s="628">
        <v>0</v>
      </c>
      <c r="D7" s="628">
        <v>0</v>
      </c>
      <c r="E7" s="628">
        <v>0</v>
      </c>
      <c r="F7" s="628">
        <v>0</v>
      </c>
      <c r="G7" s="628">
        <v>0</v>
      </c>
      <c r="H7" s="628">
        <v>0</v>
      </c>
      <c r="I7" s="628">
        <v>0</v>
      </c>
      <c r="J7" s="628">
        <v>0</v>
      </c>
      <c r="K7" s="628">
        <v>0</v>
      </c>
      <c r="L7" s="628">
        <v>0</v>
      </c>
      <c r="M7" s="628">
        <v>0</v>
      </c>
      <c r="N7" s="629">
        <f>SUM(B7:M7)</f>
        <v>0</v>
      </c>
    </row>
    <row r="8" spans="1:14">
      <c r="A8" s="621" t="s">
        <v>807</v>
      </c>
      <c r="B8" s="628">
        <v>0</v>
      </c>
      <c r="C8" s="628">
        <v>0</v>
      </c>
      <c r="D8" s="628">
        <v>0</v>
      </c>
      <c r="E8" s="628">
        <v>0</v>
      </c>
      <c r="F8" s="628">
        <v>0</v>
      </c>
      <c r="G8" s="628">
        <v>0</v>
      </c>
      <c r="H8" s="628">
        <v>0</v>
      </c>
      <c r="I8" s="628">
        <v>0</v>
      </c>
      <c r="J8" s="628">
        <v>0</v>
      </c>
      <c r="K8" s="628">
        <v>0</v>
      </c>
      <c r="L8" s="628">
        <v>0</v>
      </c>
      <c r="M8" s="628">
        <v>0</v>
      </c>
      <c r="N8" s="622">
        <f>SUM(B8:M8)</f>
        <v>0</v>
      </c>
    </row>
    <row r="9" spans="1:14">
      <c r="A9" s="621" t="s">
        <v>77</v>
      </c>
      <c r="B9" s="628">
        <v>0</v>
      </c>
      <c r="C9" s="628">
        <v>0</v>
      </c>
      <c r="D9" s="628">
        <v>30509.43</v>
      </c>
      <c r="E9" s="628">
        <v>0</v>
      </c>
      <c r="F9" s="628">
        <v>0</v>
      </c>
      <c r="G9" s="628">
        <v>0</v>
      </c>
      <c r="H9" s="628">
        <v>0</v>
      </c>
      <c r="I9" s="628">
        <v>0</v>
      </c>
      <c r="J9" s="628">
        <v>0</v>
      </c>
      <c r="K9" s="628">
        <v>30242.22</v>
      </c>
      <c r="L9" s="628">
        <v>0</v>
      </c>
      <c r="M9" s="628">
        <v>0</v>
      </c>
      <c r="N9" s="622">
        <f>SUM(B9:M9)</f>
        <v>60751.65</v>
      </c>
    </row>
    <row r="10" spans="1:14">
      <c r="A10" s="633" t="s">
        <v>806</v>
      </c>
      <c r="B10" s="628">
        <v>0</v>
      </c>
      <c r="C10" s="628">
        <v>0</v>
      </c>
      <c r="D10" s="628">
        <v>0</v>
      </c>
      <c r="E10" s="628">
        <v>0</v>
      </c>
      <c r="F10" s="628">
        <v>0</v>
      </c>
      <c r="G10" s="628">
        <v>0</v>
      </c>
      <c r="H10" s="628">
        <v>0</v>
      </c>
      <c r="I10" s="628">
        <v>0</v>
      </c>
      <c r="J10" s="628">
        <v>0</v>
      </c>
      <c r="K10" s="628">
        <v>0</v>
      </c>
      <c r="L10" s="628">
        <v>0</v>
      </c>
      <c r="M10" s="628">
        <v>0</v>
      </c>
      <c r="N10" s="622">
        <f>SUM(B10:M10)</f>
        <v>0</v>
      </c>
    </row>
    <row r="11" spans="1:14" ht="13.5" thickBot="1">
      <c r="A11" s="623" t="s">
        <v>159</v>
      </c>
      <c r="B11" s="632">
        <v>0</v>
      </c>
      <c r="C11" s="632">
        <v>0</v>
      </c>
      <c r="D11" s="632">
        <v>1909.69</v>
      </c>
      <c r="E11" s="632">
        <v>0</v>
      </c>
      <c r="F11" s="632">
        <v>0</v>
      </c>
      <c r="G11" s="632">
        <v>0</v>
      </c>
      <c r="H11" s="632">
        <v>0</v>
      </c>
      <c r="I11" s="632">
        <v>0</v>
      </c>
      <c r="J11" s="632">
        <v>0</v>
      </c>
      <c r="K11" s="632">
        <v>1151.1600000000001</v>
      </c>
      <c r="L11" s="632">
        <v>0</v>
      </c>
      <c r="M11" s="632">
        <v>0</v>
      </c>
      <c r="N11" s="624">
        <f>SUM(B11:M11)</f>
        <v>3060.8500000000004</v>
      </c>
    </row>
    <row r="12" spans="1:14">
      <c r="A12" s="625" t="s">
        <v>3</v>
      </c>
      <c r="B12" s="627">
        <f t="shared" ref="B12:N12" si="0">SUM(B7:B11)</f>
        <v>0</v>
      </c>
      <c r="C12" s="627">
        <f t="shared" si="0"/>
        <v>0</v>
      </c>
      <c r="D12" s="627">
        <f t="shared" si="0"/>
        <v>32419.119999999999</v>
      </c>
      <c r="E12" s="627">
        <f t="shared" si="0"/>
        <v>0</v>
      </c>
      <c r="F12" s="627">
        <f t="shared" si="0"/>
        <v>0</v>
      </c>
      <c r="G12" s="627">
        <f t="shared" si="0"/>
        <v>0</v>
      </c>
      <c r="H12" s="627">
        <f t="shared" si="0"/>
        <v>0</v>
      </c>
      <c r="I12" s="627">
        <f t="shared" si="0"/>
        <v>0</v>
      </c>
      <c r="J12" s="627">
        <f t="shared" si="0"/>
        <v>0</v>
      </c>
      <c r="K12" s="627">
        <f t="shared" si="0"/>
        <v>31393.38</v>
      </c>
      <c r="L12" s="627">
        <f t="shared" si="0"/>
        <v>0</v>
      </c>
      <c r="M12" s="627">
        <f t="shared" si="0"/>
        <v>0</v>
      </c>
      <c r="N12" s="627">
        <f t="shared" si="0"/>
        <v>63812.5</v>
      </c>
    </row>
    <row r="13" spans="1:14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</row>
    <row r="14" spans="1:14" ht="13.5" thickBot="1">
      <c r="A14" s="623" t="s">
        <v>641</v>
      </c>
      <c r="B14" s="630">
        <v>44562</v>
      </c>
      <c r="C14" s="630">
        <v>44593</v>
      </c>
      <c r="D14" s="630">
        <v>44621</v>
      </c>
      <c r="E14" s="630">
        <v>44652</v>
      </c>
      <c r="F14" s="630">
        <v>44682</v>
      </c>
      <c r="G14" s="630">
        <v>44713</v>
      </c>
      <c r="H14" s="630">
        <v>44743</v>
      </c>
      <c r="I14" s="630">
        <v>44774</v>
      </c>
      <c r="J14" s="630">
        <v>44805</v>
      </c>
      <c r="K14" s="630">
        <v>44835</v>
      </c>
      <c r="L14" s="630">
        <v>44866</v>
      </c>
      <c r="M14" s="630">
        <v>44896</v>
      </c>
      <c r="N14" s="631" t="s">
        <v>3</v>
      </c>
    </row>
    <row r="15" spans="1:14">
      <c r="A15" s="626" t="s">
        <v>775</v>
      </c>
      <c r="B15" s="628">
        <v>0</v>
      </c>
      <c r="C15" s="628">
        <v>0</v>
      </c>
      <c r="D15" s="628">
        <v>0</v>
      </c>
      <c r="E15" s="628">
        <v>0</v>
      </c>
      <c r="F15" s="628">
        <v>0</v>
      </c>
      <c r="G15" s="628">
        <v>0</v>
      </c>
      <c r="H15" s="628">
        <v>0</v>
      </c>
      <c r="I15" s="628">
        <v>0</v>
      </c>
      <c r="J15" s="628">
        <v>0</v>
      </c>
      <c r="K15" s="628">
        <v>0</v>
      </c>
      <c r="L15" s="628">
        <v>0</v>
      </c>
      <c r="M15" s="628">
        <v>0</v>
      </c>
      <c r="N15" s="622">
        <f>SUM(B15:M15)</f>
        <v>0</v>
      </c>
    </row>
    <row r="16" spans="1:14">
      <c r="A16" s="621" t="s">
        <v>807</v>
      </c>
      <c r="B16" s="628">
        <v>0</v>
      </c>
      <c r="C16" s="628">
        <v>0</v>
      </c>
      <c r="D16" s="628">
        <v>0</v>
      </c>
      <c r="E16" s="628">
        <v>0</v>
      </c>
      <c r="F16" s="628">
        <v>0</v>
      </c>
      <c r="G16" s="628">
        <v>0</v>
      </c>
      <c r="H16" s="628">
        <v>0</v>
      </c>
      <c r="I16" s="628">
        <v>0</v>
      </c>
      <c r="J16" s="628">
        <v>0</v>
      </c>
      <c r="K16" s="628">
        <v>0</v>
      </c>
      <c r="L16" s="628">
        <v>0</v>
      </c>
      <c r="M16" s="628">
        <v>0</v>
      </c>
      <c r="N16" s="622">
        <f>SUM(B16:M16)</f>
        <v>0</v>
      </c>
    </row>
    <row r="17" spans="1:14">
      <c r="A17" s="621" t="s">
        <v>77</v>
      </c>
      <c r="B17" s="628">
        <v>0</v>
      </c>
      <c r="C17" s="628">
        <v>0</v>
      </c>
      <c r="D17" s="628">
        <v>-29732.3</v>
      </c>
      <c r="E17" s="628">
        <v>0</v>
      </c>
      <c r="F17" s="628">
        <v>0</v>
      </c>
      <c r="G17" s="628">
        <v>0</v>
      </c>
      <c r="H17" s="628">
        <v>0</v>
      </c>
      <c r="I17" s="628">
        <v>0</v>
      </c>
      <c r="J17" s="628">
        <v>0</v>
      </c>
      <c r="K17" s="628">
        <v>-25505.78</v>
      </c>
      <c r="L17" s="628">
        <v>0</v>
      </c>
      <c r="M17" s="628">
        <v>0</v>
      </c>
      <c r="N17" s="622">
        <f>SUM(B17:M17)</f>
        <v>-55238.080000000002</v>
      </c>
    </row>
    <row r="18" spans="1:14">
      <c r="A18" s="633" t="s">
        <v>806</v>
      </c>
      <c r="B18" s="628">
        <v>0</v>
      </c>
      <c r="C18" s="628">
        <v>0</v>
      </c>
      <c r="D18" s="628">
        <v>0</v>
      </c>
      <c r="E18" s="628">
        <v>0</v>
      </c>
      <c r="F18" s="628">
        <v>0</v>
      </c>
      <c r="G18" s="628">
        <v>0</v>
      </c>
      <c r="H18" s="628">
        <v>0</v>
      </c>
      <c r="I18" s="628">
        <v>0</v>
      </c>
      <c r="J18" s="628">
        <v>0</v>
      </c>
      <c r="K18" s="628">
        <v>0</v>
      </c>
      <c r="L18" s="628">
        <v>0</v>
      </c>
      <c r="M18" s="628">
        <v>0</v>
      </c>
      <c r="N18" s="622">
        <f>SUM(B18:M18)</f>
        <v>0</v>
      </c>
    </row>
    <row r="19" spans="1:14" ht="13.5" thickBot="1">
      <c r="A19" s="623" t="s">
        <v>159</v>
      </c>
      <c r="B19" s="632">
        <v>0</v>
      </c>
      <c r="C19" s="632">
        <v>0</v>
      </c>
      <c r="D19" s="632">
        <v>-1909.69</v>
      </c>
      <c r="E19" s="632">
        <v>0</v>
      </c>
      <c r="F19" s="632">
        <v>0</v>
      </c>
      <c r="G19" s="632">
        <v>0</v>
      </c>
      <c r="H19" s="632">
        <v>0</v>
      </c>
      <c r="I19" s="632">
        <v>0</v>
      </c>
      <c r="J19" s="632">
        <v>0</v>
      </c>
      <c r="K19" s="632">
        <v>-813.62</v>
      </c>
      <c r="L19" s="632">
        <v>0</v>
      </c>
      <c r="M19" s="632">
        <v>0</v>
      </c>
      <c r="N19" s="624">
        <f>SUM(B19:M19)</f>
        <v>-2723.31</v>
      </c>
    </row>
    <row r="20" spans="1:14">
      <c r="A20" s="625" t="s">
        <v>3</v>
      </c>
      <c r="B20" s="627">
        <f t="shared" ref="B20:N20" si="1">SUM(B15:B19)</f>
        <v>0</v>
      </c>
      <c r="C20" s="627">
        <f t="shared" si="1"/>
        <v>0</v>
      </c>
      <c r="D20" s="627">
        <f t="shared" si="1"/>
        <v>-31641.989999999998</v>
      </c>
      <c r="E20" s="627">
        <f t="shared" si="1"/>
        <v>0</v>
      </c>
      <c r="F20" s="627">
        <f t="shared" si="1"/>
        <v>0</v>
      </c>
      <c r="G20" s="627">
        <f t="shared" si="1"/>
        <v>0</v>
      </c>
      <c r="H20" s="627">
        <f t="shared" si="1"/>
        <v>0</v>
      </c>
      <c r="I20" s="627">
        <f t="shared" si="1"/>
        <v>0</v>
      </c>
      <c r="J20" s="627">
        <f t="shared" si="1"/>
        <v>0</v>
      </c>
      <c r="K20" s="627">
        <f t="shared" si="1"/>
        <v>-26319.399999999998</v>
      </c>
      <c r="L20" s="627">
        <f t="shared" si="1"/>
        <v>0</v>
      </c>
      <c r="M20" s="627">
        <f t="shared" si="1"/>
        <v>0</v>
      </c>
      <c r="N20" s="627">
        <f t="shared" si="1"/>
        <v>-57961.39</v>
      </c>
    </row>
    <row r="25" spans="1:14" ht="30">
      <c r="A25" s="942" t="s">
        <v>6</v>
      </c>
      <c r="B25" s="942" t="s">
        <v>780</v>
      </c>
      <c r="C25" s="942" t="s">
        <v>626</v>
      </c>
      <c r="D25" s="944" t="s">
        <v>35</v>
      </c>
      <c r="E25" s="944" t="s">
        <v>781</v>
      </c>
      <c r="F25" s="944" t="s">
        <v>782</v>
      </c>
      <c r="G25" s="944" t="s">
        <v>820</v>
      </c>
      <c r="H25" s="945" t="s">
        <v>821</v>
      </c>
    </row>
    <row r="26" spans="1:14">
      <c r="A26" t="s">
        <v>159</v>
      </c>
      <c r="B26" t="s">
        <v>113</v>
      </c>
      <c r="C26" s="941">
        <v>380</v>
      </c>
      <c r="D26" s="937">
        <v>513.41</v>
      </c>
      <c r="E26" s="663">
        <v>-513.41</v>
      </c>
      <c r="F26" s="663">
        <v>0</v>
      </c>
    </row>
    <row r="27" spans="1:14">
      <c r="A27" t="s">
        <v>159</v>
      </c>
      <c r="B27" t="s">
        <v>113</v>
      </c>
      <c r="C27" s="941">
        <v>380</v>
      </c>
      <c r="D27" s="937">
        <v>256.7</v>
      </c>
      <c r="E27" s="663">
        <v>-256.7</v>
      </c>
      <c r="F27" s="663">
        <v>0</v>
      </c>
    </row>
    <row r="28" spans="1:14">
      <c r="A28" t="s">
        <v>159</v>
      </c>
      <c r="B28" t="s">
        <v>115</v>
      </c>
      <c r="C28" s="941">
        <v>380</v>
      </c>
      <c r="D28" s="937">
        <v>224.62</v>
      </c>
      <c r="E28" s="663">
        <v>-224.62</v>
      </c>
      <c r="F28" s="663">
        <v>0</v>
      </c>
      <c r="J28" s="722" t="s">
        <v>6</v>
      </c>
      <c r="K28" t="s">
        <v>822</v>
      </c>
      <c r="L28" t="s">
        <v>823</v>
      </c>
    </row>
    <row r="29" spans="1:14">
      <c r="A29" t="s">
        <v>77</v>
      </c>
      <c r="B29" t="s">
        <v>127</v>
      </c>
      <c r="C29" s="941">
        <v>380</v>
      </c>
      <c r="D29" s="937">
        <v>80.22</v>
      </c>
      <c r="E29" s="663">
        <v>-80.22</v>
      </c>
      <c r="F29" s="663">
        <v>0</v>
      </c>
      <c r="J29" s="722" t="s">
        <v>159</v>
      </c>
      <c r="K29" s="663">
        <v>1909.69</v>
      </c>
      <c r="L29" s="663">
        <v>-1909.69</v>
      </c>
    </row>
    <row r="30" spans="1:14">
      <c r="A30" t="s">
        <v>77</v>
      </c>
      <c r="B30" t="s">
        <v>127</v>
      </c>
      <c r="C30" s="941">
        <v>380</v>
      </c>
      <c r="D30" s="937">
        <v>946.59</v>
      </c>
      <c r="E30" s="663">
        <v>-946.59</v>
      </c>
      <c r="F30" s="663">
        <v>0</v>
      </c>
      <c r="J30" s="722" t="s">
        <v>77</v>
      </c>
      <c r="K30" s="665">
        <v>30509.43</v>
      </c>
      <c r="L30" s="665">
        <v>-29732.301973279998</v>
      </c>
      <c r="N30" s="359" t="s">
        <v>824</v>
      </c>
    </row>
    <row r="31" spans="1:14">
      <c r="A31" t="s">
        <v>77</v>
      </c>
      <c r="B31" t="s">
        <v>129</v>
      </c>
      <c r="C31" s="941">
        <v>380</v>
      </c>
      <c r="D31" s="937">
        <v>96.26</v>
      </c>
      <c r="E31" s="663">
        <v>-96.26</v>
      </c>
      <c r="F31" s="663">
        <v>0</v>
      </c>
      <c r="J31" s="722" t="s">
        <v>321</v>
      </c>
      <c r="K31" s="663">
        <v>32419.119999999999</v>
      </c>
      <c r="L31" s="663">
        <v>-31641.991973279997</v>
      </c>
    </row>
    <row r="32" spans="1:14">
      <c r="A32" t="s">
        <v>77</v>
      </c>
      <c r="B32" t="s">
        <v>127</v>
      </c>
      <c r="C32" s="941">
        <v>380</v>
      </c>
      <c r="D32" s="937">
        <v>2932.68</v>
      </c>
      <c r="E32" s="663">
        <v>-2932.68</v>
      </c>
      <c r="F32" s="663">
        <v>0</v>
      </c>
    </row>
    <row r="33" spans="1:17">
      <c r="A33" t="s">
        <v>159</v>
      </c>
      <c r="B33" t="s">
        <v>119</v>
      </c>
      <c r="C33" s="941">
        <v>380</v>
      </c>
      <c r="D33" s="937">
        <v>914.96</v>
      </c>
      <c r="E33" s="663">
        <v>-914.96</v>
      </c>
      <c r="F33" s="663">
        <v>0</v>
      </c>
    </row>
    <row r="34" spans="1:17">
      <c r="A34" t="s">
        <v>77</v>
      </c>
      <c r="B34" t="s">
        <v>127</v>
      </c>
      <c r="C34" s="941">
        <v>380</v>
      </c>
      <c r="D34" s="937">
        <v>17095.2</v>
      </c>
      <c r="E34" s="663">
        <v>-17095.2</v>
      </c>
      <c r="F34" s="663">
        <v>0</v>
      </c>
    </row>
    <row r="35" spans="1:17">
      <c r="A35" t="s">
        <v>77</v>
      </c>
      <c r="B35" t="s">
        <v>129</v>
      </c>
      <c r="C35" s="941">
        <v>380</v>
      </c>
      <c r="D35" s="937">
        <v>83.18</v>
      </c>
      <c r="E35" s="663">
        <v>-83.18</v>
      </c>
      <c r="F35" s="663">
        <v>0</v>
      </c>
    </row>
    <row r="36" spans="1:17">
      <c r="A36" t="s">
        <v>77</v>
      </c>
      <c r="B36" t="s">
        <v>127</v>
      </c>
      <c r="C36" s="941">
        <v>380</v>
      </c>
      <c r="D36" s="937">
        <v>8076.28</v>
      </c>
      <c r="E36" s="663">
        <v>-8076.28</v>
      </c>
      <c r="F36" s="663">
        <v>0</v>
      </c>
    </row>
    <row r="37" spans="1:17">
      <c r="A37" t="s">
        <v>77</v>
      </c>
      <c r="B37" t="s">
        <v>342</v>
      </c>
      <c r="C37" s="941">
        <v>380</v>
      </c>
      <c r="D37" s="938">
        <v>388.88</v>
      </c>
      <c r="E37" s="663">
        <v>-136.83287231999998</v>
      </c>
      <c r="F37" s="663">
        <v>252.04712768000002</v>
      </c>
    </row>
    <row r="38" spans="1:17">
      <c r="A38" t="s">
        <v>77</v>
      </c>
      <c r="B38" t="s">
        <v>129</v>
      </c>
      <c r="C38" s="941">
        <v>380</v>
      </c>
      <c r="D38" s="939">
        <v>810.14</v>
      </c>
      <c r="E38" s="665">
        <v>-285.05910095999997</v>
      </c>
      <c r="F38" s="665">
        <v>525.08089904000008</v>
      </c>
      <c r="G38" s="666"/>
      <c r="H38" s="666"/>
    </row>
    <row r="39" spans="1:17">
      <c r="D39" s="663">
        <v>32419.119999999999</v>
      </c>
      <c r="E39" s="663">
        <v>-31641.991973279997</v>
      </c>
      <c r="F39" s="663">
        <v>777.12802672000009</v>
      </c>
      <c r="G39" s="664">
        <v>3.2399999999999998E-2</v>
      </c>
      <c r="H39" s="663">
        <v>87.531623999999979</v>
      </c>
      <c r="Q39" s="663"/>
    </row>
    <row r="40" spans="1:17">
      <c r="D40" s="663"/>
      <c r="E40" s="663"/>
      <c r="F40" s="663"/>
    </row>
    <row r="41" spans="1:17" ht="30">
      <c r="A41" s="942" t="s">
        <v>6</v>
      </c>
      <c r="B41" s="942" t="s">
        <v>780</v>
      </c>
      <c r="C41" s="942" t="s">
        <v>626</v>
      </c>
      <c r="D41" s="943" t="s">
        <v>35</v>
      </c>
      <c r="E41" s="943" t="s">
        <v>781</v>
      </c>
      <c r="F41" s="943" t="s">
        <v>782</v>
      </c>
      <c r="G41" s="944" t="s">
        <v>820</v>
      </c>
      <c r="H41" s="945" t="s">
        <v>821</v>
      </c>
    </row>
    <row r="42" spans="1:17">
      <c r="A42" t="s">
        <v>77</v>
      </c>
      <c r="B42" t="s">
        <v>747</v>
      </c>
      <c r="C42" s="941">
        <v>380</v>
      </c>
      <c r="D42" s="937">
        <v>1163.02</v>
      </c>
      <c r="E42" s="663">
        <v>-1163.02</v>
      </c>
      <c r="F42" s="663">
        <v>0</v>
      </c>
    </row>
    <row r="43" spans="1:17">
      <c r="A43" t="s">
        <v>77</v>
      </c>
      <c r="B43" t="s">
        <v>753</v>
      </c>
      <c r="C43" s="941">
        <v>380</v>
      </c>
      <c r="D43" s="937">
        <v>96.92</v>
      </c>
      <c r="E43" s="663">
        <v>-96.92</v>
      </c>
      <c r="F43" s="663">
        <v>0</v>
      </c>
    </row>
    <row r="44" spans="1:17">
      <c r="A44" t="s">
        <v>77</v>
      </c>
      <c r="B44" t="s">
        <v>747</v>
      </c>
      <c r="C44" s="941">
        <v>380</v>
      </c>
      <c r="D44" s="937">
        <v>13615.970000000001</v>
      </c>
      <c r="E44" s="663">
        <v>-13615.970000000001</v>
      </c>
      <c r="F44" s="663">
        <v>0</v>
      </c>
      <c r="J44" s="722" t="s">
        <v>6</v>
      </c>
      <c r="K44" t="s">
        <v>822</v>
      </c>
      <c r="L44" t="s">
        <v>823</v>
      </c>
    </row>
    <row r="45" spans="1:17">
      <c r="A45" t="s">
        <v>159</v>
      </c>
      <c r="B45" t="s">
        <v>749</v>
      </c>
      <c r="C45" s="941">
        <v>380</v>
      </c>
      <c r="D45" s="937">
        <v>109.81</v>
      </c>
      <c r="E45" s="663">
        <v>-109.81</v>
      </c>
      <c r="F45" s="663">
        <v>0</v>
      </c>
      <c r="J45" s="722" t="s">
        <v>159</v>
      </c>
      <c r="K45" s="663">
        <v>1151.1599999999999</v>
      </c>
      <c r="L45" s="663">
        <v>-813.62097640000002</v>
      </c>
    </row>
    <row r="46" spans="1:17">
      <c r="A46" t="s">
        <v>77</v>
      </c>
      <c r="B46" t="s">
        <v>753</v>
      </c>
      <c r="C46" s="941">
        <v>380</v>
      </c>
      <c r="D46" s="937">
        <v>109.81</v>
      </c>
      <c r="E46" s="663">
        <v>-109.81</v>
      </c>
      <c r="F46" s="663">
        <v>0</v>
      </c>
      <c r="J46" s="722" t="s">
        <v>77</v>
      </c>
      <c r="K46" s="665">
        <v>30242.22</v>
      </c>
      <c r="L46" s="665">
        <v>-25505.77562416</v>
      </c>
      <c r="N46" s="359" t="s">
        <v>825</v>
      </c>
    </row>
    <row r="47" spans="1:17">
      <c r="A47" t="s">
        <v>77</v>
      </c>
      <c r="B47" t="s">
        <v>747</v>
      </c>
      <c r="C47" s="941">
        <v>380</v>
      </c>
      <c r="D47" s="937">
        <v>465.13</v>
      </c>
      <c r="E47" s="663">
        <v>-465.13</v>
      </c>
      <c r="F47" s="663">
        <v>0</v>
      </c>
      <c r="J47" s="722" t="s">
        <v>321</v>
      </c>
      <c r="K47" s="663">
        <v>31393.38</v>
      </c>
      <c r="L47" s="663">
        <v>-26319.396600560001</v>
      </c>
    </row>
    <row r="48" spans="1:17">
      <c r="A48" t="s">
        <v>77</v>
      </c>
      <c r="B48" t="s">
        <v>747</v>
      </c>
      <c r="C48" s="941">
        <v>380</v>
      </c>
      <c r="D48" s="937">
        <v>560.43000000000006</v>
      </c>
      <c r="E48" s="663">
        <v>-560.43000000000006</v>
      </c>
      <c r="F48" s="663">
        <v>0</v>
      </c>
    </row>
    <row r="49" spans="1:17">
      <c r="A49" t="s">
        <v>77</v>
      </c>
      <c r="B49" t="s">
        <v>747</v>
      </c>
      <c r="C49" s="941">
        <v>380</v>
      </c>
      <c r="D49" s="937">
        <v>10413.52</v>
      </c>
      <c r="E49" s="663">
        <v>-7038.1232812799999</v>
      </c>
      <c r="F49" s="663">
        <v>3375.3967187200005</v>
      </c>
    </row>
    <row r="50" spans="1:17">
      <c r="A50" t="s">
        <v>159</v>
      </c>
      <c r="B50" t="s">
        <v>749</v>
      </c>
      <c r="C50" s="941">
        <v>380</v>
      </c>
      <c r="D50" s="937">
        <v>1041.3499999999999</v>
      </c>
      <c r="E50" s="663">
        <v>-703.81097639999996</v>
      </c>
      <c r="F50" s="663">
        <v>337.53902359999995</v>
      </c>
    </row>
    <row r="51" spans="1:17">
      <c r="A51" t="s">
        <v>77</v>
      </c>
      <c r="B51" t="s">
        <v>753</v>
      </c>
      <c r="C51" s="941">
        <v>380</v>
      </c>
      <c r="D51" s="940">
        <v>3817.42</v>
      </c>
      <c r="E51" s="665">
        <v>-2456.3723428799999</v>
      </c>
      <c r="F51" s="665">
        <v>1361.0476571200002</v>
      </c>
      <c r="G51" s="666"/>
      <c r="H51" s="666"/>
      <c r="Q51" s="663"/>
    </row>
    <row r="52" spans="1:17">
      <c r="D52" s="663">
        <v>31393.379999999997</v>
      </c>
      <c r="E52" s="663">
        <v>-26319.396600560001</v>
      </c>
      <c r="F52" s="663">
        <v>5073.9833994400005</v>
      </c>
      <c r="G52" s="664">
        <v>3.2399999999999998E-2</v>
      </c>
      <c r="H52" s="663">
        <v>84.762125999999981</v>
      </c>
      <c r="Q52" s="663"/>
    </row>
    <row r="54" spans="1:17">
      <c r="Q54" s="663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B12:M12 B20:M20" formulaRange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758B-FA44-429A-869B-8E98BBC390BC}">
  <sheetPr>
    <tabColor rgb="FF002060"/>
    <pageSetUpPr fitToPage="1"/>
  </sheetPr>
  <dimension ref="A1:L27"/>
  <sheetViews>
    <sheetView showGridLines="0" workbookViewId="0">
      <selection sqref="A1:H1"/>
    </sheetView>
  </sheetViews>
  <sheetFormatPr defaultColWidth="9.140625" defaultRowHeight="15.75" outlineLevelRow="1"/>
  <cols>
    <col min="1" max="1" width="33.42578125" style="601" bestFit="1" customWidth="1"/>
    <col min="2" max="2" width="18.140625" style="601" bestFit="1" customWidth="1"/>
    <col min="3" max="3" width="15.5703125" style="601" bestFit="1" customWidth="1"/>
    <col min="4" max="4" width="16.85546875" style="497" bestFit="1" customWidth="1"/>
    <col min="5" max="5" width="17.5703125" style="601" bestFit="1" customWidth="1"/>
    <col min="6" max="6" width="9.5703125" style="601" bestFit="1" customWidth="1"/>
    <col min="7" max="7" width="9.140625" style="601"/>
    <col min="8" max="9" width="14" style="601" bestFit="1" customWidth="1"/>
    <col min="10" max="11" width="16.85546875" style="601" bestFit="1" customWidth="1"/>
    <col min="12" max="12" width="17.5703125" style="601" bestFit="1" customWidth="1"/>
    <col min="13" max="14" width="9.140625" style="601"/>
    <col min="15" max="15" width="15.5703125" style="601" bestFit="1" customWidth="1"/>
    <col min="16" max="16384" width="9.140625" style="601"/>
  </cols>
  <sheetData>
    <row r="1" spans="1:12">
      <c r="A1" s="1584" t="s">
        <v>669</v>
      </c>
      <c r="B1" s="1584"/>
      <c r="C1" s="1584"/>
      <c r="D1" s="1584"/>
      <c r="E1" s="1584"/>
      <c r="F1" s="1584"/>
      <c r="G1" s="1584"/>
      <c r="H1" s="1584"/>
    </row>
    <row r="2" spans="1:12">
      <c r="A2" s="1584" t="s">
        <v>670</v>
      </c>
      <c r="B2" s="1584"/>
      <c r="C2" s="1584"/>
      <c r="D2" s="1584"/>
      <c r="E2" s="1584"/>
      <c r="F2" s="1584"/>
      <c r="G2" s="1584"/>
      <c r="H2" s="1584"/>
    </row>
    <row r="3" spans="1:12">
      <c r="A3" s="1584" t="s">
        <v>671</v>
      </c>
      <c r="B3" s="1584"/>
      <c r="C3" s="1584"/>
      <c r="D3" s="1584"/>
      <c r="E3" s="1584"/>
      <c r="F3" s="1584"/>
      <c r="G3" s="1584"/>
      <c r="H3" s="1584"/>
    </row>
    <row r="4" spans="1:12">
      <c r="A4" s="1585" t="s">
        <v>796</v>
      </c>
      <c r="B4" s="1584"/>
      <c r="C4" s="1584"/>
      <c r="D4" s="1584"/>
      <c r="E4" s="1584"/>
      <c r="F4" s="1584"/>
      <c r="G4" s="1584"/>
      <c r="H4" s="1584"/>
    </row>
    <row r="5" spans="1:12">
      <c r="A5" s="602"/>
      <c r="B5" s="602"/>
      <c r="C5" s="602"/>
      <c r="D5" s="491"/>
      <c r="E5" s="602"/>
      <c r="F5" s="602"/>
      <c r="G5" s="602"/>
      <c r="H5" s="602"/>
    </row>
    <row r="6" spans="1:12">
      <c r="A6" s="603"/>
      <c r="B6" s="602" t="s">
        <v>672</v>
      </c>
      <c r="C6" s="602" t="s">
        <v>672</v>
      </c>
      <c r="D6" s="491"/>
      <c r="E6" s="602" t="s">
        <v>673</v>
      </c>
      <c r="F6" s="602"/>
      <c r="G6" s="602"/>
      <c r="H6" s="602" t="s">
        <v>161</v>
      </c>
    </row>
    <row r="7" spans="1:12">
      <c r="A7" s="603"/>
      <c r="B7" s="602" t="s">
        <v>674</v>
      </c>
      <c r="C7" s="602" t="s">
        <v>675</v>
      </c>
      <c r="D7" s="491"/>
      <c r="E7" s="602" t="s">
        <v>674</v>
      </c>
      <c r="F7" s="602" t="s">
        <v>1</v>
      </c>
      <c r="G7" s="602" t="s">
        <v>676</v>
      </c>
      <c r="H7" s="602" t="s">
        <v>0</v>
      </c>
    </row>
    <row r="8" spans="1:12">
      <c r="A8" s="604" t="s">
        <v>106</v>
      </c>
      <c r="B8" s="604" t="s">
        <v>678</v>
      </c>
      <c r="C8" s="604" t="s">
        <v>0</v>
      </c>
      <c r="D8" s="493" t="s">
        <v>679</v>
      </c>
      <c r="E8" s="604" t="s">
        <v>678</v>
      </c>
      <c r="F8" s="604" t="s">
        <v>7</v>
      </c>
      <c r="G8" s="604" t="s">
        <v>680</v>
      </c>
      <c r="H8" s="604" t="s">
        <v>396</v>
      </c>
      <c r="J8" s="605"/>
      <c r="K8" s="605"/>
      <c r="L8" s="605"/>
    </row>
    <row r="9" spans="1:12" outlineLevel="1">
      <c r="A9" s="601" t="s">
        <v>111</v>
      </c>
      <c r="B9" s="497">
        <v>10304723.92</v>
      </c>
      <c r="C9" s="606"/>
      <c r="D9" s="606"/>
      <c r="F9" s="601">
        <v>238020</v>
      </c>
      <c r="G9" s="607">
        <v>3.2399999999999998E-2</v>
      </c>
      <c r="H9" s="497"/>
      <c r="J9" s="551"/>
      <c r="K9" s="551"/>
      <c r="L9" s="551"/>
    </row>
    <row r="10" spans="1:12" outlineLevel="1">
      <c r="A10" s="601" t="s">
        <v>113</v>
      </c>
      <c r="B10" s="497">
        <v>238930.33000000002</v>
      </c>
      <c r="C10" s="606"/>
      <c r="D10" s="606"/>
      <c r="F10" s="601">
        <v>238020</v>
      </c>
      <c r="G10" s="607">
        <v>3.2399999999999998E-2</v>
      </c>
      <c r="H10" s="497"/>
      <c r="J10" s="605"/>
      <c r="K10" s="605"/>
      <c r="L10" s="605"/>
    </row>
    <row r="11" spans="1:12" outlineLevel="1">
      <c r="A11" s="601" t="s">
        <v>115</v>
      </c>
      <c r="B11" s="497">
        <v>666993.7799999998</v>
      </c>
      <c r="C11" s="606"/>
      <c r="D11" s="606"/>
      <c r="F11" s="601">
        <v>238020</v>
      </c>
      <c r="G11" s="607">
        <v>3.2399999999999998E-2</v>
      </c>
      <c r="H11" s="497"/>
      <c r="J11" s="551"/>
      <c r="K11" s="551"/>
      <c r="L11" s="551"/>
    </row>
    <row r="12" spans="1:12" outlineLevel="1">
      <c r="A12" s="601" t="s">
        <v>117</v>
      </c>
      <c r="B12" s="497">
        <v>21256997.760000002</v>
      </c>
      <c r="C12" s="606"/>
      <c r="D12" s="606"/>
      <c r="F12" s="601">
        <v>238020</v>
      </c>
      <c r="G12" s="607">
        <v>3.2399999999999998E-2</v>
      </c>
      <c r="H12" s="497"/>
    </row>
    <row r="13" spans="1:12" outlineLevel="1">
      <c r="A13" s="601" t="s">
        <v>119</v>
      </c>
      <c r="B13" s="497">
        <v>278798.72000000003</v>
      </c>
      <c r="C13" s="606"/>
      <c r="D13" s="606"/>
      <c r="F13" s="601">
        <v>238020</v>
      </c>
      <c r="G13" s="607">
        <v>3.2399999999999998E-2</v>
      </c>
      <c r="H13" s="497"/>
    </row>
    <row r="14" spans="1:12" outlineLevel="1">
      <c r="A14" s="601" t="s">
        <v>288</v>
      </c>
      <c r="B14" s="497">
        <v>266099.89</v>
      </c>
      <c r="C14" s="606"/>
      <c r="D14" s="606"/>
      <c r="F14" s="601">
        <v>238020</v>
      </c>
      <c r="G14" s="607">
        <v>3.2399999999999998E-2</v>
      </c>
      <c r="H14" s="497"/>
    </row>
    <row r="15" spans="1:12" outlineLevel="1">
      <c r="A15" s="601" t="s">
        <v>127</v>
      </c>
      <c r="B15" s="497">
        <v>11265652.960000005</v>
      </c>
      <c r="C15" s="606"/>
      <c r="D15" s="606"/>
      <c r="F15" s="601">
        <v>238020</v>
      </c>
      <c r="G15" s="607">
        <v>3.2399999999999998E-2</v>
      </c>
      <c r="H15" s="497"/>
    </row>
    <row r="16" spans="1:12" outlineLevel="1">
      <c r="A16" s="601" t="s">
        <v>129</v>
      </c>
      <c r="B16" s="499">
        <v>96259.520000000019</v>
      </c>
      <c r="C16" s="606"/>
      <c r="D16" s="608"/>
      <c r="E16" s="609"/>
      <c r="F16" s="601">
        <v>238020</v>
      </c>
      <c r="G16" s="607">
        <v>3.2399999999999998E-2</v>
      </c>
      <c r="H16" s="497"/>
      <c r="K16" s="606"/>
    </row>
    <row r="17" spans="1:10">
      <c r="B17" s="501">
        <f>SUM(B9:B16)</f>
        <v>44374456.880000003</v>
      </c>
      <c r="C17" s="546">
        <v>2796344.44</v>
      </c>
      <c r="D17" s="501">
        <f>SUM(D9:D16)</f>
        <v>0</v>
      </c>
      <c r="E17" s="606">
        <f>B17-C17+D17</f>
        <v>41578112.440000005</v>
      </c>
      <c r="H17" s="546">
        <v>118676.59</v>
      </c>
      <c r="I17" s="606"/>
      <c r="J17" s="606"/>
    </row>
    <row r="19" spans="1:10" ht="16.5" thickBot="1">
      <c r="B19" s="610">
        <f>B17</f>
        <v>44374456.880000003</v>
      </c>
      <c r="C19" s="610">
        <f>C17</f>
        <v>2796344.44</v>
      </c>
      <c r="D19" s="610">
        <f>D17</f>
        <v>0</v>
      </c>
      <c r="E19" s="610">
        <f>E17</f>
        <v>41578112.440000005</v>
      </c>
      <c r="H19" s="610">
        <f>H17</f>
        <v>118676.59</v>
      </c>
    </row>
    <row r="20" spans="1:10" ht="16.5" thickTop="1">
      <c r="B20" s="497"/>
      <c r="E20" s="606"/>
    </row>
    <row r="21" spans="1:10">
      <c r="A21" s="611" t="s">
        <v>925</v>
      </c>
      <c r="B21" s="504"/>
      <c r="C21" s="504"/>
      <c r="D21" s="505"/>
      <c r="E21" s="504"/>
      <c r="F21" s="505"/>
      <c r="G21" s="505"/>
      <c r="H21" s="504"/>
    </row>
    <row r="22" spans="1:10">
      <c r="B22" s="497"/>
      <c r="C22" s="497"/>
      <c r="E22" s="497"/>
      <c r="F22" s="497"/>
      <c r="G22" s="497"/>
      <c r="H22" s="497"/>
    </row>
    <row r="23" spans="1:10" ht="15.75" customHeight="1">
      <c r="A23" s="612"/>
      <c r="B23" s="612"/>
      <c r="C23" s="612"/>
      <c r="D23" s="612"/>
      <c r="E23" s="612"/>
      <c r="F23" s="497"/>
      <c r="G23" s="497"/>
      <c r="H23" s="497"/>
    </row>
    <row r="24" spans="1:10">
      <c r="A24" s="612"/>
      <c r="B24" s="612"/>
      <c r="C24" s="612"/>
      <c r="D24" s="612"/>
      <c r="E24" s="612"/>
      <c r="F24" s="497"/>
      <c r="G24" s="497"/>
      <c r="H24" s="497"/>
    </row>
    <row r="25" spans="1:10">
      <c r="A25" s="612"/>
      <c r="B25" s="612"/>
      <c r="C25" s="612"/>
      <c r="D25" s="612"/>
      <c r="E25" s="612"/>
      <c r="F25" s="497"/>
      <c r="G25" s="497"/>
      <c r="H25" s="497"/>
    </row>
    <row r="26" spans="1:10">
      <c r="B26" s="497"/>
      <c r="C26" s="497"/>
      <c r="E26" s="497"/>
      <c r="F26" s="497"/>
      <c r="G26" s="497"/>
      <c r="H26" s="497"/>
    </row>
    <row r="27" spans="1:10" s="613" customFormat="1">
      <c r="B27" s="599"/>
      <c r="C27" s="599"/>
      <c r="D27" s="600"/>
      <c r="E27" s="599"/>
      <c r="F27" s="600"/>
      <c r="G27" s="600"/>
      <c r="H27" s="599"/>
      <c r="I27" s="601"/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78" orientation="portrait" r:id="rId1"/>
  <headerFooter>
    <oddFooter>&amp;L&amp;"Calibri"&amp;11&amp;K000000&amp;Z&amp;F&amp;F&amp;A_x000D_&amp;1#&amp;"Calibri"&amp;14&amp;K000000Business Use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E4D6A-9955-4659-A38D-BDCDF281009E}">
  <sheetPr>
    <tabColor theme="5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E8EC-0B35-40A0-85C9-7B2878A13875}">
  <sheetPr>
    <tabColor theme="5" tint="0.39997558519241921"/>
    <pageSetUpPr fitToPage="1"/>
  </sheetPr>
  <dimension ref="A1:AL1048576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20" width="20.85546875" style="72" customWidth="1"/>
    <col min="21" max="21" width="5.140625" style="28" customWidth="1"/>
    <col min="22" max="22" width="24.85546875" style="72" bestFit="1" customWidth="1"/>
    <col min="23" max="23" width="25.5703125" style="72" bestFit="1" customWidth="1"/>
    <col min="24" max="24" width="17.28515625" style="72" bestFit="1" customWidth="1"/>
    <col min="25" max="25" width="14.5703125" style="72" bestFit="1" customWidth="1"/>
    <col min="26" max="26" width="13.140625" style="72" bestFit="1" customWidth="1"/>
    <col min="27" max="27" width="14" style="72" customWidth="1"/>
    <col min="28" max="28" width="15.5703125" style="72" customWidth="1"/>
    <col min="29" max="29" width="14.42578125" style="72" bestFit="1" customWidth="1"/>
    <col min="30" max="30" width="14.85546875" style="72" customWidth="1"/>
    <col min="31" max="31" width="15.85546875" style="72" customWidth="1"/>
    <col min="32" max="32" width="13.42578125" style="72" customWidth="1"/>
    <col min="33" max="33" width="12.140625" style="72" bestFit="1" customWidth="1"/>
    <col min="34" max="34" width="16.5703125" style="72" customWidth="1"/>
    <col min="35" max="35" width="14.42578125" style="72" customWidth="1"/>
    <col min="36" max="36" width="15.140625" style="72" customWidth="1"/>
    <col min="37" max="37" width="9.42578125" style="72" bestFit="1" customWidth="1"/>
    <col min="38" max="38" width="12.85546875" style="72" customWidth="1"/>
    <col min="39" max="16384" width="9.140625" style="72"/>
  </cols>
  <sheetData>
    <row r="1" spans="1:38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L1" s="193"/>
      <c r="M1" s="193"/>
      <c r="N1" s="193"/>
      <c r="O1" s="193"/>
      <c r="P1" s="193"/>
      <c r="Q1" s="193"/>
      <c r="R1" s="193"/>
      <c r="T1" s="193"/>
    </row>
    <row r="2" spans="1:38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L2" s="193"/>
      <c r="M2" s="193"/>
      <c r="N2" s="193"/>
      <c r="O2" s="193"/>
      <c r="P2" s="193"/>
      <c r="Q2" s="193"/>
      <c r="R2" s="193"/>
      <c r="T2" s="193"/>
    </row>
    <row r="3" spans="1:38">
      <c r="A3" s="193" t="s">
        <v>549</v>
      </c>
      <c r="B3" s="193"/>
      <c r="C3" s="193"/>
      <c r="D3" s="193"/>
      <c r="E3" s="193"/>
      <c r="F3" s="193"/>
      <c r="G3" s="193"/>
      <c r="H3" s="193"/>
      <c r="I3" s="193"/>
      <c r="J3" s="193"/>
      <c r="L3" s="193"/>
      <c r="M3" s="193"/>
      <c r="N3" s="193"/>
      <c r="O3" s="193"/>
      <c r="P3" s="193"/>
      <c r="Q3" s="193"/>
      <c r="R3" s="193"/>
      <c r="T3" s="193"/>
    </row>
    <row r="4" spans="1:38" s="31" customFormat="1">
      <c r="A4" s="73"/>
      <c r="D4" s="28"/>
      <c r="U4" s="28"/>
      <c r="W4" s="13"/>
      <c r="X4" s="13"/>
      <c r="Y4" s="13"/>
      <c r="Z4" s="13"/>
      <c r="AA4" s="13"/>
      <c r="AB4" s="13"/>
      <c r="AC4" s="13"/>
      <c r="AD4" s="13"/>
      <c r="AE4" s="14"/>
      <c r="AF4" s="13"/>
      <c r="AG4" s="13"/>
      <c r="AH4" s="13"/>
      <c r="AI4" s="13"/>
      <c r="AJ4" s="13"/>
      <c r="AK4" s="13"/>
      <c r="AL4" s="13"/>
    </row>
    <row r="5" spans="1:38" s="31" customFormat="1">
      <c r="D5" s="226" t="s">
        <v>566</v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9"/>
      <c r="U5" s="28"/>
      <c r="W5" s="15"/>
      <c r="X5" s="14"/>
      <c r="Y5" s="14"/>
      <c r="Z5" s="14"/>
      <c r="AA5" s="14"/>
      <c r="AB5" s="14"/>
      <c r="AC5" s="14"/>
      <c r="AD5" s="14"/>
      <c r="AE5" s="1590"/>
      <c r="AF5" s="1590"/>
      <c r="AG5" s="1590"/>
      <c r="AH5" s="1590"/>
      <c r="AI5" s="1590"/>
      <c r="AJ5" s="1590"/>
      <c r="AK5" s="1590"/>
      <c r="AL5" s="1590"/>
    </row>
    <row r="6" spans="1:38" s="31" customFormat="1">
      <c r="A6" s="224" t="s">
        <v>4</v>
      </c>
      <c r="B6" s="32"/>
      <c r="D6" s="115">
        <v>2020</v>
      </c>
      <c r="E6" s="95">
        <v>2021</v>
      </c>
      <c r="F6" s="95">
        <f>$E$6</f>
        <v>2021</v>
      </c>
      <c r="G6" s="95">
        <f>$E$6</f>
        <v>2021</v>
      </c>
      <c r="H6" s="95">
        <f>$E$6</f>
        <v>2021</v>
      </c>
      <c r="I6" s="95">
        <f>$E$6</f>
        <v>2021</v>
      </c>
      <c r="J6" s="95">
        <f>$E$6</f>
        <v>2021</v>
      </c>
      <c r="K6" s="95" t="s">
        <v>694</v>
      </c>
      <c r="L6" s="95" t="s">
        <v>692</v>
      </c>
      <c r="M6" s="95">
        <f t="shared" ref="M6:T6" si="0">$E$6</f>
        <v>2021</v>
      </c>
      <c r="N6" s="95">
        <f t="shared" si="0"/>
        <v>2021</v>
      </c>
      <c r="O6" s="95">
        <f t="shared" si="0"/>
        <v>2021</v>
      </c>
      <c r="P6" s="95">
        <f t="shared" si="0"/>
        <v>2021</v>
      </c>
      <c r="Q6" s="95">
        <f t="shared" si="0"/>
        <v>2021</v>
      </c>
      <c r="R6" s="95">
        <f t="shared" si="0"/>
        <v>2021</v>
      </c>
      <c r="S6" s="95" t="s">
        <v>698</v>
      </c>
      <c r="T6" s="133">
        <f t="shared" si="0"/>
        <v>2021</v>
      </c>
      <c r="U6" s="28"/>
      <c r="W6" s="95"/>
      <c r="X6" s="16"/>
      <c r="Y6" s="95"/>
      <c r="Z6" s="95"/>
      <c r="AA6" s="95"/>
      <c r="AB6" s="95"/>
      <c r="AC6" s="95"/>
      <c r="AD6" s="95"/>
      <c r="AE6" s="95"/>
      <c r="AF6" s="95"/>
      <c r="AG6" s="95"/>
      <c r="AH6" s="16"/>
      <c r="AI6" s="95"/>
      <c r="AJ6" s="95"/>
      <c r="AK6" s="95"/>
      <c r="AL6" s="95"/>
    </row>
    <row r="7" spans="1:38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16" t="s">
        <v>695</v>
      </c>
      <c r="L7" s="95" t="s">
        <v>699</v>
      </c>
      <c r="M7" s="75" t="s">
        <v>99</v>
      </c>
      <c r="N7" s="75" t="s">
        <v>100</v>
      </c>
      <c r="O7" s="75" t="s">
        <v>101</v>
      </c>
      <c r="P7" s="75" t="s">
        <v>102</v>
      </c>
      <c r="Q7" s="75" t="s">
        <v>103</v>
      </c>
      <c r="R7" s="75" t="s">
        <v>104</v>
      </c>
      <c r="S7" s="16" t="s">
        <v>697</v>
      </c>
      <c r="T7" s="118" t="s">
        <v>341</v>
      </c>
      <c r="U7" s="28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16"/>
      <c r="AI7" s="95"/>
      <c r="AJ7" s="95"/>
      <c r="AK7" s="95"/>
      <c r="AL7" s="95"/>
    </row>
    <row r="8" spans="1:38" s="31" customFormat="1" ht="20.45" customHeigh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75" t="s">
        <v>696</v>
      </c>
      <c r="L8" s="75" t="s">
        <v>700</v>
      </c>
      <c r="M8" s="120">
        <v>-9</v>
      </c>
      <c r="N8" s="120">
        <v>-10</v>
      </c>
      <c r="O8" s="120">
        <v>-11</v>
      </c>
      <c r="P8" s="120">
        <v>-12</v>
      </c>
      <c r="Q8" s="120">
        <v>-13</v>
      </c>
      <c r="R8" s="120">
        <v>-14</v>
      </c>
      <c r="S8" s="75" t="s">
        <v>696</v>
      </c>
      <c r="T8" s="121">
        <v>-15</v>
      </c>
      <c r="U8" s="28"/>
      <c r="W8" s="95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38" s="31" customFormat="1" ht="20.45" customHeight="1">
      <c r="A9" s="32"/>
      <c r="B9" s="32"/>
      <c r="D9" s="122"/>
      <c r="E9" s="13"/>
      <c r="F9" s="13"/>
      <c r="G9" s="13"/>
      <c r="H9" s="13"/>
      <c r="I9" s="13"/>
      <c r="J9" s="13"/>
      <c r="K9" s="518"/>
      <c r="L9" s="521"/>
      <c r="M9" s="13"/>
      <c r="N9" s="13"/>
      <c r="O9" s="13"/>
      <c r="P9" s="13"/>
      <c r="Q9" s="13"/>
      <c r="R9" s="13"/>
      <c r="T9" s="123"/>
      <c r="U9" s="28"/>
      <c r="V9" s="458" t="s">
        <v>625</v>
      </c>
      <c r="W9" s="458" t="s">
        <v>625</v>
      </c>
      <c r="Y9" s="17"/>
      <c r="Z9" s="17"/>
      <c r="AA9" s="17"/>
      <c r="AB9" s="17"/>
      <c r="AC9" s="17"/>
      <c r="AD9" s="18"/>
      <c r="AE9" s="17"/>
      <c r="AF9" s="18"/>
      <c r="AG9" s="18"/>
      <c r="AH9" s="18"/>
      <c r="AI9" s="17"/>
      <c r="AJ9" s="17"/>
      <c r="AK9" s="17"/>
      <c r="AL9" s="17"/>
    </row>
    <row r="10" spans="1:38" s="31" customFormat="1">
      <c r="A10" s="32"/>
      <c r="B10" s="77" t="s">
        <v>51</v>
      </c>
      <c r="D10" s="284"/>
      <c r="E10" s="285"/>
      <c r="F10" s="285"/>
      <c r="G10" s="285"/>
      <c r="H10" s="285"/>
      <c r="I10" s="285"/>
      <c r="J10" s="285"/>
      <c r="K10" s="518"/>
      <c r="L10" s="521"/>
      <c r="M10" s="13"/>
      <c r="N10" s="13"/>
      <c r="O10" s="13"/>
      <c r="P10" s="13"/>
      <c r="Q10" s="13"/>
      <c r="R10" s="281"/>
      <c r="S10" s="518"/>
      <c r="T10" s="123"/>
      <c r="U10" s="28"/>
      <c r="V10" s="458" t="s">
        <v>790</v>
      </c>
      <c r="W10" s="458" t="s">
        <v>791</v>
      </c>
      <c r="Y10" s="17"/>
      <c r="Z10" s="17"/>
      <c r="AA10" s="559" t="s">
        <v>773</v>
      </c>
      <c r="AB10" s="17"/>
      <c r="AC10" s="17"/>
      <c r="AD10" s="18"/>
      <c r="AE10" s="17"/>
      <c r="AF10" s="17"/>
      <c r="AG10" s="17"/>
      <c r="AH10" s="18"/>
      <c r="AI10" s="17"/>
      <c r="AJ10" s="17"/>
      <c r="AK10" s="17"/>
      <c r="AL10" s="17"/>
    </row>
    <row r="11" spans="1:38" s="31" customFormat="1">
      <c r="A11" s="32">
        <v>1</v>
      </c>
      <c r="B11" s="32"/>
      <c r="C11" s="78" t="s">
        <v>412</v>
      </c>
      <c r="D11" s="284">
        <f>'Rev Req 2020-Distr'!P11</f>
        <v>72541642.989999995</v>
      </c>
      <c r="E11" s="285">
        <f>D11+SUM('Cap&amp;OpEx 2021'!C10,'Cap&amp;OpEx 2021'!C12:C14,'Cap&amp;OpEx 2021'!C17,'Cap&amp;OpEx 2021'!C19:C21)</f>
        <v>73920897.609999999</v>
      </c>
      <c r="F11" s="285">
        <f>E11+SUM('Cap&amp;OpEx 2021'!D10,'Cap&amp;OpEx 2021'!D12:D14,'Cap&amp;OpEx 2021'!D17,'Cap&amp;OpEx 2021'!D19:D21)</f>
        <v>75000911.079999998</v>
      </c>
      <c r="G11" s="285">
        <f>F11+SUM('Cap&amp;OpEx 2021'!E10,'Cap&amp;OpEx 2021'!E12:E14,'Cap&amp;OpEx 2021'!E17,'Cap&amp;OpEx 2021'!E19:E21)</f>
        <v>76198861.010000005</v>
      </c>
      <c r="H11" s="285">
        <f>G11+SUM('Cap&amp;OpEx 2021'!F10,'Cap&amp;OpEx 2021'!F12:F14,'Cap&amp;OpEx 2021'!F17,'Cap&amp;OpEx 2021'!F19:F21)</f>
        <v>77653528.090000004</v>
      </c>
      <c r="I11" s="285">
        <f>H11+SUM('Cap&amp;OpEx 2021'!G10,'Cap&amp;OpEx 2021'!G12:G14,'Cap&amp;OpEx 2021'!G17,'Cap&amp;OpEx 2021'!G19:G21)</f>
        <v>79110274.24000001</v>
      </c>
      <c r="J11" s="285">
        <f>I11+SUM('Cap&amp;OpEx 2021'!H10,'Cap&amp;OpEx 2021'!H12:H14,'Cap&amp;OpEx 2021'!H17,'Cap&amp;OpEx 2021'!H19:H21)</f>
        <v>80545601.060000002</v>
      </c>
      <c r="K11" s="286">
        <f>AVERAGE(D11:J11)</f>
        <v>76424530.86857143</v>
      </c>
      <c r="L11" s="285">
        <f>SUM('202107 Bk Depr'!F13,'202107 Bk Depr'!F15:F18,'202107 Bk Depr'!F22,'202107 Bk Depr'!F24:F27)</f>
        <v>39585393.56000001</v>
      </c>
      <c r="M11" s="285">
        <f>L11+SUM('Cap&amp;OpEx 2021'!I10,'Cap&amp;OpEx 2021'!I12:I14,'Cap&amp;OpEx 2021'!I17,'Cap&amp;OpEx 2021'!I19:I21)</f>
        <v>40390641.470000006</v>
      </c>
      <c r="N11" s="285">
        <f>M11+SUM('Cap&amp;OpEx 2021'!J10,'Cap&amp;OpEx 2021'!J12:J14,'Cap&amp;OpEx 2021'!J17,'Cap&amp;OpEx 2021'!J19:J21)</f>
        <v>40959014.200000003</v>
      </c>
      <c r="O11" s="285">
        <f>N11+SUM('Cap&amp;OpEx 2021'!K10,'Cap&amp;OpEx 2021'!K12:K14,'Cap&amp;OpEx 2021'!K17,'Cap&amp;OpEx 2021'!K19:K21)</f>
        <v>41600261.490000002</v>
      </c>
      <c r="P11" s="285">
        <f>O11+SUM('Cap&amp;OpEx 2021'!L10,'Cap&amp;OpEx 2021'!L12:L14,'Cap&amp;OpEx 2021'!L17,'Cap&amp;OpEx 2021'!L19:L21)</f>
        <v>42233421.480000004</v>
      </c>
      <c r="Q11" s="285">
        <f>P11+SUM('Cap&amp;OpEx 2021'!M10,'Cap&amp;OpEx 2021'!M12:M14,'Cap&amp;OpEx 2021'!M17,'Cap&amp;OpEx 2021'!M19:M21)</f>
        <v>43041458.170000002</v>
      </c>
      <c r="R11" s="285">
        <f>Q11+SUM('Cap&amp;OpEx 2021'!N10,'Cap&amp;OpEx 2021'!N12:N14,'Cap&amp;OpEx 2021'!N17,'Cap&amp;OpEx 2021'!N19:N21)</f>
        <v>43881787.200000003</v>
      </c>
      <c r="S11" s="286">
        <f>AVERAGE(L11:R11)</f>
        <v>41670282.510000005</v>
      </c>
      <c r="T11" s="286"/>
      <c r="U11" s="28"/>
      <c r="V11" s="465">
        <f>K11-AVERAGE('Net Assets'!B12:B19)+AVERAGE('Net Assets'!F12:F19)</f>
        <v>13299794.854285719</v>
      </c>
      <c r="W11" s="465">
        <f>S11-AVERAGE('Net Assets'!B20:B25)+AVERAGE('Net Assets'!F20:F25)</f>
        <v>-32484656.648333304</v>
      </c>
      <c r="Y11" s="17"/>
      <c r="Z11" s="17"/>
      <c r="AA11" s="560">
        <f>D11-'Rev Req 2020-Distr'!P11</f>
        <v>0</v>
      </c>
      <c r="AB11" s="17"/>
      <c r="AC11" s="17"/>
      <c r="AD11" s="18"/>
      <c r="AE11" s="17"/>
      <c r="AF11" s="17"/>
      <c r="AG11" s="17"/>
      <c r="AH11" s="18"/>
      <c r="AI11" s="17"/>
      <c r="AJ11" s="17"/>
      <c r="AK11" s="17"/>
      <c r="AL11" s="17"/>
    </row>
    <row r="12" spans="1:38" s="31" customFormat="1">
      <c r="A12" s="32">
        <v>2</v>
      </c>
      <c r="B12" s="32"/>
      <c r="C12" s="31" t="s">
        <v>19</v>
      </c>
      <c r="D12" s="284">
        <f>'Rev Req 2020-Distr'!P12</f>
        <v>13531042.09</v>
      </c>
      <c r="E12" s="285">
        <f>D12+SUM('Cap&amp;OpEx 2021'!C31,'Cap&amp;OpEx 2021'!C33:C35)</f>
        <v>13962068.35</v>
      </c>
      <c r="F12" s="285">
        <f>E12+SUM('Cap&amp;OpEx 2021'!D31,'Cap&amp;OpEx 2021'!D33:D35)</f>
        <v>14287464.709999999</v>
      </c>
      <c r="G12" s="285">
        <f>F12+SUM('Cap&amp;OpEx 2021'!E31,'Cap&amp;OpEx 2021'!E33:E35)</f>
        <v>14736128.27</v>
      </c>
      <c r="H12" s="285">
        <f>G12+SUM('Cap&amp;OpEx 2021'!F31,'Cap&amp;OpEx 2021'!F33:F35)</f>
        <v>15064268.779999999</v>
      </c>
      <c r="I12" s="285">
        <f>H12+SUM('Cap&amp;OpEx 2021'!G31,'Cap&amp;OpEx 2021'!G33:G35)</f>
        <v>15315958.43</v>
      </c>
      <c r="J12" s="285">
        <f>I12+SUM('Cap&amp;OpEx 2021'!H31,'Cap&amp;OpEx 2021'!H33:H35)</f>
        <v>15595239.549999999</v>
      </c>
      <c r="K12" s="286">
        <f>AVERAGE(D12:J12)</f>
        <v>14641738.597142857</v>
      </c>
      <c r="L12" s="285">
        <f>SUM('202107 Bk Depr'!F33,'202107 Bk Depr'!F35:F38)</f>
        <v>3233270.58</v>
      </c>
      <c r="M12" s="285">
        <f>L12+SUM('Cap&amp;OpEx 2021'!I31,'Cap&amp;OpEx 2021'!I33:I35)</f>
        <v>3298815.5300000003</v>
      </c>
      <c r="N12" s="285">
        <f>M12+SUM('Cap&amp;OpEx 2021'!J31,'Cap&amp;OpEx 2021'!J33:J35)</f>
        <v>3337926.0700000003</v>
      </c>
      <c r="O12" s="285">
        <f>N12+SUM('Cap&amp;OpEx 2021'!K31,'Cap&amp;OpEx 2021'!K33:K35)</f>
        <v>3399128.5200000005</v>
      </c>
      <c r="P12" s="285">
        <f>O12+SUM('Cap&amp;OpEx 2021'!L31,'Cap&amp;OpEx 2021'!L33:L35)</f>
        <v>3528615.9200000004</v>
      </c>
      <c r="Q12" s="285">
        <f>P12+SUM('Cap&amp;OpEx 2021'!M31,'Cap&amp;OpEx 2021'!M33:M35)</f>
        <v>3568126.5300000003</v>
      </c>
      <c r="R12" s="285">
        <f>Q12+SUM('Cap&amp;OpEx 2021'!N31,'Cap&amp;OpEx 2021'!N33:N35)</f>
        <v>3603841.9000000004</v>
      </c>
      <c r="S12" s="286">
        <f>AVERAGE(L12:R12)</f>
        <v>3424246.4357142863</v>
      </c>
      <c r="T12" s="286"/>
      <c r="U12" s="28"/>
      <c r="V12" s="465">
        <f>K12-AVERAGE('Net Assets'!D12:D19)</f>
        <v>10142113.599999998</v>
      </c>
      <c r="W12" s="465">
        <f>S12-AVERAGE('Net Assets'!D20:D25)</f>
        <v>-1792845.1109523815</v>
      </c>
      <c r="Y12" s="17"/>
      <c r="Z12" s="17"/>
      <c r="AA12" s="560">
        <f>D12-'Rev Req 2020-Distr'!P12</f>
        <v>0</v>
      </c>
      <c r="AB12" s="17"/>
      <c r="AC12" s="17"/>
      <c r="AD12" s="18"/>
      <c r="AE12" s="17"/>
      <c r="AF12" s="17"/>
      <c r="AG12" s="17"/>
      <c r="AH12" s="18"/>
      <c r="AI12" s="17"/>
      <c r="AJ12" s="17"/>
      <c r="AK12" s="17"/>
      <c r="AL12" s="17"/>
    </row>
    <row r="13" spans="1:38" s="31" customFormat="1">
      <c r="A13" s="32">
        <v>3</v>
      </c>
      <c r="B13" s="32"/>
      <c r="C13" s="31" t="s">
        <v>52</v>
      </c>
      <c r="D13" s="284">
        <f>'Rev Req 2020-Distr'!P13</f>
        <v>-4029625.8927162518</v>
      </c>
      <c r="E13" s="293">
        <f>SUM('Cap&amp;OpEx 2021'!C24,'Cap&amp;OpEx 2021'!C26:C28)-SUM('202101 Bk Depr'!$P$13,'202101 Bk Depr'!$P$15:$P$18)+D13</f>
        <v>-4217706.6748475023</v>
      </c>
      <c r="F13" s="293">
        <f>SUM('Cap&amp;OpEx 2021'!D24,'Cap&amp;OpEx 2021'!D26:D28)-SUM('202102 Bk Depr'!$P$13,'202102 Bk Depr'!$P$15:$P$18)+E13</f>
        <v>-4409107.1258787522</v>
      </c>
      <c r="G13" s="293">
        <f>SUM('Cap&amp;OpEx 2021'!E24,'Cap&amp;OpEx 2021'!E26:E28)-SUM('202103 Bk Depr'!$P$13,'202103 Bk Depr'!$P$15:$P$18)+F13</f>
        <v>-4300891.0606812425</v>
      </c>
      <c r="H13" s="293">
        <f>SUM('Cap&amp;OpEx 2021'!F24,'Cap&amp;OpEx 2021'!F26:F28)-SUM('202104 Bk Depr'!$P$13,'202104 Bk Depr'!$P$15:$P$18)+G13</f>
        <v>-4500277.2757992428</v>
      </c>
      <c r="I13" s="293">
        <f>SUM('Cap&amp;OpEx 2021'!G24,'Cap&amp;OpEx 2021'!G26:G28)-SUM('202105 Bk Depr'!$P$13,'202105 Bk Depr'!$P$15:$P$18)+H13</f>
        <v>-4703593.499629993</v>
      </c>
      <c r="J13" s="293">
        <f>SUM('Cap&amp;OpEx 2021'!H24,'Cap&amp;OpEx 2021'!H26:H28)-SUM('202106 Bk Depr'!$P$13,'202106 Bk Depr'!$P$15:$P$18)+I13</f>
        <v>-4910813.6687494935</v>
      </c>
      <c r="K13" s="291">
        <f>AVERAGE(D13:J13)</f>
        <v>-4438859.3140432108</v>
      </c>
      <c r="L13" s="293">
        <f>-2113499.76-SUM('Base Rate Retirements 2021'!H26,'Base Rate Retirements 2021'!H30,'Base Rate Retirements 2021'!H32)</f>
        <v>-1810186.2711662396</v>
      </c>
      <c r="M13" s="293">
        <f>SUM('Cap&amp;OpEx 2021'!I24,'Cap&amp;OpEx 2021'!I26:I28)-SUM('202107 Bk Depr'!$P$13,'202107 Bk Depr'!$P$15:$P$18)+L13</f>
        <v>-1919484.1265927397</v>
      </c>
      <c r="N13" s="293">
        <f>SUM('Cap&amp;OpEx 2021'!J24,'Cap&amp;OpEx 2021'!J26:J28)-SUM('202108 Bk Depr'!$P$13,'202108 Bk Depr'!$P$15:$P$18)+M13</f>
        <v>-2030636.3698832397</v>
      </c>
      <c r="O13" s="293">
        <f>SUM('Cap&amp;OpEx 2021'!K24,'Cap&amp;OpEx 2021'!K26:K28)-SUM('202109 Bk Depr'!$P$13,'202109 Bk Depr'!$P$15:$P$18)+N13</f>
        <v>-2143426.9802007396</v>
      </c>
      <c r="P13" s="293">
        <f>SUM('Cap&amp;OpEx 2021'!L24,'Cap&amp;OpEx 2021'!L26:L28)-SUM('202110 Bk Depr'!$P$13,'202110 Bk Depr'!$P$15:$P$18)+O13</f>
        <v>-2257903.0703462395</v>
      </c>
      <c r="Q13" s="293">
        <f>SUM('Cap&amp;OpEx 2021'!M24,'Cap&amp;OpEx 2021'!M26:M28)-SUM('202111 Bk Depr'!$P$13,'202111 Bk Depr'!$P$15:$P$18)+P13</f>
        <v>-2374354.3660097397</v>
      </c>
      <c r="R13" s="293">
        <f>SUM('Cap&amp;OpEx 2021'!N24,'Cap&amp;OpEx 2021'!N26:N28)-SUM('202112 Bk Depr'!$P$13,'202112 Bk Depr'!$P$15:$P$18)+Q13</f>
        <v>-2493030.9553952399</v>
      </c>
      <c r="S13" s="291">
        <f>AVERAGE(L13:R13)</f>
        <v>-2147003.1627991684</v>
      </c>
      <c r="T13" s="291"/>
      <c r="U13" s="28"/>
      <c r="V13" s="465">
        <f>K13-AVERAGE('Net Assets'!C12:C19)+AVERAGE('Net Assets'!G12:G19)</f>
        <v>162885.68808575755</v>
      </c>
      <c r="W13" s="465">
        <f>S13-AVERAGE('Net Assets'!C20:C25)+AVERAGE('Net Assets'!G20:G25)</f>
        <v>3522181.3373607285</v>
      </c>
      <c r="Y13" s="17"/>
      <c r="Z13" s="17"/>
      <c r="AA13" s="560">
        <f>D13-'Rev Req 2020-Distr'!P13</f>
        <v>0</v>
      </c>
      <c r="AB13" s="17"/>
      <c r="AC13" s="17"/>
      <c r="AD13" s="18"/>
      <c r="AE13" s="17"/>
      <c r="AF13" s="17"/>
      <c r="AG13" s="17"/>
      <c r="AH13" s="18"/>
      <c r="AI13" s="17"/>
      <c r="AJ13" s="17"/>
      <c r="AK13" s="17"/>
      <c r="AL13" s="17"/>
    </row>
    <row r="14" spans="1:38" s="31" customFormat="1">
      <c r="A14" s="32">
        <v>4</v>
      </c>
      <c r="B14" s="32"/>
      <c r="C14" s="31" t="s">
        <v>53</v>
      </c>
      <c r="D14" s="324">
        <f t="shared" ref="D14:R14" si="1">SUM(D11:D13)</f>
        <v>82043059.187283739</v>
      </c>
      <c r="E14" s="285">
        <f t="shared" si="1"/>
        <v>83665259.285152495</v>
      </c>
      <c r="F14" s="285">
        <f t="shared" si="1"/>
        <v>84879268.66412124</v>
      </c>
      <c r="G14" s="285">
        <f t="shared" si="1"/>
        <v>86634098.219318762</v>
      </c>
      <c r="H14" s="285">
        <f t="shared" si="1"/>
        <v>88217519.59420076</v>
      </c>
      <c r="I14" s="285">
        <f t="shared" si="1"/>
        <v>89722639.170370027</v>
      </c>
      <c r="J14" s="285">
        <f t="shared" si="1"/>
        <v>91230026.941250503</v>
      </c>
      <c r="K14" s="286">
        <f>SUM(K11:K13)</f>
        <v>86627410.151671082</v>
      </c>
      <c r="L14" s="285">
        <f t="shared" si="1"/>
        <v>41008477.868833765</v>
      </c>
      <c r="M14" s="285">
        <f t="shared" si="1"/>
        <v>41769972.873407267</v>
      </c>
      <c r="N14" s="285">
        <f t="shared" si="1"/>
        <v>42266303.900116764</v>
      </c>
      <c r="O14" s="285">
        <f t="shared" si="1"/>
        <v>42855963.029799268</v>
      </c>
      <c r="P14" s="285">
        <f t="shared" si="1"/>
        <v>43504134.32965377</v>
      </c>
      <c r="Q14" s="285">
        <f t="shared" si="1"/>
        <v>44235230.333990261</v>
      </c>
      <c r="R14" s="285">
        <f t="shared" si="1"/>
        <v>44992598.144604765</v>
      </c>
      <c r="S14" s="286">
        <f>SUM(S11:S13)</f>
        <v>42947525.78291513</v>
      </c>
      <c r="T14" s="286"/>
      <c r="U14" s="28"/>
      <c r="V14" s="458"/>
      <c r="W14" s="458"/>
      <c r="Y14" s="13"/>
      <c r="Z14" s="13"/>
      <c r="AA14" s="560">
        <f>D14-'Rev Req 2020-Distr'!P14</f>
        <v>0</v>
      </c>
      <c r="AB14" s="13"/>
      <c r="AC14" s="13"/>
      <c r="AD14" s="18"/>
      <c r="AE14" s="17"/>
      <c r="AF14" s="17"/>
      <c r="AG14" s="17"/>
      <c r="AH14" s="18"/>
      <c r="AI14" s="17"/>
      <c r="AJ14" s="17"/>
      <c r="AK14" s="17"/>
      <c r="AL14" s="17"/>
    </row>
    <row r="15" spans="1:38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125"/>
      <c r="L15" s="47"/>
      <c r="M15" s="47"/>
      <c r="N15" s="47"/>
      <c r="O15" s="47"/>
      <c r="P15" s="47"/>
      <c r="Q15" s="47"/>
      <c r="R15" s="47"/>
      <c r="S15" s="125"/>
      <c r="T15" s="125"/>
      <c r="U15" s="28"/>
      <c r="V15" s="458"/>
      <c r="W15" s="458"/>
      <c r="Y15" s="458" t="s">
        <v>621</v>
      </c>
      <c r="Z15" s="13"/>
      <c r="AA15" s="560"/>
      <c r="AB15" s="13"/>
      <c r="AC15" s="13"/>
      <c r="AD15" s="18"/>
      <c r="AE15" s="17"/>
      <c r="AF15" s="17"/>
      <c r="AG15" s="17"/>
      <c r="AH15" s="18"/>
      <c r="AI15" s="17"/>
      <c r="AJ15" s="17"/>
      <c r="AK15" s="17"/>
      <c r="AL15" s="17"/>
    </row>
    <row r="16" spans="1:38" s="31" customFormat="1">
      <c r="A16" s="32">
        <v>5</v>
      </c>
      <c r="B16" s="32"/>
      <c r="C16" s="31" t="s">
        <v>54</v>
      </c>
      <c r="D16" s="292">
        <f>'Rev Req 2020-Distr'!P16</f>
        <v>-11553912.841375377</v>
      </c>
      <c r="E16" s="293">
        <f>-'Tax Depr 2021-Dist'!$V21</f>
        <v>-11687835.388211446</v>
      </c>
      <c r="F16" s="293">
        <f>-'Tax Depr 2021-Dist'!$V22</f>
        <v>-11809525.528054805</v>
      </c>
      <c r="G16" s="293">
        <f>-'Tax Depr 2021-Dist'!$V23</f>
        <v>-11935908.028341534</v>
      </c>
      <c r="H16" s="293">
        <f>-'Tax Depr 2021-Dist'!$V24</f>
        <v>-12096630.43860228</v>
      </c>
      <c r="I16" s="293">
        <f>-'Tax Depr 2021-Dist'!$V25</f>
        <v>-12255304.978303129</v>
      </c>
      <c r="J16" s="293">
        <f>-'Tax Depr 2021-Dist'!$V26</f>
        <v>-12432598.674513727</v>
      </c>
      <c r="K16" s="291">
        <f>AVERAGE(D16:J16)</f>
        <v>-11967387.982486043</v>
      </c>
      <c r="L16" s="293">
        <f>-('Tax Depr 2021-Dist'!V26+'Tax Depr 2021-Dist'!V27)</f>
        <v>-6544006.6645137277</v>
      </c>
      <c r="M16" s="293">
        <f>-'Tax Depr 2021-Dist'!$V28</f>
        <v>-6652023.4938552957</v>
      </c>
      <c r="N16" s="293">
        <f>-'Tax Depr 2021-Dist'!$V29</f>
        <v>-6758342.0073568476</v>
      </c>
      <c r="O16" s="293">
        <f>-'Tax Depr 2021-Dist'!$V30</f>
        <v>-6882481.9390034964</v>
      </c>
      <c r="P16" s="293">
        <f>-'Tax Depr 2021-Dist'!$V31</f>
        <v>-7024540.0941327782</v>
      </c>
      <c r="Q16" s="293">
        <f>-'Tax Depr 2021-Dist'!$V32</f>
        <v>-7177420.8838818604</v>
      </c>
      <c r="R16" s="293">
        <f>-'Tax Depr 2021-Dist'!$V33</f>
        <v>-7345431.5698972521</v>
      </c>
      <c r="S16" s="291">
        <f>AVERAGE(L16:R16)</f>
        <v>-6912035.2360916082</v>
      </c>
      <c r="T16" s="291"/>
      <c r="U16" s="28"/>
      <c r="V16" s="465">
        <f>AVERAGE(D16:J16)-AVERAGE('Net Assets'!E12:E19)+AVERAGE('Net Assets'!H12:H19)</f>
        <v>-2073517.0360883998</v>
      </c>
      <c r="W16" s="465">
        <f>AVERAGE(L16:R16)-AVERAGE('Net Assets'!E20:E25)+AVERAGE('Net Assets'!H20:H25)</f>
        <v>5117476.2320966264</v>
      </c>
      <c r="Y16" s="459">
        <f>'Tax Depr 2021-Dist'!V33+R16</f>
        <v>0</v>
      </c>
      <c r="Z16" s="17"/>
      <c r="AA16" s="560">
        <f>D16-'Rev Req 2020-Distr'!P16</f>
        <v>0</v>
      </c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</row>
    <row r="17" spans="1:27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125"/>
      <c r="L17" s="47"/>
      <c r="M17" s="47"/>
      <c r="N17" s="47"/>
      <c r="O17" s="47"/>
      <c r="P17" s="47"/>
      <c r="Q17" s="47"/>
      <c r="R17" s="47"/>
      <c r="S17" s="125"/>
      <c r="T17" s="125"/>
      <c r="U17" s="28"/>
      <c r="V17" s="458"/>
      <c r="W17" s="458"/>
      <c r="AA17" s="560"/>
    </row>
    <row r="18" spans="1:27" s="31" customFormat="1">
      <c r="A18" s="32">
        <v>6</v>
      </c>
      <c r="B18" s="32"/>
      <c r="C18" s="78" t="s">
        <v>55</v>
      </c>
      <c r="D18" s="284">
        <f>SUM(D14:D16)</f>
        <v>70489146.345908359</v>
      </c>
      <c r="E18" s="285">
        <f>SUM(E14:E16)</f>
        <v>71977423.896941051</v>
      </c>
      <c r="F18" s="285">
        <f t="shared" ref="F18:R18" si="2">SUM(F14:F16)</f>
        <v>73069743.136066437</v>
      </c>
      <c r="G18" s="285">
        <f t="shared" si="2"/>
        <v>74698190.190977231</v>
      </c>
      <c r="H18" s="285">
        <f t="shared" si="2"/>
        <v>76120889.155598477</v>
      </c>
      <c r="I18" s="285">
        <f t="shared" si="2"/>
        <v>77467334.192066893</v>
      </c>
      <c r="J18" s="285">
        <f t="shared" si="2"/>
        <v>78797428.266736776</v>
      </c>
      <c r="K18" s="286">
        <f>SUM(K14:K16)</f>
        <v>74660022.169185042</v>
      </c>
      <c r="L18" s="284">
        <f>SUM(L14:L16)</f>
        <v>34464471.204320036</v>
      </c>
      <c r="M18" s="285">
        <f t="shared" si="2"/>
        <v>35117949.379551969</v>
      </c>
      <c r="N18" s="285">
        <f t="shared" si="2"/>
        <v>35507961.892759919</v>
      </c>
      <c r="O18" s="285">
        <f t="shared" si="2"/>
        <v>35973481.09079577</v>
      </c>
      <c r="P18" s="285">
        <f t="shared" si="2"/>
        <v>36479594.235520989</v>
      </c>
      <c r="Q18" s="285">
        <f t="shared" si="2"/>
        <v>37057809.450108401</v>
      </c>
      <c r="R18" s="285">
        <f t="shared" si="2"/>
        <v>37647166.574707516</v>
      </c>
      <c r="S18" s="286">
        <f>SUM(S14:S16)</f>
        <v>36035490.546823524</v>
      </c>
      <c r="T18" s="286"/>
      <c r="U18" s="28"/>
      <c r="V18" s="464"/>
      <c r="W18" s="464"/>
      <c r="AA18" s="560">
        <f>D18-'Rev Req 2020-Distr'!P18</f>
        <v>0</v>
      </c>
    </row>
    <row r="19" spans="1:27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23"/>
      <c r="L19" s="13"/>
      <c r="M19" s="13"/>
      <c r="N19" s="13"/>
      <c r="O19" s="13"/>
      <c r="P19" s="13"/>
      <c r="Q19" s="13"/>
      <c r="R19" s="13"/>
      <c r="S19" s="123"/>
      <c r="T19" s="123"/>
      <c r="U19" s="28"/>
      <c r="V19" s="458"/>
      <c r="W19" s="458"/>
      <c r="AA19" s="560"/>
    </row>
    <row r="20" spans="1:27" s="31" customFormat="1">
      <c r="A20" s="32">
        <v>7</v>
      </c>
      <c r="B20" s="32"/>
      <c r="C20" s="31" t="s">
        <v>56</v>
      </c>
      <c r="D20" s="126">
        <f>'ROR 2021'!$G$12/12</f>
        <v>7.4333333333333335E-3</v>
      </c>
      <c r="E20" s="37">
        <f>'ROR 2021'!$G$12/12</f>
        <v>7.4333333333333335E-3</v>
      </c>
      <c r="F20" s="37">
        <f>'ROR 2021'!$G$12/12</f>
        <v>7.4333333333333335E-3</v>
      </c>
      <c r="G20" s="37">
        <f>'ROR 2021'!$G$12/12</f>
        <v>7.4333333333333335E-3</v>
      </c>
      <c r="H20" s="37">
        <f>'ROR 2021'!$G$12/12</f>
        <v>7.4333333333333335E-3</v>
      </c>
      <c r="I20" s="37">
        <f>'ROR 2021'!$G$12/12</f>
        <v>7.4333333333333335E-3</v>
      </c>
      <c r="J20" s="37">
        <f>'ROR 2021'!$G$12/12</f>
        <v>7.4333333333333335E-3</v>
      </c>
      <c r="K20" s="127">
        <f>'ROR 2021'!G12/12*6</f>
        <v>4.4600000000000001E-2</v>
      </c>
      <c r="L20" s="37"/>
      <c r="M20" s="37">
        <f>'ROR Eff 07.2021'!$G$12/12</f>
        <v>7.0499999999999998E-3</v>
      </c>
      <c r="N20" s="37">
        <f>'ROR Eff 07.2021'!$G$12/12</f>
        <v>7.0499999999999998E-3</v>
      </c>
      <c r="O20" s="37">
        <f>'ROR Eff 07.2021'!$G$12/12</f>
        <v>7.0499999999999998E-3</v>
      </c>
      <c r="P20" s="37">
        <f>'ROR Eff 07.2021'!$G$12/12</f>
        <v>7.0499999999999998E-3</v>
      </c>
      <c r="Q20" s="37">
        <f>'ROR Eff 07.2021'!$G$12/12</f>
        <v>7.0499999999999998E-3</v>
      </c>
      <c r="R20" s="37">
        <f>'ROR Eff 07.2021'!$G$12/12</f>
        <v>7.0499999999999998E-3</v>
      </c>
      <c r="S20" s="127">
        <f>'ROR Eff 07.2021'!G12/12*6</f>
        <v>4.2299999999999997E-2</v>
      </c>
      <c r="T20" s="127"/>
      <c r="U20" s="28"/>
      <c r="V20" s="458"/>
      <c r="W20" s="458"/>
      <c r="AA20" s="560"/>
    </row>
    <row r="21" spans="1:27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23"/>
      <c r="L21" s="13"/>
      <c r="M21" s="13"/>
      <c r="N21" s="13"/>
      <c r="O21" s="13"/>
      <c r="P21" s="13"/>
      <c r="Q21" s="13"/>
      <c r="R21" s="13"/>
      <c r="S21" s="123"/>
      <c r="T21" s="123"/>
      <c r="U21" s="28"/>
      <c r="V21" s="458"/>
      <c r="W21" s="458"/>
      <c r="AA21" s="560"/>
    </row>
    <row r="22" spans="1:27" s="31" customFormat="1">
      <c r="A22" s="32">
        <v>8</v>
      </c>
      <c r="B22" s="32"/>
      <c r="C22" s="31" t="s">
        <v>57</v>
      </c>
      <c r="D22" s="315">
        <f>D18*D20</f>
        <v>523969.32117125212</v>
      </c>
      <c r="E22" s="316">
        <f>E18*E20</f>
        <v>535032.1843005952</v>
      </c>
      <c r="F22" s="316">
        <f t="shared" ref="F22:R22" si="3">F18*F20</f>
        <v>543151.75731142715</v>
      </c>
      <c r="G22" s="316">
        <f t="shared" si="3"/>
        <v>555256.54708626412</v>
      </c>
      <c r="H22" s="316">
        <f t="shared" si="3"/>
        <v>565831.94272328203</v>
      </c>
      <c r="I22" s="316">
        <f t="shared" si="3"/>
        <v>575840.51749436394</v>
      </c>
      <c r="J22" s="316">
        <f t="shared" si="3"/>
        <v>585727.55011607672</v>
      </c>
      <c r="K22" s="317">
        <f>K18*K20</f>
        <v>3329836.9887456531</v>
      </c>
      <c r="L22" s="316"/>
      <c r="M22" s="316">
        <f t="shared" si="3"/>
        <v>247581.54312584139</v>
      </c>
      <c r="N22" s="316">
        <f t="shared" si="3"/>
        <v>250331.13134395742</v>
      </c>
      <c r="O22" s="316">
        <f t="shared" si="3"/>
        <v>253613.04169011017</v>
      </c>
      <c r="P22" s="316">
        <f t="shared" si="3"/>
        <v>257181.13936042297</v>
      </c>
      <c r="Q22" s="316">
        <f t="shared" si="3"/>
        <v>261257.55662326422</v>
      </c>
      <c r="R22" s="316">
        <f t="shared" si="3"/>
        <v>265412.52435168799</v>
      </c>
      <c r="S22" s="317">
        <f>S18*S20</f>
        <v>1524301.250130635</v>
      </c>
      <c r="T22" s="317">
        <f>K22+S22</f>
        <v>4854138.2388762878</v>
      </c>
      <c r="U22" s="28"/>
      <c r="V22" s="465"/>
      <c r="W22" s="465">
        <f>T22-RevReq!G26</f>
        <v>25813.043601286598</v>
      </c>
      <c r="AA22" s="560">
        <f>D22-'Rev Req 2020-Distr'!P22</f>
        <v>0</v>
      </c>
    </row>
    <row r="23" spans="1:27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23"/>
      <c r="L23" s="13"/>
      <c r="M23" s="13"/>
      <c r="N23" s="13"/>
      <c r="O23" s="13"/>
      <c r="P23" s="13"/>
      <c r="Q23" s="13"/>
      <c r="R23" s="13"/>
      <c r="S23" s="123"/>
      <c r="T23" s="123"/>
      <c r="U23" s="28"/>
      <c r="V23" s="458"/>
      <c r="W23" s="458"/>
      <c r="AA23" s="560"/>
    </row>
    <row r="24" spans="1:27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23"/>
      <c r="L24" s="13"/>
      <c r="M24" s="13"/>
      <c r="N24" s="13"/>
      <c r="O24" s="13"/>
      <c r="P24" s="13"/>
      <c r="Q24" s="13"/>
      <c r="R24" s="13"/>
      <c r="S24" s="123"/>
      <c r="T24" s="123"/>
      <c r="U24" s="28"/>
      <c r="V24" s="458"/>
      <c r="W24" s="458"/>
      <c r="AA24" s="560"/>
    </row>
    <row r="25" spans="1:27" s="31" customFormat="1">
      <c r="A25" s="32">
        <v>9</v>
      </c>
      <c r="B25" s="32"/>
      <c r="C25" s="31" t="s">
        <v>0</v>
      </c>
      <c r="D25" s="284">
        <f>'Rev Req 2020-Distr'!P25</f>
        <v>184603.42300500011</v>
      </c>
      <c r="E25" s="285">
        <f>SUM('202101 Bk Depr'!$P$13,'202101 Bk Depr'!$P$15:$P$18,'202101 Bk Depr'!$P$22,'202101 Bk Depr'!$P$24:$P$27)</f>
        <v>187792.10189775011</v>
      </c>
      <c r="F25" s="285">
        <f>SUM('202102 Bk Depr'!$P$13,'202102 Bk Depr'!$P$15:$P$18,'202102 Bk Depr'!$P$22,'202102 Bk Depr'!$P$24:$P$27)</f>
        <v>191111.7707977501</v>
      </c>
      <c r="G25" s="285">
        <f>SUM('202103 Bk Depr'!$P$13,'202103 Bk Depr'!$P$15:$P$18,'202103 Bk Depr'!$P$22,'202103 Bk Depr'!$P$24:$P$27)</f>
        <v>194186.66458275009</v>
      </c>
      <c r="H25" s="285">
        <f>SUM('202104 Bk Depr'!$P$13,'202104 Bk Depr'!$P$15:$P$18,'202104 Bk Depr'!$P$22,'202104 Bk Depr'!$P$24:$P$27)</f>
        <v>197767.31724450013</v>
      </c>
      <c r="I25" s="285">
        <f>SUM('202105 Bk Depr'!$P$13,'202105 Bk Depr'!$P$15:$P$18,'202105 Bk Depr'!$P$22,'202105 Bk Depr'!$P$24:$P$27)</f>
        <v>201697.32595725011</v>
      </c>
      <c r="J25" s="285">
        <f>SUM('202106 Bk Depr'!$P$13,'202106 Bk Depr'!$P$15:$P$18,'202106 Bk Depr'!$P$22,'202106 Bk Depr'!$P$24:$P$27)</f>
        <v>205601.27124600013</v>
      </c>
      <c r="K25" s="286"/>
      <c r="L25" s="285"/>
      <c r="M25" s="285">
        <f>SUM('202107 Bk Depr'!$P$13,'202107 Bk Depr'!$P$15:$P$18,'202107 Bk Depr'!$P$22,'202107 Bk Depr'!$P$24:$P$27)</f>
        <v>107967.64729050003</v>
      </c>
      <c r="N25" s="285">
        <f>SUM('202108 Bk Depr'!$P$13,'202108 Bk Depr'!$P$15:$P$18,'202108 Bk Depr'!$P$22,'202108 Bk Depr'!$P$24:$P$27)</f>
        <v>109822.03515450004</v>
      </c>
      <c r="O25" s="285">
        <f>SUM('202109 Bk Depr'!$P$13,'202109 Bk Depr'!$P$15:$P$18,'202109 Bk Depr'!$P$22,'202109 Bk Depr'!$P$24:$P$27)</f>
        <v>111460.40218150006</v>
      </c>
      <c r="P25" s="285">
        <f>SUM('202110 Bk Depr'!$P$13,'202110 Bk Depr'!$P$15:$P$18,'202110 Bk Depr'!$P$22,'202110 Bk Depr'!$P$24:$P$27)</f>
        <v>113145.88200950004</v>
      </c>
      <c r="Q25" s="285">
        <f>SUM('202111 Bk Depr'!$P$13,'202111 Bk Depr'!$P$15:$P$18,'202111 Bk Depr'!$P$22,'202111 Bk Depr'!$P$24:$P$27)</f>
        <v>115121.08752750004</v>
      </c>
      <c r="R25" s="285">
        <f>SUM('202112 Bk Depr'!$P$13,'202112 Bk Depr'!$P$15:$P$18,'202112 Bk Depr'!$P$22,'202112 Bk Depr'!$P$24:$P$27)</f>
        <v>117346.38124950005</v>
      </c>
      <c r="S25" s="286"/>
      <c r="T25" s="286">
        <f>SUM(E25:R25)</f>
        <v>1853019.8871390009</v>
      </c>
      <c r="U25" s="28"/>
      <c r="W25" s="464">
        <f>T25-OpEx!C23-OpEx!D23</f>
        <v>-356746.37555249949</v>
      </c>
      <c r="AA25" s="560">
        <f>D25-'Rev Req 2020-Distr'!P25</f>
        <v>0</v>
      </c>
    </row>
    <row r="26" spans="1:27" s="31" customFormat="1">
      <c r="A26" s="32">
        <v>10</v>
      </c>
      <c r="B26" s="32"/>
      <c r="C26" s="13" t="s">
        <v>59</v>
      </c>
      <c r="D26" s="284">
        <f>'Rev Req 2020-Distr'!P26</f>
        <v>99030.180000000008</v>
      </c>
      <c r="E26" s="285">
        <f>'Cap&amp;OpEx 2021'!C38</f>
        <v>81954.41</v>
      </c>
      <c r="F26" s="285">
        <f>'Cap&amp;OpEx 2021'!D38</f>
        <v>155745.27000000002</v>
      </c>
      <c r="G26" s="285">
        <f>'Cap&amp;OpEx 2021'!E38</f>
        <v>122027.39</v>
      </c>
      <c r="H26" s="285">
        <f>'Cap&amp;OpEx 2021'!F38</f>
        <v>207559.46000000002</v>
      </c>
      <c r="I26" s="285">
        <f>'Cap&amp;OpEx 2021'!G38</f>
        <v>163313.07</v>
      </c>
      <c r="J26" s="285">
        <f>'Cap&amp;OpEx 2021'!H38</f>
        <v>101459.6</v>
      </c>
      <c r="K26" s="286"/>
      <c r="L26" s="285"/>
      <c r="M26" s="285">
        <f>'Cap&amp;OpEx 2021'!I38</f>
        <v>143799.67999999999</v>
      </c>
      <c r="N26" s="285">
        <f>'Cap&amp;OpEx 2021'!J38</f>
        <v>132909.35999999999</v>
      </c>
      <c r="O26" s="285">
        <f>'Cap&amp;OpEx 2021'!K38</f>
        <v>89575.110000000015</v>
      </c>
      <c r="P26" s="285">
        <f>'Cap&amp;OpEx 2021'!L38</f>
        <v>101566.55</v>
      </c>
      <c r="Q26" s="285">
        <f>'Cap&amp;OpEx 2021'!M38</f>
        <v>36687.71</v>
      </c>
      <c r="R26" s="285">
        <f>'Cap&amp;OpEx 2021'!N38</f>
        <v>51396.25</v>
      </c>
      <c r="S26" s="286"/>
      <c r="T26" s="286">
        <f>SUM(E26:R26)</f>
        <v>1387993.8600000003</v>
      </c>
      <c r="U26" s="28"/>
      <c r="V26" s="464"/>
      <c r="W26" s="464">
        <f>T26-OpEx!B23</f>
        <v>-1227513.7400000012</v>
      </c>
      <c r="AA26" s="560">
        <f>D26-'Rev Req 2020-Distr'!P26</f>
        <v>0</v>
      </c>
    </row>
    <row r="27" spans="1:27" s="31" customFormat="1">
      <c r="A27" s="32">
        <v>11</v>
      </c>
      <c r="B27" s="32"/>
      <c r="C27" s="31" t="s">
        <v>175</v>
      </c>
      <c r="D27" s="284">
        <f>'Rev Req 2020-Distr'!P27</f>
        <v>68347</v>
      </c>
      <c r="E27" s="285">
        <f>'Cap&amp;OpEx 2021'!C40</f>
        <v>93842</v>
      </c>
      <c r="F27" s="285">
        <f>'Cap&amp;OpEx 2021'!D40</f>
        <v>93842</v>
      </c>
      <c r="G27" s="285">
        <f>'Cap&amp;OpEx 2021'!E40</f>
        <v>93842</v>
      </c>
      <c r="H27" s="285">
        <f>'Cap&amp;OpEx 2021'!F40</f>
        <v>93842</v>
      </c>
      <c r="I27" s="285">
        <f>'Cap&amp;OpEx 2021'!G40</f>
        <v>93842</v>
      </c>
      <c r="J27" s="285">
        <f>'Cap&amp;OpEx 2021'!H40</f>
        <v>93842</v>
      </c>
      <c r="K27" s="286"/>
      <c r="L27" s="285"/>
      <c r="M27" s="285">
        <f>'Cap&amp;OpEx 2021'!I40</f>
        <v>47940.5</v>
      </c>
      <c r="N27" s="285">
        <f>'Cap&amp;OpEx 2021'!J40</f>
        <v>47940.5</v>
      </c>
      <c r="O27" s="285">
        <f>'Cap&amp;OpEx 2021'!K40</f>
        <v>47941</v>
      </c>
      <c r="P27" s="285">
        <f>'Cap&amp;OpEx 2021'!L40</f>
        <v>47941</v>
      </c>
      <c r="Q27" s="285">
        <f>'Cap&amp;OpEx 2021'!M40</f>
        <v>47941</v>
      </c>
      <c r="R27" s="285">
        <f>'Cap&amp;OpEx 2021'!N40</f>
        <v>47941</v>
      </c>
      <c r="S27" s="286"/>
      <c r="T27" s="286">
        <f>SUM(E27:R27)</f>
        <v>850697</v>
      </c>
      <c r="U27" s="28"/>
      <c r="V27" s="464"/>
      <c r="W27" s="464">
        <f>T27-OpEx!E23</f>
        <v>80308.519999999902</v>
      </c>
      <c r="AA27" s="560">
        <f>D27-'Rev Req 2020-Distr'!P27</f>
        <v>0</v>
      </c>
    </row>
    <row r="28" spans="1:27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125"/>
      <c r="L28" s="47"/>
      <c r="M28" s="47"/>
      <c r="N28" s="47"/>
      <c r="O28" s="47"/>
      <c r="P28" s="47"/>
      <c r="Q28" s="47"/>
      <c r="R28" s="47"/>
      <c r="S28" s="125"/>
      <c r="T28" s="125"/>
      <c r="U28" s="28"/>
      <c r="V28" s="458"/>
      <c r="W28" s="458"/>
      <c r="AA28" s="560"/>
    </row>
    <row r="29" spans="1:27" s="31" customFormat="1">
      <c r="A29" s="32">
        <v>12</v>
      </c>
      <c r="B29" s="32"/>
      <c r="C29" s="31" t="s">
        <v>60</v>
      </c>
      <c r="D29" s="284">
        <f t="shared" ref="D29:R29" si="4">SUM(D25:D28)</f>
        <v>351980.6030050001</v>
      </c>
      <c r="E29" s="285">
        <f t="shared" si="4"/>
        <v>363588.51189775008</v>
      </c>
      <c r="F29" s="285">
        <f t="shared" si="4"/>
        <v>440699.04079775012</v>
      </c>
      <c r="G29" s="285">
        <f t="shared" si="4"/>
        <v>410056.05458275008</v>
      </c>
      <c r="H29" s="285">
        <f t="shared" si="4"/>
        <v>499168.77724450012</v>
      </c>
      <c r="I29" s="285">
        <f t="shared" si="4"/>
        <v>458852.39595725015</v>
      </c>
      <c r="J29" s="285">
        <f t="shared" si="4"/>
        <v>400902.87124600017</v>
      </c>
      <c r="K29" s="286"/>
      <c r="L29" s="285"/>
      <c r="M29" s="285">
        <f t="shared" si="4"/>
        <v>299707.82729050005</v>
      </c>
      <c r="N29" s="285">
        <f t="shared" si="4"/>
        <v>290671.89515450003</v>
      </c>
      <c r="O29" s="285">
        <f t="shared" si="4"/>
        <v>248976.51218150009</v>
      </c>
      <c r="P29" s="285">
        <f t="shared" si="4"/>
        <v>262653.43200950004</v>
      </c>
      <c r="Q29" s="285">
        <f t="shared" si="4"/>
        <v>199749.79752750005</v>
      </c>
      <c r="R29" s="285">
        <f t="shared" si="4"/>
        <v>216683.63124950003</v>
      </c>
      <c r="S29" s="286"/>
      <c r="T29" s="286">
        <f>SUM(T25:T28)</f>
        <v>4091710.7471390013</v>
      </c>
      <c r="U29" s="28"/>
      <c r="V29" s="465"/>
      <c r="W29" s="465">
        <f>T29-RevReq!H26</f>
        <v>-1503951.5955524994</v>
      </c>
      <c r="AA29" s="560">
        <f>D29-'Rev Req 2020-Distr'!P29</f>
        <v>0</v>
      </c>
    </row>
    <row r="30" spans="1:27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23"/>
      <c r="L30" s="13"/>
      <c r="M30" s="13"/>
      <c r="N30" s="13"/>
      <c r="O30" s="13"/>
      <c r="P30" s="13"/>
      <c r="Q30" s="13"/>
      <c r="R30" s="13"/>
      <c r="S30" s="123"/>
      <c r="T30" s="123"/>
      <c r="U30" s="28"/>
      <c r="V30" s="458"/>
      <c r="W30" s="458"/>
      <c r="AA30" s="560"/>
    </row>
    <row r="31" spans="1:27" s="31" customFormat="1">
      <c r="A31" s="32">
        <v>13</v>
      </c>
      <c r="B31" s="77" t="s">
        <v>162</v>
      </c>
      <c r="D31" s="321">
        <f t="shared" ref="D31:R31" si="5">D22+D29</f>
        <v>875949.92417625221</v>
      </c>
      <c r="E31" s="322">
        <f t="shared" si="5"/>
        <v>898620.69619834528</v>
      </c>
      <c r="F31" s="322">
        <f t="shared" si="5"/>
        <v>983850.79810917727</v>
      </c>
      <c r="G31" s="322">
        <f t="shared" si="5"/>
        <v>965312.6016690142</v>
      </c>
      <c r="H31" s="322">
        <f t="shared" si="5"/>
        <v>1065000.719967782</v>
      </c>
      <c r="I31" s="322">
        <f t="shared" si="5"/>
        <v>1034692.9134516141</v>
      </c>
      <c r="J31" s="322">
        <f t="shared" si="5"/>
        <v>986630.42136207689</v>
      </c>
      <c r="K31" s="323"/>
      <c r="L31" s="322"/>
      <c r="M31" s="322">
        <f t="shared" si="5"/>
        <v>547289.37041634147</v>
      </c>
      <c r="N31" s="322">
        <f t="shared" si="5"/>
        <v>541003.02649845742</v>
      </c>
      <c r="O31" s="322">
        <f t="shared" si="5"/>
        <v>502589.55387161026</v>
      </c>
      <c r="P31" s="322">
        <f t="shared" si="5"/>
        <v>519834.57136992301</v>
      </c>
      <c r="Q31" s="322">
        <f t="shared" si="5"/>
        <v>461007.35415076429</v>
      </c>
      <c r="R31" s="322">
        <f t="shared" si="5"/>
        <v>482096.15560118802</v>
      </c>
      <c r="S31" s="323"/>
      <c r="T31" s="323">
        <f>T22+T29</f>
        <v>8945848.98601529</v>
      </c>
      <c r="U31" s="28"/>
      <c r="V31" s="465"/>
      <c r="W31" s="465">
        <f>T31-RevReq!I26</f>
        <v>-1478138.5519512128</v>
      </c>
      <c r="AA31" s="560">
        <f>D31-'Rev Req 2020-Distr'!P31</f>
        <v>0</v>
      </c>
    </row>
    <row r="32" spans="1:27" s="31" customFormat="1">
      <c r="D32" s="36"/>
      <c r="E32" s="81"/>
      <c r="F32" s="81"/>
      <c r="G32" s="81"/>
      <c r="H32" s="81"/>
      <c r="I32" s="81"/>
      <c r="J32" s="81"/>
      <c r="L32" s="81"/>
      <c r="M32" s="81"/>
      <c r="N32" s="81"/>
      <c r="O32" s="81"/>
      <c r="P32" s="81"/>
      <c r="Q32" s="81"/>
      <c r="U32" s="28"/>
    </row>
    <row r="33" spans="1:30" s="31" customFormat="1">
      <c r="D33" s="36"/>
      <c r="E33" s="81"/>
      <c r="F33" s="81"/>
      <c r="G33" s="81"/>
      <c r="H33" s="81"/>
      <c r="I33" s="81"/>
      <c r="J33" s="81"/>
      <c r="L33" s="81"/>
      <c r="M33" s="81"/>
      <c r="N33" s="81"/>
      <c r="O33" s="81"/>
      <c r="P33" s="81"/>
      <c r="Q33" s="81"/>
      <c r="U33" s="28"/>
    </row>
    <row r="34" spans="1:30" s="31" customFormat="1">
      <c r="B34" s="1591" t="s">
        <v>702</v>
      </c>
      <c r="C34" s="1591"/>
      <c r="D34" s="1591"/>
      <c r="E34" s="1591"/>
      <c r="F34" s="1591"/>
      <c r="G34" s="1591"/>
      <c r="H34" s="1591"/>
      <c r="I34" s="1591"/>
      <c r="J34" s="1591"/>
      <c r="K34" s="1591"/>
      <c r="L34" s="1591"/>
      <c r="M34" s="1591"/>
      <c r="N34" s="1591"/>
      <c r="O34" s="81"/>
      <c r="P34" s="81"/>
      <c r="Q34" s="81"/>
      <c r="U34" s="28"/>
    </row>
    <row r="35" spans="1:30" s="31" customFormat="1" ht="20.25" customHeight="1">
      <c r="B35" s="1591"/>
      <c r="C35" s="1591"/>
      <c r="D35" s="1591"/>
      <c r="E35" s="1591"/>
      <c r="F35" s="1591"/>
      <c r="G35" s="1591"/>
      <c r="H35" s="1591"/>
      <c r="I35" s="1591"/>
      <c r="J35" s="1591"/>
      <c r="K35" s="1591"/>
      <c r="L35" s="1591"/>
      <c r="M35" s="1591"/>
      <c r="N35" s="1591"/>
      <c r="O35" s="518"/>
      <c r="P35" s="518"/>
      <c r="Q35" s="518"/>
      <c r="R35" s="518"/>
      <c r="S35" s="518"/>
      <c r="T35" s="518"/>
      <c r="U35" s="28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>
      <c r="A36" s="159"/>
      <c r="B36" s="518"/>
      <c r="C36" s="518"/>
      <c r="D36" s="518"/>
      <c r="E36" s="518"/>
      <c r="F36" s="518"/>
      <c r="G36" s="518"/>
      <c r="H36" s="518"/>
      <c r="I36" s="518"/>
      <c r="J36" s="518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>
      <c r="A37" s="159"/>
      <c r="B37" s="159"/>
      <c r="D37" s="590" t="s">
        <v>770</v>
      </c>
      <c r="E37" s="579">
        <f>E13-D13</f>
        <v>-188080.78213125048</v>
      </c>
      <c r="F37" s="579">
        <f t="shared" ref="F37:R37" si="6">F13-E13</f>
        <v>-191400.45103124995</v>
      </c>
      <c r="G37" s="579">
        <f t="shared" si="6"/>
        <v>108216.06519750971</v>
      </c>
      <c r="H37" s="579">
        <f t="shared" si="6"/>
        <v>-199386.21511800028</v>
      </c>
      <c r="I37" s="579">
        <f t="shared" si="6"/>
        <v>-203316.22383075021</v>
      </c>
      <c r="J37" s="579">
        <f t="shared" si="6"/>
        <v>-207220.16911950056</v>
      </c>
      <c r="K37" s="579"/>
      <c r="L37" s="579"/>
      <c r="M37" s="579">
        <f t="shared" si="6"/>
        <v>-109297.85542650009</v>
      </c>
      <c r="N37" s="579">
        <f t="shared" si="6"/>
        <v>-111152.24329050002</v>
      </c>
      <c r="O37" s="579">
        <f t="shared" si="6"/>
        <v>-112790.61031749984</v>
      </c>
      <c r="P37" s="579">
        <f t="shared" si="6"/>
        <v>-114476.09014549991</v>
      </c>
      <c r="Q37" s="579">
        <f t="shared" si="6"/>
        <v>-116451.2956635002</v>
      </c>
      <c r="R37" s="579">
        <f t="shared" si="6"/>
        <v>-118676.58938550018</v>
      </c>
      <c r="S37" s="23"/>
      <c r="T37" s="162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>
      <c r="A38" s="159"/>
      <c r="B38" s="159"/>
      <c r="D38" s="590" t="s">
        <v>771</v>
      </c>
      <c r="E38" s="579">
        <f>E25</f>
        <v>187792.10189775011</v>
      </c>
      <c r="F38" s="579">
        <f t="shared" ref="F38:R38" si="7">F25</f>
        <v>191111.7707977501</v>
      </c>
      <c r="G38" s="579">
        <f t="shared" si="7"/>
        <v>194186.66458275009</v>
      </c>
      <c r="H38" s="579">
        <f t="shared" si="7"/>
        <v>197767.31724450013</v>
      </c>
      <c r="I38" s="579">
        <f t="shared" si="7"/>
        <v>201697.32595725011</v>
      </c>
      <c r="J38" s="579">
        <f t="shared" si="7"/>
        <v>205601.27124600013</v>
      </c>
      <c r="K38" s="579"/>
      <c r="L38" s="579"/>
      <c r="M38" s="579">
        <f t="shared" si="7"/>
        <v>107967.64729050003</v>
      </c>
      <c r="N38" s="579">
        <f t="shared" si="7"/>
        <v>109822.03515450004</v>
      </c>
      <c r="O38" s="579">
        <f t="shared" si="7"/>
        <v>111460.40218150006</v>
      </c>
      <c r="P38" s="579">
        <f t="shared" si="7"/>
        <v>113145.88200950004</v>
      </c>
      <c r="Q38" s="579">
        <f t="shared" si="7"/>
        <v>115121.08752750004</v>
      </c>
      <c r="R38" s="579">
        <f t="shared" si="7"/>
        <v>117346.38124950005</v>
      </c>
      <c r="S38" s="23"/>
      <c r="T38" s="162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>
      <c r="A39" s="159"/>
      <c r="B39" s="159"/>
      <c r="D39" s="590" t="s">
        <v>638</v>
      </c>
      <c r="E39" s="579">
        <f>E37+E38</f>
        <v>-288.68023350037402</v>
      </c>
      <c r="F39" s="579">
        <f t="shared" ref="F39:R39" si="8">F37+F38</f>
        <v>-288.68023349985015</v>
      </c>
      <c r="G39" s="579">
        <f t="shared" si="8"/>
        <v>302402.72978025977</v>
      </c>
      <c r="H39" s="579">
        <f t="shared" si="8"/>
        <v>-1618.8978735001583</v>
      </c>
      <c r="I39" s="579">
        <f t="shared" si="8"/>
        <v>-1618.8978735001001</v>
      </c>
      <c r="J39" s="579">
        <f t="shared" si="8"/>
        <v>-1618.8978735004202</v>
      </c>
      <c r="K39" s="579"/>
      <c r="L39" s="579"/>
      <c r="M39" s="579">
        <f t="shared" si="8"/>
        <v>-1330.2081360000593</v>
      </c>
      <c r="N39" s="579">
        <f t="shared" si="8"/>
        <v>-1330.208135999972</v>
      </c>
      <c r="O39" s="579">
        <f t="shared" si="8"/>
        <v>-1330.2081359997828</v>
      </c>
      <c r="P39" s="579">
        <f t="shared" si="8"/>
        <v>-1330.2081359998701</v>
      </c>
      <c r="Q39" s="579">
        <f t="shared" si="8"/>
        <v>-1330.2081360001612</v>
      </c>
      <c r="R39" s="579">
        <f t="shared" si="8"/>
        <v>-1330.2081360001321</v>
      </c>
      <c r="S39" s="23"/>
      <c r="T39" s="162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>
      <c r="A40" s="159"/>
      <c r="B40" s="159"/>
      <c r="C40" s="578"/>
      <c r="D40" s="579"/>
      <c r="E40" s="579"/>
      <c r="F40" s="579"/>
      <c r="G40" s="579"/>
      <c r="H40" s="579"/>
      <c r="I40" s="579"/>
      <c r="J40" s="579"/>
      <c r="K40" s="580"/>
      <c r="L40" s="579"/>
      <c r="M40" s="579"/>
      <c r="N40" s="579"/>
      <c r="O40" s="579"/>
      <c r="P40" s="579"/>
      <c r="Q40" s="579"/>
      <c r="R40" s="579"/>
      <c r="S40" s="23"/>
      <c r="T40" s="162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>
      <c r="A41" s="23"/>
      <c r="B41" s="23"/>
      <c r="C41" s="163"/>
      <c r="D41" s="481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23"/>
      <c r="T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>
      <c r="A42" s="23"/>
      <c r="B42" s="164"/>
      <c r="C42" s="165"/>
      <c r="D42" s="481"/>
      <c r="E42" s="480"/>
      <c r="F42" s="480"/>
      <c r="G42" s="482"/>
      <c r="H42" s="482"/>
      <c r="I42" s="482"/>
      <c r="J42" s="482"/>
      <c r="M42" s="482"/>
      <c r="N42" s="482"/>
      <c r="O42" s="482"/>
      <c r="P42" s="482"/>
      <c r="Q42" s="482"/>
      <c r="R42" s="482"/>
      <c r="S42" s="23"/>
      <c r="T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>
      <c r="A43" s="23"/>
      <c r="B43" s="23"/>
      <c r="C43" s="165"/>
      <c r="D43" s="481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23"/>
      <c r="T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>
      <c r="A46" s="23"/>
      <c r="B46" s="23"/>
      <c r="C46" s="23"/>
      <c r="D46" s="23"/>
      <c r="E46" s="23"/>
      <c r="F46" s="166"/>
      <c r="G46" s="166"/>
      <c r="H46" s="166"/>
      <c r="I46" s="166"/>
      <c r="J46" s="166"/>
      <c r="K46" s="23"/>
      <c r="L46" s="166"/>
      <c r="M46" s="166"/>
      <c r="N46" s="166"/>
      <c r="O46" s="166"/>
      <c r="P46" s="166"/>
      <c r="Q46" s="166"/>
      <c r="R46" s="23"/>
      <c r="S46" s="23"/>
      <c r="T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8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8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8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V51" s="23"/>
      <c r="W51" s="19"/>
      <c r="X51" s="20"/>
      <c r="Y51" s="20"/>
      <c r="Z51" s="20"/>
      <c r="AA51" s="20"/>
      <c r="AB51" s="20"/>
      <c r="AC51" s="20"/>
      <c r="AD51" s="20"/>
      <c r="AE51" s="94"/>
      <c r="AF51" s="94"/>
      <c r="AG51" s="94"/>
      <c r="AH51" s="94"/>
      <c r="AI51" s="94"/>
      <c r="AJ51" s="94"/>
      <c r="AK51" s="94"/>
      <c r="AL51" s="94"/>
    </row>
    <row r="52" spans="1:38">
      <c r="A52" s="21"/>
      <c r="B52" s="159"/>
      <c r="C52" s="23"/>
      <c r="D52" s="21"/>
      <c r="E52" s="23"/>
      <c r="F52" s="21"/>
      <c r="G52" s="21"/>
      <c r="H52" s="21"/>
      <c r="I52" s="21"/>
      <c r="J52" s="21"/>
      <c r="K52" s="23"/>
      <c r="L52" s="21"/>
      <c r="M52" s="21"/>
      <c r="N52" s="21"/>
      <c r="O52" s="21"/>
      <c r="P52" s="21"/>
      <c r="Q52" s="21"/>
      <c r="R52" s="21"/>
      <c r="S52" s="23"/>
      <c r="T52" s="21"/>
      <c r="V52" s="23"/>
      <c r="W52" s="21"/>
      <c r="X52" s="22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>
      <c r="A53" s="84"/>
      <c r="B53" s="159"/>
      <c r="C53" s="84"/>
      <c r="D53" s="83"/>
      <c r="E53" s="23"/>
      <c r="F53" s="83"/>
      <c r="G53" s="83"/>
      <c r="H53" s="83"/>
      <c r="I53" s="83"/>
      <c r="J53" s="83"/>
      <c r="K53" s="23"/>
      <c r="L53" s="83"/>
      <c r="M53" s="83"/>
      <c r="N53" s="83"/>
      <c r="O53" s="83"/>
      <c r="P53" s="83"/>
      <c r="Q53" s="83"/>
      <c r="R53" s="83"/>
      <c r="S53" s="23"/>
      <c r="T53" s="83"/>
      <c r="V53" s="23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>
      <c r="A54" s="21"/>
      <c r="B54" s="159"/>
      <c r="C54" s="168"/>
      <c r="D54" s="168"/>
      <c r="E54" s="23"/>
      <c r="F54" s="168"/>
      <c r="G54" s="168"/>
      <c r="H54" s="168"/>
      <c r="I54" s="168"/>
      <c r="J54" s="168"/>
      <c r="K54" s="23"/>
      <c r="L54" s="168"/>
      <c r="M54" s="168"/>
      <c r="N54" s="168"/>
      <c r="O54" s="168"/>
      <c r="P54" s="168"/>
      <c r="Q54" s="168"/>
      <c r="R54" s="168"/>
      <c r="S54" s="23"/>
      <c r="T54" s="168"/>
      <c r="V54" s="23"/>
      <c r="W54" s="21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V55" s="23"/>
      <c r="W55" s="21"/>
      <c r="X55" s="24"/>
      <c r="Y55" s="24"/>
      <c r="Z55" s="24"/>
      <c r="AA55" s="24"/>
      <c r="AB55" s="24"/>
      <c r="AC55" s="24"/>
      <c r="AD55" s="25"/>
      <c r="AE55" s="24"/>
      <c r="AF55" s="25"/>
      <c r="AG55" s="25"/>
      <c r="AH55" s="25"/>
      <c r="AI55" s="24"/>
      <c r="AJ55" s="24"/>
      <c r="AK55" s="24"/>
      <c r="AL55" s="24"/>
    </row>
    <row r="56" spans="1:38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V56" s="23"/>
      <c r="W56" s="21"/>
      <c r="X56" s="24"/>
      <c r="Y56" s="24"/>
      <c r="Z56" s="24"/>
      <c r="AA56" s="24"/>
      <c r="AB56" s="24"/>
      <c r="AC56" s="24"/>
      <c r="AD56" s="25"/>
      <c r="AE56" s="24"/>
      <c r="AF56" s="24"/>
      <c r="AG56" s="24"/>
      <c r="AH56" s="25"/>
      <c r="AI56" s="24"/>
      <c r="AJ56" s="24"/>
      <c r="AK56" s="24"/>
      <c r="AL56" s="24"/>
    </row>
    <row r="57" spans="1:38">
      <c r="A57" s="159"/>
      <c r="B57" s="159"/>
      <c r="C57" s="161"/>
      <c r="D57" s="170"/>
      <c r="E57" s="23"/>
      <c r="F57" s="170"/>
      <c r="G57" s="170"/>
      <c r="H57" s="170"/>
      <c r="I57" s="170"/>
      <c r="J57" s="170"/>
      <c r="K57" s="23"/>
      <c r="L57" s="170"/>
      <c r="M57" s="170"/>
      <c r="N57" s="170"/>
      <c r="O57" s="170"/>
      <c r="P57" s="170"/>
      <c r="Q57" s="170"/>
      <c r="R57" s="170"/>
      <c r="S57" s="23"/>
      <c r="T57" s="170"/>
      <c r="V57" s="23"/>
      <c r="W57" s="21"/>
      <c r="X57" s="24"/>
      <c r="Y57" s="24"/>
      <c r="Z57" s="24"/>
      <c r="AA57" s="24"/>
      <c r="AB57" s="24"/>
      <c r="AC57" s="24"/>
      <c r="AD57" s="25"/>
      <c r="AE57" s="24"/>
      <c r="AF57" s="24"/>
      <c r="AG57" s="24"/>
      <c r="AH57" s="25"/>
      <c r="AI57" s="24"/>
      <c r="AJ57" s="24"/>
      <c r="AK57" s="24"/>
      <c r="AL57" s="24"/>
    </row>
    <row r="58" spans="1:38">
      <c r="A58" s="159"/>
      <c r="B58" s="159"/>
      <c r="C58" s="23"/>
      <c r="D58" s="170"/>
      <c r="E58" s="23"/>
      <c r="F58" s="170"/>
      <c r="G58" s="170"/>
      <c r="H58" s="170"/>
      <c r="I58" s="170"/>
      <c r="J58" s="170"/>
      <c r="K58" s="23"/>
      <c r="L58" s="170"/>
      <c r="M58" s="170"/>
      <c r="N58" s="170"/>
      <c r="O58" s="170"/>
      <c r="P58" s="170"/>
      <c r="Q58" s="170"/>
      <c r="R58" s="170"/>
      <c r="S58" s="23"/>
      <c r="T58" s="170"/>
      <c r="V58" s="23"/>
      <c r="W58" s="21"/>
      <c r="X58" s="24"/>
      <c r="Y58" s="24"/>
      <c r="Z58" s="24"/>
      <c r="AA58" s="24"/>
      <c r="AB58" s="24"/>
      <c r="AC58" s="24"/>
      <c r="AD58" s="25"/>
      <c r="AE58" s="24"/>
      <c r="AF58" s="24"/>
      <c r="AG58" s="24"/>
      <c r="AH58" s="25"/>
      <c r="AI58" s="24"/>
      <c r="AJ58" s="24"/>
      <c r="AK58" s="24"/>
      <c r="AL58" s="24"/>
    </row>
    <row r="59" spans="1:38">
      <c r="A59" s="159"/>
      <c r="B59" s="159"/>
      <c r="C59" s="23"/>
      <c r="D59" s="170"/>
      <c r="E59" s="23"/>
      <c r="F59" s="170"/>
      <c r="G59" s="170"/>
      <c r="H59" s="170"/>
      <c r="I59" s="170"/>
      <c r="J59" s="170"/>
      <c r="K59" s="23"/>
      <c r="L59" s="170"/>
      <c r="M59" s="170"/>
      <c r="N59" s="170"/>
      <c r="O59" s="170"/>
      <c r="P59" s="170"/>
      <c r="Q59" s="170"/>
      <c r="R59" s="170"/>
      <c r="S59" s="23"/>
      <c r="T59" s="170"/>
      <c r="V59" s="23"/>
      <c r="W59" s="21"/>
      <c r="X59" s="24"/>
      <c r="Y59" s="24"/>
      <c r="Z59" s="24"/>
      <c r="AA59" s="24"/>
      <c r="AB59" s="24"/>
      <c r="AC59" s="24"/>
      <c r="AD59" s="25"/>
      <c r="AE59" s="24"/>
      <c r="AF59" s="24"/>
      <c r="AG59" s="24"/>
      <c r="AH59" s="25"/>
      <c r="AI59" s="24"/>
      <c r="AJ59" s="24"/>
      <c r="AK59" s="24"/>
      <c r="AL59" s="24"/>
    </row>
    <row r="60" spans="1:38">
      <c r="A60" s="159"/>
      <c r="B60" s="159"/>
      <c r="C60" s="23"/>
      <c r="D60" s="170"/>
      <c r="E60" s="23"/>
      <c r="F60" s="170"/>
      <c r="G60" s="170"/>
      <c r="H60" s="170"/>
      <c r="I60" s="170"/>
      <c r="J60" s="170"/>
      <c r="K60" s="23"/>
      <c r="L60" s="170"/>
      <c r="M60" s="170"/>
      <c r="N60" s="170"/>
      <c r="O60" s="170"/>
      <c r="P60" s="170"/>
      <c r="Q60" s="170"/>
      <c r="R60" s="170"/>
      <c r="S60" s="23"/>
      <c r="T60" s="170"/>
      <c r="V60" s="23"/>
      <c r="W60" s="21"/>
      <c r="X60" s="23"/>
      <c r="Y60" s="23"/>
      <c r="Z60" s="23"/>
      <c r="AA60" s="23"/>
      <c r="AB60" s="23"/>
      <c r="AC60" s="23"/>
      <c r="AD60" s="25"/>
      <c r="AE60" s="24"/>
      <c r="AF60" s="24"/>
      <c r="AG60" s="24"/>
      <c r="AH60" s="25"/>
      <c r="AI60" s="24"/>
      <c r="AJ60" s="24"/>
      <c r="AK60" s="24"/>
      <c r="AL60" s="24"/>
    </row>
    <row r="61" spans="1:38">
      <c r="A61" s="159"/>
      <c r="B61" s="159"/>
      <c r="C61" s="23"/>
      <c r="D61" s="170"/>
      <c r="E61" s="23"/>
      <c r="F61" s="170"/>
      <c r="G61" s="170"/>
      <c r="H61" s="170"/>
      <c r="I61" s="170"/>
      <c r="J61" s="170"/>
      <c r="K61" s="23"/>
      <c r="L61" s="170"/>
      <c r="M61" s="170"/>
      <c r="N61" s="170"/>
      <c r="O61" s="170"/>
      <c r="P61" s="170"/>
      <c r="Q61" s="170"/>
      <c r="R61" s="170"/>
      <c r="S61" s="23"/>
      <c r="T61" s="170"/>
      <c r="V61" s="23"/>
      <c r="W61" s="21"/>
      <c r="X61" s="23"/>
      <c r="Y61" s="23"/>
      <c r="Z61" s="23"/>
      <c r="AA61" s="23"/>
      <c r="AB61" s="23"/>
      <c r="AC61" s="23"/>
      <c r="AD61" s="25"/>
      <c r="AE61" s="24"/>
      <c r="AF61" s="24"/>
      <c r="AG61" s="24"/>
      <c r="AH61" s="25"/>
      <c r="AI61" s="24"/>
      <c r="AJ61" s="24"/>
      <c r="AK61" s="24"/>
      <c r="AL61" s="24"/>
    </row>
    <row r="62" spans="1:38">
      <c r="A62" s="159"/>
      <c r="B62" s="159"/>
      <c r="C62" s="23"/>
      <c r="D62" s="170"/>
      <c r="E62" s="23"/>
      <c r="F62" s="170"/>
      <c r="G62" s="170"/>
      <c r="H62" s="170"/>
      <c r="I62" s="170"/>
      <c r="J62" s="170"/>
      <c r="K62" s="23"/>
      <c r="L62" s="170"/>
      <c r="M62" s="170"/>
      <c r="N62" s="170"/>
      <c r="O62" s="170"/>
      <c r="P62" s="170"/>
      <c r="Q62" s="170"/>
      <c r="R62" s="170"/>
      <c r="S62" s="23"/>
      <c r="T62" s="170"/>
      <c r="V62" s="23"/>
      <c r="W62" s="21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</row>
    <row r="63" spans="1:38">
      <c r="A63" s="159"/>
      <c r="B63" s="159"/>
      <c r="C63" s="23"/>
      <c r="D63" s="170"/>
      <c r="E63" s="23"/>
      <c r="F63" s="170"/>
      <c r="G63" s="170"/>
      <c r="H63" s="170"/>
      <c r="I63" s="170"/>
      <c r="J63" s="170"/>
      <c r="K63" s="23"/>
      <c r="L63" s="170"/>
      <c r="M63" s="170"/>
      <c r="N63" s="170"/>
      <c r="O63" s="170"/>
      <c r="P63" s="170"/>
      <c r="Q63" s="170"/>
      <c r="R63" s="170"/>
      <c r="S63" s="23"/>
      <c r="T63" s="170"/>
      <c r="V63" s="23"/>
      <c r="W63" s="23"/>
      <c r="X63" s="23"/>
      <c r="Y63" s="23"/>
      <c r="Z63" s="23"/>
      <c r="AA63" s="23"/>
      <c r="AB63" s="23"/>
      <c r="AC63" s="23"/>
      <c r="AD63" s="23"/>
    </row>
    <row r="64" spans="1:38">
      <c r="A64" s="159"/>
      <c r="B64" s="159"/>
      <c r="C64" s="161"/>
      <c r="D64" s="170"/>
      <c r="E64" s="23"/>
      <c r="F64" s="170"/>
      <c r="G64" s="170"/>
      <c r="H64" s="170"/>
      <c r="I64" s="170"/>
      <c r="J64" s="170"/>
      <c r="K64" s="23"/>
      <c r="L64" s="170"/>
      <c r="M64" s="170"/>
      <c r="N64" s="170"/>
      <c r="O64" s="170"/>
      <c r="P64" s="170"/>
      <c r="Q64" s="170"/>
      <c r="R64" s="170"/>
      <c r="S64" s="23"/>
      <c r="T64" s="170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>
      <c r="A66" s="159"/>
      <c r="B66" s="159"/>
      <c r="C66" s="23"/>
      <c r="D66" s="171"/>
      <c r="E66" s="23"/>
      <c r="F66" s="171"/>
      <c r="G66" s="171"/>
      <c r="H66" s="171"/>
      <c r="I66" s="171"/>
      <c r="J66" s="171"/>
      <c r="K66" s="23"/>
      <c r="L66" s="171"/>
      <c r="M66" s="171"/>
      <c r="N66" s="171"/>
      <c r="O66" s="171"/>
      <c r="P66" s="171"/>
      <c r="Q66" s="171"/>
      <c r="R66" s="171"/>
      <c r="S66" s="23"/>
      <c r="T66" s="171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>
      <c r="A68" s="159"/>
      <c r="B68" s="159"/>
      <c r="C68" s="23"/>
      <c r="D68" s="163"/>
      <c r="E68" s="23"/>
      <c r="F68" s="163"/>
      <c r="G68" s="163"/>
      <c r="H68" s="163"/>
      <c r="I68" s="163"/>
      <c r="J68" s="163"/>
      <c r="K68" s="23"/>
      <c r="L68" s="163"/>
      <c r="M68" s="163"/>
      <c r="N68" s="163"/>
      <c r="O68" s="163"/>
      <c r="P68" s="163"/>
      <c r="Q68" s="163"/>
      <c r="R68" s="163"/>
      <c r="S68" s="23"/>
      <c r="T68" s="16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23"/>
      <c r="L71" s="170"/>
      <c r="M71" s="170"/>
      <c r="N71" s="170"/>
      <c r="O71" s="170"/>
      <c r="P71" s="170"/>
      <c r="Q71" s="170"/>
      <c r="R71" s="170"/>
      <c r="S71" s="23"/>
      <c r="T71" s="170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23"/>
      <c r="L72" s="170"/>
      <c r="M72" s="170"/>
      <c r="N72" s="170"/>
      <c r="O72" s="170"/>
      <c r="P72" s="170"/>
      <c r="Q72" s="170"/>
      <c r="R72" s="170"/>
      <c r="S72" s="23"/>
      <c r="T72" s="170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23"/>
      <c r="L73" s="170"/>
      <c r="M73" s="170"/>
      <c r="N73" s="170"/>
      <c r="O73" s="170"/>
      <c r="P73" s="170"/>
      <c r="Q73" s="170"/>
      <c r="R73" s="170"/>
      <c r="S73" s="23"/>
      <c r="T73" s="170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23"/>
      <c r="L74" s="170"/>
      <c r="M74" s="170"/>
      <c r="N74" s="170"/>
      <c r="O74" s="170"/>
      <c r="P74" s="170"/>
      <c r="Q74" s="170"/>
      <c r="R74" s="170"/>
      <c r="S74" s="23"/>
      <c r="T74" s="170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23"/>
      <c r="L76" s="163"/>
      <c r="M76" s="163"/>
      <c r="N76" s="163"/>
      <c r="O76" s="163"/>
      <c r="P76" s="163"/>
      <c r="Q76" s="163"/>
      <c r="R76" s="163"/>
      <c r="S76" s="23"/>
      <c r="T76" s="16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23"/>
      <c r="L78" s="172"/>
      <c r="M78" s="172"/>
      <c r="N78" s="172"/>
      <c r="O78" s="172"/>
      <c r="P78" s="172"/>
      <c r="Q78" s="172"/>
      <c r="R78" s="172"/>
      <c r="S78" s="23"/>
      <c r="T78" s="172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23"/>
      <c r="L79" s="172"/>
      <c r="M79" s="172"/>
      <c r="N79" s="172"/>
      <c r="O79" s="172"/>
      <c r="P79" s="172"/>
      <c r="Q79" s="172"/>
      <c r="R79" s="172"/>
      <c r="S79" s="23"/>
      <c r="T79" s="172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23"/>
      <c r="L82" s="162"/>
      <c r="M82" s="162"/>
      <c r="N82" s="162"/>
      <c r="O82" s="162"/>
      <c r="P82" s="162"/>
      <c r="Q82" s="162"/>
      <c r="R82" s="162"/>
      <c r="S82" s="23"/>
      <c r="T82" s="162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23"/>
      <c r="L83" s="162"/>
      <c r="M83" s="162"/>
      <c r="N83" s="162"/>
      <c r="O83" s="162"/>
      <c r="P83" s="162"/>
      <c r="Q83" s="162"/>
      <c r="R83" s="162"/>
      <c r="S83" s="23"/>
      <c r="T83" s="162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23"/>
      <c r="L84" s="162"/>
      <c r="M84" s="162"/>
      <c r="N84" s="162"/>
      <c r="O84" s="162"/>
      <c r="P84" s="162"/>
      <c r="Q84" s="162"/>
      <c r="R84" s="162"/>
      <c r="S84" s="23"/>
      <c r="T84" s="162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23"/>
      <c r="L85" s="162"/>
      <c r="M85" s="162"/>
      <c r="N85" s="162"/>
      <c r="O85" s="162"/>
      <c r="P85" s="162"/>
      <c r="Q85" s="162"/>
      <c r="R85" s="162"/>
      <c r="S85" s="23"/>
      <c r="T85" s="162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V91" s="23"/>
      <c r="W91" s="23"/>
      <c r="X91" s="23"/>
      <c r="Y91" s="23"/>
      <c r="Z91" s="23"/>
      <c r="AA91" s="23"/>
      <c r="AB91" s="23"/>
      <c r="AC91" s="23"/>
      <c r="AD91" s="23"/>
    </row>
    <row r="92" spans="1:30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V92" s="23"/>
      <c r="W92" s="23"/>
      <c r="X92" s="23"/>
      <c r="Y92" s="23"/>
      <c r="Z92" s="23"/>
      <c r="AA92" s="23"/>
      <c r="AB92" s="23"/>
      <c r="AC92" s="23"/>
      <c r="AD92" s="23"/>
    </row>
    <row r="93" spans="1:30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V93" s="23"/>
      <c r="W93" s="23"/>
      <c r="X93" s="23"/>
      <c r="Y93" s="23"/>
      <c r="Z93" s="23"/>
      <c r="AA93" s="23"/>
      <c r="AB93" s="23"/>
      <c r="AC93" s="23"/>
      <c r="AD93" s="23"/>
    </row>
    <row r="94" spans="1:30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V94" s="23"/>
      <c r="W94" s="23"/>
      <c r="X94" s="23"/>
      <c r="Y94" s="23"/>
      <c r="Z94" s="23"/>
      <c r="AA94" s="23"/>
      <c r="AB94" s="23"/>
      <c r="AC94" s="23"/>
      <c r="AD94" s="23"/>
    </row>
    <row r="95" spans="1:30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V95" s="23"/>
      <c r="W95" s="23"/>
      <c r="X95" s="23"/>
      <c r="Y95" s="23"/>
      <c r="Z95" s="23"/>
      <c r="AA95" s="23"/>
      <c r="AB95" s="23"/>
      <c r="AC95" s="23"/>
      <c r="AD95" s="23"/>
    </row>
    <row r="96" spans="1:30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V96" s="23"/>
      <c r="W96" s="23"/>
      <c r="X96" s="23"/>
      <c r="Y96" s="23"/>
      <c r="Z96" s="23"/>
      <c r="AA96" s="23"/>
      <c r="AB96" s="23"/>
      <c r="AC96" s="23"/>
      <c r="AD96" s="23"/>
    </row>
    <row r="97" spans="1:30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V97" s="23"/>
      <c r="W97" s="23"/>
      <c r="X97" s="23"/>
      <c r="Y97" s="23"/>
      <c r="Z97" s="23"/>
      <c r="AA97" s="23"/>
      <c r="AB97" s="23"/>
      <c r="AC97" s="23"/>
      <c r="AD97" s="23"/>
    </row>
    <row r="98" spans="1:30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V98" s="23"/>
      <c r="W98" s="23"/>
      <c r="X98" s="23"/>
      <c r="Y98" s="23"/>
      <c r="Z98" s="23"/>
      <c r="AA98" s="23"/>
      <c r="AB98" s="23"/>
      <c r="AC98" s="23"/>
      <c r="AD98" s="23"/>
    </row>
    <row r="99" spans="1:30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V99" s="23"/>
      <c r="W99" s="23"/>
      <c r="X99" s="23"/>
      <c r="Y99" s="23"/>
      <c r="Z99" s="23"/>
      <c r="AA99" s="23"/>
      <c r="AB99" s="23"/>
      <c r="AC99" s="23"/>
      <c r="AD99" s="23"/>
    </row>
    <row r="100" spans="1:30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V100" s="23"/>
      <c r="W100" s="23"/>
      <c r="X100" s="23"/>
      <c r="Y100" s="23"/>
      <c r="Z100" s="23"/>
      <c r="AA100" s="23"/>
      <c r="AB100" s="23"/>
      <c r="AC100" s="23"/>
      <c r="AD100" s="23"/>
    </row>
    <row r="101" spans="1:30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V101" s="23"/>
      <c r="W101" s="23"/>
      <c r="X101" s="23"/>
      <c r="Y101" s="23"/>
      <c r="Z101" s="23"/>
      <c r="AA101" s="23"/>
      <c r="AB101" s="23"/>
      <c r="AC101" s="23"/>
      <c r="AD101" s="23"/>
    </row>
    <row r="102" spans="1:30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V102" s="23"/>
      <c r="W102" s="23"/>
      <c r="X102" s="23"/>
      <c r="Y102" s="23"/>
      <c r="Z102" s="23"/>
      <c r="AA102" s="23"/>
      <c r="AB102" s="23"/>
      <c r="AC102" s="23"/>
      <c r="AD102" s="23"/>
    </row>
    <row r="103" spans="1:30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V103" s="23"/>
      <c r="W103" s="23"/>
      <c r="X103" s="23"/>
      <c r="Y103" s="23"/>
      <c r="Z103" s="23"/>
      <c r="AA103" s="23"/>
      <c r="AB103" s="23"/>
      <c r="AC103" s="23"/>
      <c r="AD103" s="23"/>
    </row>
    <row r="104" spans="1:30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V104" s="23"/>
      <c r="W104" s="23"/>
      <c r="X104" s="23"/>
      <c r="Y104" s="23"/>
      <c r="Z104" s="23"/>
      <c r="AA104" s="23"/>
      <c r="AB104" s="23"/>
      <c r="AC104" s="23"/>
      <c r="AD104" s="23"/>
    </row>
    <row r="105" spans="1:30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V105" s="23"/>
      <c r="W105" s="23"/>
      <c r="X105" s="23"/>
      <c r="Y105" s="23"/>
      <c r="Z105" s="23"/>
      <c r="AA105" s="23"/>
      <c r="AB105" s="23"/>
      <c r="AC105" s="23"/>
      <c r="AD105" s="23"/>
    </row>
    <row r="106" spans="1:30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V106" s="23"/>
      <c r="W106" s="23"/>
      <c r="X106" s="23"/>
      <c r="Y106" s="23"/>
      <c r="Z106" s="23"/>
      <c r="AA106" s="23"/>
      <c r="AB106" s="23"/>
      <c r="AC106" s="23"/>
      <c r="AD106" s="23"/>
    </row>
    <row r="111" spans="1:30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L111" s="130"/>
      <c r="M111" s="130"/>
      <c r="N111" s="130"/>
      <c r="O111" s="130"/>
      <c r="P111" s="130"/>
      <c r="Q111" s="82"/>
    </row>
    <row r="119" spans="11:20">
      <c r="K119" s="28"/>
      <c r="P119" s="28"/>
      <c r="Q119" s="28"/>
      <c r="R119" s="28"/>
      <c r="S119" s="28"/>
      <c r="T119" s="28"/>
    </row>
    <row r="120" spans="11:20">
      <c r="K120" s="28"/>
      <c r="P120" s="28"/>
      <c r="Q120" s="28"/>
      <c r="R120" s="28"/>
      <c r="S120" s="28"/>
      <c r="T120" s="28"/>
    </row>
    <row r="121" spans="11:20">
      <c r="K121" s="28"/>
      <c r="P121" s="28"/>
      <c r="Q121" s="28"/>
      <c r="R121" s="28"/>
      <c r="S121" s="28"/>
      <c r="T121" s="28"/>
    </row>
    <row r="122" spans="11:20">
      <c r="K122" s="28"/>
      <c r="P122" s="28"/>
      <c r="Q122" s="28"/>
      <c r="R122" s="28"/>
      <c r="S122" s="28"/>
      <c r="T122" s="28"/>
    </row>
    <row r="123" spans="11:20">
      <c r="K123" s="28"/>
      <c r="P123" s="28"/>
      <c r="Q123" s="28"/>
      <c r="R123" s="28"/>
      <c r="S123" s="28"/>
      <c r="T123" s="28"/>
    </row>
    <row r="124" spans="11:20">
      <c r="K124" s="28"/>
      <c r="P124" s="28"/>
      <c r="Q124" s="28"/>
      <c r="R124" s="28"/>
      <c r="S124" s="28"/>
      <c r="T124" s="28"/>
    </row>
    <row r="125" spans="11:20">
      <c r="K125" s="28"/>
      <c r="P125" s="28"/>
      <c r="Q125" s="28"/>
      <c r="R125" s="28"/>
      <c r="S125" s="28"/>
      <c r="T125" s="28"/>
    </row>
    <row r="126" spans="11:20">
      <c r="K126" s="28"/>
      <c r="P126" s="28"/>
      <c r="Q126" s="28"/>
      <c r="R126" s="28"/>
      <c r="S126" s="28"/>
      <c r="T126" s="28"/>
    </row>
    <row r="127" spans="11:20">
      <c r="K127" s="28"/>
      <c r="P127" s="28"/>
      <c r="Q127" s="28"/>
      <c r="R127" s="28"/>
      <c r="S127" s="28"/>
      <c r="T127" s="28"/>
    </row>
    <row r="128" spans="11:20">
      <c r="K128" s="28"/>
      <c r="P128" s="28"/>
      <c r="Q128" s="28"/>
      <c r="R128" s="28"/>
      <c r="S128" s="28"/>
      <c r="T128" s="28"/>
    </row>
    <row r="129" spans="11:20">
      <c r="K129" s="28"/>
      <c r="P129" s="28"/>
      <c r="Q129" s="28"/>
      <c r="R129" s="28"/>
      <c r="S129" s="28"/>
      <c r="T129" s="28"/>
    </row>
    <row r="130" spans="11:20">
      <c r="K130" s="28"/>
      <c r="P130" s="28"/>
      <c r="Q130" s="28"/>
      <c r="R130" s="28"/>
      <c r="S130" s="28"/>
      <c r="T130" s="28"/>
    </row>
    <row r="131" spans="11:20">
      <c r="K131" s="28"/>
      <c r="P131" s="28"/>
      <c r="Q131" s="28"/>
      <c r="R131" s="28"/>
      <c r="S131" s="28"/>
      <c r="T131" s="28"/>
    </row>
    <row r="132" spans="11:20">
      <c r="K132" s="28"/>
      <c r="P132" s="28"/>
      <c r="Q132" s="28"/>
      <c r="R132" s="28"/>
      <c r="S132" s="28"/>
      <c r="T132" s="28"/>
    </row>
    <row r="133" spans="11:20">
      <c r="K133" s="28"/>
      <c r="P133" s="28"/>
      <c r="Q133" s="28"/>
      <c r="R133" s="28"/>
      <c r="S133" s="28"/>
      <c r="T133" s="28"/>
    </row>
    <row r="134" spans="11:20">
      <c r="K134" s="28"/>
      <c r="P134" s="28"/>
      <c r="Q134" s="28"/>
      <c r="R134" s="28"/>
      <c r="S134" s="28"/>
      <c r="T134" s="28"/>
    </row>
    <row r="1048576" spans="11:19">
      <c r="K1048576" s="80"/>
      <c r="S1048576" s="80"/>
    </row>
  </sheetData>
  <mergeCells count="2">
    <mergeCell ref="AE5:AL5"/>
    <mergeCell ref="B34:N35"/>
  </mergeCells>
  <pageMargins left="0.7" right="0.7" top="0.75" bottom="0.75" header="0.3" footer="0.3"/>
  <pageSetup scale="28" orientation="landscape" r:id="rId1"/>
  <headerFooter scaleWithDoc="0">
    <oddFooter>&amp;R&amp;"Times New Roman,Bold"Exhibit 4
Page 1 of 18&amp;L&amp;1#&amp;"Calibri"&amp;14&amp;K000000Business Use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FBE9-BFE3-422C-89AD-EBD98870EDF6}">
  <sheetPr>
    <tabColor theme="5" tint="0.39997558519241921"/>
    <pageSetUpPr fitToPage="1"/>
  </sheetPr>
  <dimension ref="A1:AM1048493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5" width="20.85546875" style="72" customWidth="1"/>
    <col min="6" max="10" width="23.5703125" style="72" bestFit="1" customWidth="1"/>
    <col min="11" max="11" width="23.5703125" style="72" customWidth="1"/>
    <col min="12" max="12" width="27.5703125" style="72" hidden="1" customWidth="1"/>
    <col min="13" max="16" width="20.85546875" style="72" hidden="1" customWidth="1"/>
    <col min="17" max="17" width="23.5703125" style="72" hidden="1" customWidth="1"/>
    <col min="18" max="18" width="23.5703125" style="372" hidden="1" customWidth="1"/>
    <col min="19" max="19" width="2.140625" style="72" hidden="1" customWidth="1"/>
    <col min="20" max="20" width="23.5703125" style="72" customWidth="1"/>
    <col min="21" max="21" width="17" style="72" customWidth="1"/>
    <col min="22" max="22" width="28.7109375" style="72" bestFit="1" customWidth="1"/>
    <col min="23" max="23" width="27.5703125" style="72" bestFit="1" customWidth="1"/>
    <col min="24" max="24" width="13.140625" style="72" bestFit="1" customWidth="1"/>
    <col min="25" max="25" width="22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9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9">
      <c r="A2" s="192" t="s">
        <v>251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9">
      <c r="A3" s="193" t="s">
        <v>548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9" s="31" customFormat="1">
      <c r="A4" s="73"/>
      <c r="D4" s="372"/>
      <c r="E4" s="519"/>
      <c r="F4" s="519"/>
      <c r="G4" s="519"/>
      <c r="H4" s="519"/>
      <c r="I4" s="519"/>
      <c r="J4" s="519"/>
      <c r="R4" s="372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9" s="31" customFormat="1">
      <c r="D5" s="226" t="s">
        <v>567</v>
      </c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8"/>
      <c r="R5" s="228"/>
      <c r="S5" s="228"/>
      <c r="T5" s="229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9" s="31" customFormat="1">
      <c r="A6" s="224" t="s">
        <v>4</v>
      </c>
      <c r="B6" s="32"/>
      <c r="D6" s="131">
        <v>2020</v>
      </c>
      <c r="E6" s="132">
        <v>2021</v>
      </c>
      <c r="F6" s="132">
        <f>$E$6</f>
        <v>2021</v>
      </c>
      <c r="G6" s="132">
        <f>$E$6</f>
        <v>2021</v>
      </c>
      <c r="H6" s="132">
        <f>$E$6</f>
        <v>2021</v>
      </c>
      <c r="I6" s="132">
        <f>$E$6</f>
        <v>2021</v>
      </c>
      <c r="J6" s="132">
        <f>$E$6</f>
        <v>2021</v>
      </c>
      <c r="K6" s="95" t="s">
        <v>694</v>
      </c>
      <c r="L6" s="95" t="s">
        <v>692</v>
      </c>
      <c r="M6" s="132">
        <f t="shared" ref="M6:T6" si="0">$E$6</f>
        <v>2021</v>
      </c>
      <c r="N6" s="132">
        <f t="shared" si="0"/>
        <v>2021</v>
      </c>
      <c r="O6" s="132">
        <f t="shared" si="0"/>
        <v>2021</v>
      </c>
      <c r="P6" s="132">
        <f t="shared" si="0"/>
        <v>2021</v>
      </c>
      <c r="Q6" s="132">
        <f t="shared" si="0"/>
        <v>2021</v>
      </c>
      <c r="R6" s="132">
        <f t="shared" si="0"/>
        <v>2021</v>
      </c>
      <c r="S6" s="95" t="s">
        <v>701</v>
      </c>
      <c r="T6" s="133">
        <f t="shared" si="0"/>
        <v>2021</v>
      </c>
      <c r="U6" s="372"/>
      <c r="X6" s="95"/>
      <c r="Y6" s="16"/>
      <c r="Z6" s="95"/>
      <c r="AA6" s="95"/>
      <c r="AB6" s="95"/>
      <c r="AC6" s="95"/>
      <c r="AD6" s="95"/>
      <c r="AE6" s="95"/>
      <c r="AF6" s="95"/>
      <c r="AG6" s="95"/>
      <c r="AH6" s="95"/>
      <c r="AI6" s="16"/>
      <c r="AJ6" s="95"/>
      <c r="AK6" s="95"/>
      <c r="AL6" s="95"/>
      <c r="AM6" s="95"/>
    </row>
    <row r="7" spans="1:39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16" t="s">
        <v>695</v>
      </c>
      <c r="L7" s="16" t="s">
        <v>699</v>
      </c>
      <c r="M7" s="75" t="s">
        <v>99</v>
      </c>
      <c r="N7" s="75" t="s">
        <v>100</v>
      </c>
      <c r="O7" s="75" t="s">
        <v>101</v>
      </c>
      <c r="P7" s="75" t="s">
        <v>102</v>
      </c>
      <c r="Q7" s="75" t="s">
        <v>103</v>
      </c>
      <c r="R7" s="75" t="s">
        <v>104</v>
      </c>
      <c r="S7" s="531">
        <v>44531</v>
      </c>
      <c r="T7" s="118" t="s">
        <v>341</v>
      </c>
      <c r="U7" s="372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16"/>
      <c r="AJ7" s="95"/>
      <c r="AK7" s="95"/>
      <c r="AL7" s="95"/>
      <c r="AM7" s="95"/>
    </row>
    <row r="8" spans="1:39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75" t="s">
        <v>696</v>
      </c>
      <c r="L8" s="530" t="s">
        <v>700</v>
      </c>
      <c r="M8" s="120">
        <v>-9</v>
      </c>
      <c r="N8" s="120">
        <v>-10</v>
      </c>
      <c r="O8" s="120">
        <v>-11</v>
      </c>
      <c r="P8" s="120">
        <v>-12</v>
      </c>
      <c r="Q8" s="120">
        <v>-13</v>
      </c>
      <c r="R8" s="120">
        <v>-14</v>
      </c>
      <c r="S8" s="75" t="s">
        <v>696</v>
      </c>
      <c r="T8" s="121">
        <v>-15</v>
      </c>
      <c r="U8" s="372"/>
      <c r="X8" s="95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</row>
    <row r="9" spans="1:39" s="31" customFormat="1">
      <c r="A9" s="32"/>
      <c r="B9" s="32"/>
      <c r="D9" s="122"/>
      <c r="E9" s="13"/>
      <c r="F9" s="13"/>
      <c r="G9" s="13"/>
      <c r="H9" s="13"/>
      <c r="I9" s="13"/>
      <c r="J9" s="13"/>
      <c r="K9" s="518"/>
      <c r="L9" s="521"/>
      <c r="M9" s="13"/>
      <c r="N9" s="13"/>
      <c r="O9" s="13"/>
      <c r="P9" s="13"/>
      <c r="Q9" s="13"/>
      <c r="R9" s="13"/>
      <c r="S9" s="518"/>
      <c r="T9" s="123"/>
      <c r="U9" s="372"/>
      <c r="V9" s="458" t="s">
        <v>625</v>
      </c>
      <c r="X9" s="95"/>
      <c r="Y9" s="17"/>
      <c r="Z9" s="17"/>
      <c r="AA9" s="17"/>
      <c r="AB9" s="17"/>
      <c r="AC9" s="17"/>
      <c r="AD9" s="17"/>
      <c r="AE9" s="18"/>
      <c r="AF9" s="17"/>
      <c r="AG9" s="18"/>
      <c r="AH9" s="18"/>
      <c r="AI9" s="18"/>
      <c r="AJ9" s="17"/>
      <c r="AK9" s="17"/>
      <c r="AL9" s="17"/>
      <c r="AM9" s="17"/>
    </row>
    <row r="10" spans="1:39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518"/>
      <c r="L10" s="521"/>
      <c r="M10" s="13"/>
      <c r="N10" s="13"/>
      <c r="O10" s="13"/>
      <c r="P10" s="13"/>
      <c r="Q10" s="13"/>
      <c r="R10" s="281"/>
      <c r="S10" s="281"/>
      <c r="T10" s="123"/>
      <c r="U10" s="372"/>
      <c r="V10" s="458" t="s">
        <v>792</v>
      </c>
      <c r="Y10" s="95"/>
      <c r="Z10" s="559" t="s">
        <v>762</v>
      </c>
      <c r="AA10" s="17"/>
      <c r="AB10" s="17"/>
      <c r="AC10" s="17"/>
      <c r="AD10" s="17"/>
      <c r="AE10" s="18"/>
      <c r="AF10" s="17"/>
      <c r="AG10" s="17"/>
      <c r="AH10" s="17"/>
      <c r="AI10" s="18"/>
      <c r="AJ10" s="17"/>
      <c r="AK10" s="17"/>
      <c r="AL10" s="17"/>
      <c r="AM10" s="17"/>
    </row>
    <row r="11" spans="1:39" s="31" customFormat="1">
      <c r="A11" s="32">
        <v>1</v>
      </c>
      <c r="B11" s="32"/>
      <c r="C11" s="78" t="s">
        <v>547</v>
      </c>
      <c r="D11" s="284">
        <f>'Rev Req 2020-Trans'!P11</f>
        <v>94038889.559999987</v>
      </c>
      <c r="E11" s="285">
        <f>'Cap&amp;OpEx 2021'!C11+'Cap&amp;OpEx 2021'!C18+D11</f>
        <v>98092767.479999989</v>
      </c>
      <c r="F11" s="285">
        <f>'Cap&amp;OpEx 2021'!D11+'Cap&amp;OpEx 2021'!D18+E11</f>
        <v>100925887.36999999</v>
      </c>
      <c r="G11" s="285">
        <f>'Cap&amp;OpEx 2021'!E11+'Cap&amp;OpEx 2021'!E18+F11</f>
        <v>105485382.59999999</v>
      </c>
      <c r="H11" s="285">
        <f>'Cap&amp;OpEx 2021'!F11+'Cap&amp;OpEx 2021'!F18+G11</f>
        <v>109684872.77</v>
      </c>
      <c r="I11" s="285">
        <f>'Cap&amp;OpEx 2021'!G11+'Cap&amp;OpEx 2021'!G18+H11</f>
        <v>114246931.81999999</v>
      </c>
      <c r="J11" s="285">
        <f>'Cap&amp;OpEx 2021'!H11+'Cap&amp;OpEx 2021'!H18+I11</f>
        <v>118628477.89999999</v>
      </c>
      <c r="K11" s="286">
        <f>AVERAGE(D11:J11)</f>
        <v>105871887.07142855</v>
      </c>
      <c r="L11" s="285">
        <v>0</v>
      </c>
      <c r="M11" s="285">
        <f>L11+'Cap&amp;OpEx 2021'!I11+'Cap&amp;OpEx 2021'!I18</f>
        <v>0</v>
      </c>
      <c r="N11" s="285">
        <f>'Cap&amp;OpEx 2021'!J11+'Cap&amp;OpEx 2021'!J18+M11</f>
        <v>0</v>
      </c>
      <c r="O11" s="285">
        <f>'Cap&amp;OpEx 2021'!K11+'Cap&amp;OpEx 2021'!K18+N11</f>
        <v>0</v>
      </c>
      <c r="P11" s="285">
        <f>'Cap&amp;OpEx 2021'!L11+'Cap&amp;OpEx 2021'!L18+O11</f>
        <v>0</v>
      </c>
      <c r="Q11" s="285">
        <f>'Cap&amp;OpEx 2021'!M11+'Cap&amp;OpEx 2021'!M18+P11</f>
        <v>0</v>
      </c>
      <c r="R11" s="285">
        <f>'Cap&amp;OpEx 2021'!N11+'Cap&amp;OpEx 2021'!N18+Q11</f>
        <v>0</v>
      </c>
      <c r="S11" s="286">
        <f>AVERAGE(L11:R11)</f>
        <v>0</v>
      </c>
      <c r="T11" s="286">
        <f>K11</f>
        <v>105871887.07142855</v>
      </c>
      <c r="U11" s="581"/>
      <c r="V11" s="465" t="e">
        <f>T11-AVERAGE('Net Assets'!#REF!)+AVERAGE('Net Assets'!#REF!)</f>
        <v>#REF!</v>
      </c>
      <c r="Y11" s="95"/>
      <c r="Z11" s="560">
        <f>D11-'Rev Req 2020-Trans'!P11</f>
        <v>0</v>
      </c>
      <c r="AA11" s="17"/>
      <c r="AB11" s="17"/>
      <c r="AC11" s="17"/>
      <c r="AD11" s="17"/>
      <c r="AE11" s="18"/>
      <c r="AF11" s="17"/>
      <c r="AG11" s="17"/>
      <c r="AH11" s="17"/>
      <c r="AI11" s="18"/>
      <c r="AJ11" s="17"/>
      <c r="AK11" s="17"/>
      <c r="AL11" s="17"/>
      <c r="AM11" s="17"/>
    </row>
    <row r="12" spans="1:39" s="31" customFormat="1">
      <c r="A12" s="32">
        <v>2</v>
      </c>
      <c r="B12" s="32"/>
      <c r="C12" s="31" t="s">
        <v>19</v>
      </c>
      <c r="D12" s="284">
        <f>'Rev Req 2020-Trans'!P12</f>
        <v>45058.31</v>
      </c>
      <c r="E12" s="285">
        <f>'Cap&amp;OpEx 2021'!C32+D12</f>
        <v>45145</v>
      </c>
      <c r="F12" s="285">
        <f>'Cap&amp;OpEx 2021'!D32+E12</f>
        <v>45145</v>
      </c>
      <c r="G12" s="285">
        <f>'Cap&amp;OpEx 2021'!E32+F12</f>
        <v>72393.06</v>
      </c>
      <c r="H12" s="285">
        <f>'Cap&amp;OpEx 2021'!F32+G12</f>
        <v>215201.69</v>
      </c>
      <c r="I12" s="285">
        <f>'Cap&amp;OpEx 2021'!G32+H12</f>
        <v>630408.11</v>
      </c>
      <c r="J12" s="285">
        <f>'Cap&amp;OpEx 2021'!H32+I12</f>
        <v>791876.57</v>
      </c>
      <c r="K12" s="286">
        <f>AVERAGE(D12:J12)</f>
        <v>263603.96285714285</v>
      </c>
      <c r="L12" s="285">
        <v>0</v>
      </c>
      <c r="M12" s="285">
        <f>L12+'Cap&amp;OpEx 2021'!I32</f>
        <v>0</v>
      </c>
      <c r="N12" s="285">
        <f>'Cap&amp;OpEx 2021'!J32+M12</f>
        <v>0</v>
      </c>
      <c r="O12" s="285">
        <f>'Cap&amp;OpEx 2021'!K32+N12</f>
        <v>0</v>
      </c>
      <c r="P12" s="285">
        <f>'Cap&amp;OpEx 2021'!L32+O12</f>
        <v>0</v>
      </c>
      <c r="Q12" s="285">
        <f>'Cap&amp;OpEx 2021'!M32+P12</f>
        <v>0</v>
      </c>
      <c r="R12" s="285">
        <f>'Cap&amp;OpEx 2021'!N32+Q12</f>
        <v>0</v>
      </c>
      <c r="S12" s="286">
        <f>AVERAGE(L12:R12)</f>
        <v>0</v>
      </c>
      <c r="T12" s="286">
        <f>K12</f>
        <v>263603.96285714285</v>
      </c>
      <c r="U12" s="372"/>
      <c r="V12" s="465" t="e">
        <f>T12-AVERAGE('Net Assets'!#REF!)</f>
        <v>#REF!</v>
      </c>
      <c r="Y12" s="95"/>
      <c r="Z12" s="560">
        <f>D12-'Rev Req 2020-Trans'!P12</f>
        <v>0</v>
      </c>
      <c r="AA12" s="17"/>
      <c r="AB12" s="17"/>
      <c r="AC12" s="17"/>
      <c r="AD12" s="17"/>
      <c r="AE12" s="18"/>
      <c r="AF12" s="17"/>
      <c r="AG12" s="17"/>
      <c r="AH12" s="17"/>
      <c r="AI12" s="18"/>
      <c r="AJ12" s="17"/>
      <c r="AK12" s="17"/>
      <c r="AL12" s="17"/>
      <c r="AM12" s="17"/>
    </row>
    <row r="13" spans="1:39" s="31" customFormat="1">
      <c r="A13" s="32">
        <v>3</v>
      </c>
      <c r="B13" s="32"/>
      <c r="C13" s="31" t="s">
        <v>52</v>
      </c>
      <c r="D13" s="284">
        <f>'Rev Req 2020-Trans'!P13</f>
        <v>-131963.36337458331</v>
      </c>
      <c r="E13" s="293">
        <f>SUM('Cap&amp;OpEx 2021'!C25)-SUM('202101 Bk Depr'!$P$14)+D13</f>
        <v>-263280.71283999993</v>
      </c>
      <c r="F13" s="293">
        <f>SUM('Cap&amp;OpEx 2021'!D25)-SUM('202102 Bk Depr'!$P$14,)+E13</f>
        <v>-397217.81365479156</v>
      </c>
      <c r="G13" s="293">
        <f>SUM('Cap&amp;OpEx 2021'!E25)-SUM('202103 Bk Depr'!$P$14)+F13</f>
        <v>-534609.75199958321</v>
      </c>
      <c r="H13" s="293">
        <f>SUM('Cap&amp;OpEx 2021'!F25)-SUM('202104 Bk Depr'!$P$14)+G13</f>
        <v>-675573.57664749981</v>
      </c>
      <c r="I13" s="293">
        <f>SUM('Cap&amp;OpEx 2021'!G25)-SUM('202105 Bk Depr'!$P$14)+H13</f>
        <v>-820845.56876749976</v>
      </c>
      <c r="J13" s="293">
        <f>SUM('Cap&amp;OpEx 2021'!H25)-SUM('202106 Bk Depr'!$P$14)+I13</f>
        <v>-971915.64597187471</v>
      </c>
      <c r="K13" s="291">
        <f>AVERAGE(D13:J13)</f>
        <v>-542200.91903654742</v>
      </c>
      <c r="L13" s="293">
        <v>0</v>
      </c>
      <c r="M13" s="293">
        <f>L13-SUM('202107 Bk Depr'!P14,'202107 Bk Depr'!P23)</f>
        <v>0</v>
      </c>
      <c r="N13" s="293">
        <f>-SUM('202108 Bk Depr'!P14,'202108 Bk Depr'!P23)+M13</f>
        <v>0</v>
      </c>
      <c r="O13" s="293">
        <f>-SUM('202109 Bk Depr'!P14,'202109 Bk Depr'!P23)+N13</f>
        <v>0</v>
      </c>
      <c r="P13" s="293">
        <f>-SUM('202110 Bk Depr'!P14,'202110 Bk Depr'!P23)+O13</f>
        <v>0</v>
      </c>
      <c r="Q13" s="293">
        <f>-SUM('202111 Bk Depr'!P14,'202111 Bk Depr'!P23)+P13</f>
        <v>0</v>
      </c>
      <c r="R13" s="293">
        <f>-SUM('202112 Bk Depr'!P14,'202112 Bk Depr'!P23)+Q13</f>
        <v>0</v>
      </c>
      <c r="S13" s="291">
        <f>AVERAGE(L13:R13)</f>
        <v>0</v>
      </c>
      <c r="T13" s="527">
        <f>K13</f>
        <v>-542200.91903654742</v>
      </c>
      <c r="U13" s="372"/>
      <c r="V13" s="465" t="e">
        <f>T13-AVERAGE('Net Assets'!#REF!)+AVERAGE('Net Assets'!#REF!)</f>
        <v>#REF!</v>
      </c>
      <c r="W13" s="619"/>
      <c r="Y13" s="95"/>
      <c r="Z13" s="560">
        <f>D13-'Rev Req 2020-Trans'!P13</f>
        <v>0</v>
      </c>
      <c r="AA13" s="17"/>
      <c r="AB13" s="17"/>
      <c r="AC13" s="17"/>
      <c r="AD13" s="17"/>
      <c r="AE13" s="18"/>
      <c r="AF13" s="17"/>
      <c r="AG13" s="17"/>
      <c r="AH13" s="17"/>
      <c r="AI13" s="18"/>
      <c r="AJ13" s="17"/>
      <c r="AK13" s="17"/>
      <c r="AL13" s="17"/>
      <c r="AM13" s="17"/>
    </row>
    <row r="14" spans="1:39" s="31" customFormat="1">
      <c r="A14" s="32">
        <v>4</v>
      </c>
      <c r="B14" s="32"/>
      <c r="C14" s="31" t="s">
        <v>53</v>
      </c>
      <c r="D14" s="324">
        <f t="shared" ref="D14:R14" si="1">SUM(D11:D13)</f>
        <v>93951984.506625414</v>
      </c>
      <c r="E14" s="285">
        <f t="shared" si="1"/>
        <v>97874631.767159984</v>
      </c>
      <c r="F14" s="285">
        <f t="shared" si="1"/>
        <v>100573814.55634519</v>
      </c>
      <c r="G14" s="285">
        <f t="shared" si="1"/>
        <v>105023165.90800041</v>
      </c>
      <c r="H14" s="285">
        <f t="shared" si="1"/>
        <v>109224500.88335249</v>
      </c>
      <c r="I14" s="285">
        <f t="shared" si="1"/>
        <v>114056494.36123249</v>
      </c>
      <c r="J14" s="285">
        <f t="shared" si="1"/>
        <v>118448438.8240281</v>
      </c>
      <c r="K14" s="286">
        <f>SUM(K11:K13)</f>
        <v>105593290.11524914</v>
      </c>
      <c r="L14" s="285">
        <f t="shared" ref="L14" si="2">SUM(L11:L13)</f>
        <v>0</v>
      </c>
      <c r="M14" s="285">
        <f t="shared" si="1"/>
        <v>0</v>
      </c>
      <c r="N14" s="285">
        <f t="shared" si="1"/>
        <v>0</v>
      </c>
      <c r="O14" s="285">
        <f t="shared" si="1"/>
        <v>0</v>
      </c>
      <c r="P14" s="285">
        <f t="shared" si="1"/>
        <v>0</v>
      </c>
      <c r="Q14" s="285">
        <f t="shared" si="1"/>
        <v>0</v>
      </c>
      <c r="R14" s="285">
        <f t="shared" si="1"/>
        <v>0</v>
      </c>
      <c r="S14" s="286">
        <f>SUM(S11:S13)</f>
        <v>0</v>
      </c>
      <c r="T14" s="286">
        <f>SUM(T11:T13)</f>
        <v>105593290.11524914</v>
      </c>
      <c r="U14" s="372"/>
      <c r="V14" s="458"/>
      <c r="Y14" s="95"/>
      <c r="Z14" s="560">
        <f>D14-'Rev Req 2020-Trans'!P14</f>
        <v>0</v>
      </c>
      <c r="AA14" s="13"/>
      <c r="AB14" s="13"/>
      <c r="AC14" s="13"/>
      <c r="AD14" s="13"/>
      <c r="AE14" s="18"/>
      <c r="AF14" s="17"/>
      <c r="AG14" s="17"/>
      <c r="AH14" s="17"/>
      <c r="AI14" s="18"/>
      <c r="AJ14" s="17"/>
      <c r="AK14" s="17"/>
      <c r="AL14" s="17"/>
      <c r="AM14" s="17"/>
    </row>
    <row r="15" spans="1:39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125"/>
      <c r="L15" s="47"/>
      <c r="M15" s="47"/>
      <c r="N15" s="47"/>
      <c r="O15" s="47"/>
      <c r="P15" s="47"/>
      <c r="Q15" s="47"/>
      <c r="R15" s="47"/>
      <c r="S15" s="125"/>
      <c r="T15" s="125"/>
      <c r="U15" s="372"/>
      <c r="V15" s="458"/>
      <c r="X15" s="458" t="s">
        <v>621</v>
      </c>
      <c r="Y15" s="95"/>
      <c r="Z15" s="560"/>
      <c r="AA15" s="13"/>
      <c r="AB15" s="13"/>
      <c r="AC15" s="13"/>
      <c r="AD15" s="13"/>
      <c r="AE15" s="18"/>
      <c r="AF15" s="17"/>
      <c r="AG15" s="17"/>
      <c r="AH15" s="17"/>
      <c r="AI15" s="18"/>
      <c r="AJ15" s="17"/>
      <c r="AK15" s="17"/>
      <c r="AL15" s="17"/>
      <c r="AM15" s="17"/>
    </row>
    <row r="16" spans="1:39" s="31" customFormat="1">
      <c r="A16" s="32">
        <v>5</v>
      </c>
      <c r="B16" s="32"/>
      <c r="C16" s="31" t="s">
        <v>54</v>
      </c>
      <c r="D16" s="292">
        <f>'Rev Req 2020-Trans'!P16</f>
        <v>-873652.32208204153</v>
      </c>
      <c r="E16" s="293">
        <f>-'Tax Depr 2021-Trans'!$R17</f>
        <v>-992823.40457359515</v>
      </c>
      <c r="F16" s="293">
        <f>-'Tax Depr 2021-Trans'!$R18</f>
        <v>-1114438.0766505213</v>
      </c>
      <c r="G16" s="293">
        <f>-'Tax Depr 2021-Trans'!$R19</f>
        <v>-1248365.8345306292</v>
      </c>
      <c r="H16" s="293">
        <f>-'Tax Depr 2021-Trans'!$R20</f>
        <v>-1411751.5566509822</v>
      </c>
      <c r="I16" s="293">
        <f>-'Tax Depr 2021-Trans'!$R21</f>
        <v>-1654627.3726388423</v>
      </c>
      <c r="J16" s="293">
        <f>-'Tax Depr 2021-Trans'!$R22</f>
        <v>-1839674.3604366924</v>
      </c>
      <c r="K16" s="291">
        <f>AVERAGE(D16:J16)</f>
        <v>-1305047.5610804721</v>
      </c>
      <c r="L16" s="293"/>
      <c r="M16" s="293">
        <v>0</v>
      </c>
      <c r="N16" s="293">
        <v>0</v>
      </c>
      <c r="O16" s="293">
        <v>0</v>
      </c>
      <c r="P16" s="293">
        <v>0</v>
      </c>
      <c r="Q16" s="293">
        <v>0</v>
      </c>
      <c r="R16" s="293">
        <v>0</v>
      </c>
      <c r="S16" s="291">
        <f>R16</f>
        <v>0</v>
      </c>
      <c r="T16" s="291">
        <f>K16</f>
        <v>-1305047.5610804721</v>
      </c>
      <c r="U16" s="372"/>
      <c r="V16" s="465" t="e">
        <f>AVERAGE(D16:J16)-AVERAGE('Net Assets'!#REF!)+AVERAGE('Net Assets'!#REF!)</f>
        <v>#REF!</v>
      </c>
      <c r="X16" s="459">
        <f>'Tax Depr 2021-Trans'!R22+J16</f>
        <v>0</v>
      </c>
      <c r="Y16" s="95"/>
      <c r="Z16" s="560">
        <f>D16-'Rev Req 2020-Trans'!P16</f>
        <v>0</v>
      </c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1:26" s="31" customFormat="1" ht="21" customHeight="1">
      <c r="A17" s="32"/>
      <c r="B17" s="32"/>
      <c r="D17" s="516"/>
      <c r="E17" s="47"/>
      <c r="F17" s="47"/>
      <c r="G17" s="47"/>
      <c r="H17" s="47"/>
      <c r="I17" s="47"/>
      <c r="J17" s="47"/>
      <c r="K17" s="125"/>
      <c r="L17" s="47"/>
      <c r="M17" s="47"/>
      <c r="N17" s="47"/>
      <c r="O17" s="47"/>
      <c r="P17" s="47"/>
      <c r="Q17" s="47"/>
      <c r="R17" s="47"/>
      <c r="S17" s="125"/>
      <c r="T17" s="125"/>
      <c r="U17" s="372"/>
      <c r="V17" s="458"/>
      <c r="X17" s="459">
        <f>K16+AVERAGE('Tax Depr 2021-Trans'!R16:R22)</f>
        <v>0</v>
      </c>
      <c r="Z17" s="560"/>
    </row>
    <row r="18" spans="1:26" s="31" customFormat="1">
      <c r="A18" s="32">
        <v>6</v>
      </c>
      <c r="B18" s="32"/>
      <c r="C18" s="78" t="s">
        <v>55</v>
      </c>
      <c r="D18" s="284">
        <f t="shared" ref="D18:Q18" si="3">SUM(D14:D16)</f>
        <v>93078332.184543371</v>
      </c>
      <c r="E18" s="285">
        <f t="shared" si="3"/>
        <v>96881808.362586394</v>
      </c>
      <c r="F18" s="285">
        <f t="shared" si="3"/>
        <v>99459376.479694679</v>
      </c>
      <c r="G18" s="285">
        <f t="shared" si="3"/>
        <v>103774800.07346979</v>
      </c>
      <c r="H18" s="285">
        <f t="shared" si="3"/>
        <v>107812749.32670151</v>
      </c>
      <c r="I18" s="285">
        <f t="shared" si="3"/>
        <v>112401866.98859365</v>
      </c>
      <c r="J18" s="285">
        <f t="shared" si="3"/>
        <v>116608764.46359141</v>
      </c>
      <c r="K18" s="286">
        <f>SUM(K14:K16)</f>
        <v>104288242.55416867</v>
      </c>
      <c r="L18" s="284">
        <f>SUM(L14:L16)</f>
        <v>0</v>
      </c>
      <c r="M18" s="285">
        <f t="shared" si="3"/>
        <v>0</v>
      </c>
      <c r="N18" s="285">
        <f t="shared" si="3"/>
        <v>0</v>
      </c>
      <c r="O18" s="285">
        <f t="shared" si="3"/>
        <v>0</v>
      </c>
      <c r="P18" s="285">
        <f t="shared" si="3"/>
        <v>0</v>
      </c>
      <c r="Q18" s="285">
        <f t="shared" si="3"/>
        <v>0</v>
      </c>
      <c r="R18" s="285">
        <f>SUM(R14:R16)</f>
        <v>0</v>
      </c>
      <c r="S18" s="286">
        <f>SUM(S14:S16)</f>
        <v>0</v>
      </c>
      <c r="T18" s="286">
        <f>SUM(T14:T16)</f>
        <v>104288242.55416867</v>
      </c>
      <c r="U18" s="372"/>
      <c r="V18" s="464"/>
      <c r="Z18" s="560">
        <f>D18-'Rev Req 2020-Trans'!P18</f>
        <v>0</v>
      </c>
    </row>
    <row r="19" spans="1:26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23"/>
      <c r="L19" s="13"/>
      <c r="M19" s="13"/>
      <c r="N19" s="13"/>
      <c r="O19" s="13"/>
      <c r="P19" s="13"/>
      <c r="Q19" s="13"/>
      <c r="R19" s="13"/>
      <c r="S19" s="123"/>
      <c r="T19" s="123"/>
      <c r="U19" s="372"/>
      <c r="V19" s="458"/>
      <c r="X19" s="458" t="s">
        <v>691</v>
      </c>
      <c r="Z19" s="560"/>
    </row>
    <row r="20" spans="1:26" s="31" customFormat="1">
      <c r="A20" s="32">
        <v>7</v>
      </c>
      <c r="B20" s="32"/>
      <c r="C20" s="31" t="s">
        <v>56</v>
      </c>
      <c r="D20" s="126">
        <f>'ROR 2021'!$G$12/12</f>
        <v>7.4333333333333335E-3</v>
      </c>
      <c r="E20" s="37">
        <f>'ROR 2021'!$G$12/12</f>
        <v>7.4333333333333335E-3</v>
      </c>
      <c r="F20" s="37">
        <f>'ROR 2021'!$G$12/12</f>
        <v>7.4333333333333335E-3</v>
      </c>
      <c r="G20" s="37">
        <f>'ROR 2021'!$G$12/12</f>
        <v>7.4333333333333335E-3</v>
      </c>
      <c r="H20" s="37">
        <f>'ROR 2021'!$G$12/12</f>
        <v>7.4333333333333335E-3</v>
      </c>
      <c r="I20" s="37">
        <f>'ROR 2021'!$G$12/12</f>
        <v>7.4333333333333335E-3</v>
      </c>
      <c r="J20" s="37">
        <f>'ROR 2021'!$G$12/12</f>
        <v>7.4333333333333335E-3</v>
      </c>
      <c r="K20" s="127">
        <f>'ROR 2021'!G12/12*6</f>
        <v>4.4600000000000001E-2</v>
      </c>
      <c r="L20" s="37"/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127">
        <v>0</v>
      </c>
      <c r="T20" s="127">
        <f>K20</f>
        <v>4.4600000000000001E-2</v>
      </c>
      <c r="U20" s="372"/>
      <c r="V20" s="458"/>
      <c r="X20" s="520">
        <f>T20-('ROR 2021'!G12/12*6)</f>
        <v>0</v>
      </c>
      <c r="Z20" s="560">
        <f>D20-'Rev Req 2020-Trans'!P20</f>
        <v>0</v>
      </c>
    </row>
    <row r="21" spans="1:26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23"/>
      <c r="L21" s="13"/>
      <c r="M21" s="13"/>
      <c r="N21" s="13"/>
      <c r="O21" s="13"/>
      <c r="P21" s="13"/>
      <c r="Q21" s="13"/>
      <c r="R21" s="13"/>
      <c r="S21" s="123"/>
      <c r="T21" s="123"/>
      <c r="U21" s="372"/>
      <c r="V21" s="458"/>
      <c r="Z21" s="560"/>
    </row>
    <row r="22" spans="1:26" s="31" customFormat="1">
      <c r="A22" s="32">
        <v>8</v>
      </c>
      <c r="B22" s="32"/>
      <c r="C22" s="31" t="s">
        <v>57</v>
      </c>
      <c r="D22" s="315">
        <f>D18*D20</f>
        <v>691882.26923843904</v>
      </c>
      <c r="E22" s="316">
        <f>E18*E20</f>
        <v>720154.77549522556</v>
      </c>
      <c r="F22" s="316">
        <f t="shared" ref="F22:Q22" si="4">F18*F20</f>
        <v>739314.69849906384</v>
      </c>
      <c r="G22" s="316">
        <f t="shared" si="4"/>
        <v>771392.6805461254</v>
      </c>
      <c r="H22" s="316">
        <f t="shared" si="4"/>
        <v>801408.1033284812</v>
      </c>
      <c r="I22" s="316">
        <f t="shared" si="4"/>
        <v>835520.54461521283</v>
      </c>
      <c r="J22" s="316">
        <f t="shared" si="4"/>
        <v>866791.81584602955</v>
      </c>
      <c r="K22" s="317">
        <f>K18*K20</f>
        <v>4651255.6179159228</v>
      </c>
      <c r="L22" s="316"/>
      <c r="M22" s="316">
        <f t="shared" si="4"/>
        <v>0</v>
      </c>
      <c r="N22" s="316">
        <f t="shared" si="4"/>
        <v>0</v>
      </c>
      <c r="O22" s="316">
        <f t="shared" si="4"/>
        <v>0</v>
      </c>
      <c r="P22" s="316">
        <f t="shared" si="4"/>
        <v>0</v>
      </c>
      <c r="Q22" s="316">
        <f t="shared" si="4"/>
        <v>0</v>
      </c>
      <c r="R22" s="316">
        <f>R18*R20</f>
        <v>0</v>
      </c>
      <c r="S22" s="317">
        <f>S18*S20</f>
        <v>0</v>
      </c>
      <c r="T22" s="317">
        <f>T18*T20</f>
        <v>4651255.6179159228</v>
      </c>
      <c r="U22" s="372"/>
      <c r="V22" s="465" t="e">
        <f>T22-RevReq!#REF!</f>
        <v>#REF!</v>
      </c>
      <c r="Z22" s="560">
        <f>D22-'Rev Req 2020-Trans'!P22</f>
        <v>0</v>
      </c>
    </row>
    <row r="23" spans="1:26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23"/>
      <c r="L23" s="13"/>
      <c r="M23" s="13"/>
      <c r="N23" s="13"/>
      <c r="O23" s="13"/>
      <c r="P23" s="13"/>
      <c r="Q23" s="13"/>
      <c r="R23" s="13"/>
      <c r="S23" s="526"/>
      <c r="T23" s="123"/>
      <c r="U23" s="372"/>
      <c r="V23" s="458"/>
      <c r="Z23" s="560"/>
    </row>
    <row r="24" spans="1:26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23"/>
      <c r="L24" s="13"/>
      <c r="M24" s="13"/>
      <c r="N24" s="13"/>
      <c r="O24" s="13"/>
      <c r="P24" s="13"/>
      <c r="Q24" s="13"/>
      <c r="R24" s="13"/>
      <c r="S24" s="123"/>
      <c r="T24" s="123"/>
      <c r="U24" s="372"/>
      <c r="V24" s="458"/>
      <c r="Z24" s="560"/>
    </row>
    <row r="25" spans="1:26" s="31" customFormat="1">
      <c r="A25" s="32">
        <v>9</v>
      </c>
      <c r="B25" s="32"/>
      <c r="C25" s="31" t="s">
        <v>0</v>
      </c>
      <c r="D25" s="284">
        <f>'Rev Req 2020-Trans'!P25</f>
        <v>128652.64663854166</v>
      </c>
      <c r="E25" s="285">
        <f>'202101 Bk Depr'!$P$14+'202101 Bk Depr'!$P$23</f>
        <v>130948.78924166666</v>
      </c>
      <c r="F25" s="285">
        <f>'202102 Bk Depr'!$P$14+'202102 Bk Depr'!$P$23</f>
        <v>133568.54059104164</v>
      </c>
      <c r="G25" s="285">
        <f>'202103 Bk Depr'!$P$14+'202103 Bk Depr'!$P$23</f>
        <v>137023.37812104166</v>
      </c>
      <c r="H25" s="285">
        <f>'202104 Bk Depr'!$P$14+'202104 Bk Depr'!$P$23</f>
        <v>140595.26442416664</v>
      </c>
      <c r="I25" s="285">
        <f>'202105 Bk Depr'!$P$14+'202105 Bk Depr'!$P$23</f>
        <v>144903.43189624997</v>
      </c>
      <c r="J25" s="285">
        <f>'202106 Bk Depr'!$P$14+'202106 Bk Depr'!$P$23</f>
        <v>150701.51698062499</v>
      </c>
      <c r="K25" s="286"/>
      <c r="L25" s="285"/>
      <c r="M25" s="285">
        <f>'202107 Bk Depr'!P14+'202107 Bk Depr'!P23</f>
        <v>0</v>
      </c>
      <c r="N25" s="285">
        <f>'202108 Bk Depr'!P14+'202108 Bk Depr'!P23</f>
        <v>0</v>
      </c>
      <c r="O25" s="285">
        <f>'202109 Bk Depr'!P14+'202109 Bk Depr'!P23</f>
        <v>0</v>
      </c>
      <c r="P25" s="285">
        <f>'202110 Bk Depr'!P14+'202110 Bk Depr'!P23</f>
        <v>0</v>
      </c>
      <c r="Q25" s="285">
        <f>'202111 Bk Depr'!P14+'202111 Bk Depr'!P23</f>
        <v>0</v>
      </c>
      <c r="R25" s="285">
        <f>'202112 Bk Depr'!P14+'202112 Bk Depr'!P23</f>
        <v>0</v>
      </c>
      <c r="S25" s="286"/>
      <c r="T25" s="286">
        <f>SUM(E25:J25)</f>
        <v>837740.92125479155</v>
      </c>
      <c r="U25" s="372"/>
      <c r="V25" s="464" t="e">
        <f>T25-OpEx!#REF!-OpEx!#REF!</f>
        <v>#REF!</v>
      </c>
      <c r="Z25" s="560">
        <f>D25-'Rev Req 2020-Trans'!P25</f>
        <v>0</v>
      </c>
    </row>
    <row r="26" spans="1:26" s="31" customFormat="1">
      <c r="A26" s="32">
        <v>10</v>
      </c>
      <c r="B26" s="32"/>
      <c r="C26" s="13" t="s">
        <v>59</v>
      </c>
      <c r="D26" s="284">
        <f>'Rev Req 2020-Trans'!P26</f>
        <v>0</v>
      </c>
      <c r="E26" s="285">
        <f>'Cap&amp;OpEx 2021'!C39</f>
        <v>0</v>
      </c>
      <c r="F26" s="285">
        <f>'Cap&amp;OpEx 2021'!D39</f>
        <v>0</v>
      </c>
      <c r="G26" s="285">
        <f>'Cap&amp;OpEx 2021'!E39</f>
        <v>0</v>
      </c>
      <c r="H26" s="285">
        <f>'Cap&amp;OpEx 2021'!F39</f>
        <v>0</v>
      </c>
      <c r="I26" s="285">
        <f>'Cap&amp;OpEx 2021'!G39</f>
        <v>0</v>
      </c>
      <c r="J26" s="285">
        <f>'Cap&amp;OpEx 2021'!H39</f>
        <v>0</v>
      </c>
      <c r="K26" s="286"/>
      <c r="L26" s="285"/>
      <c r="M26" s="285">
        <f>'Cap&amp;OpEx 2021'!I39</f>
        <v>0</v>
      </c>
      <c r="N26" s="285">
        <f>'Cap&amp;OpEx 2021'!J39</f>
        <v>0</v>
      </c>
      <c r="O26" s="285">
        <f>'Cap&amp;OpEx 2021'!K39</f>
        <v>0</v>
      </c>
      <c r="P26" s="285">
        <f>'Cap&amp;OpEx 2021'!L39</f>
        <v>0</v>
      </c>
      <c r="Q26" s="285">
        <f>'Cap&amp;OpEx 2021'!M39</f>
        <v>0</v>
      </c>
      <c r="R26" s="285">
        <f>'Cap&amp;OpEx 2021'!N39</f>
        <v>0</v>
      </c>
      <c r="S26" s="286"/>
      <c r="T26" s="286">
        <f>SUM(E26:J26)</f>
        <v>0</v>
      </c>
      <c r="U26" s="372"/>
      <c r="V26" s="464" t="e">
        <f>T26-OpEx!#REF!</f>
        <v>#REF!</v>
      </c>
      <c r="Z26" s="560">
        <f>D26-'Rev Req 2020-Trans'!P26</f>
        <v>0</v>
      </c>
    </row>
    <row r="27" spans="1:26" s="31" customFormat="1">
      <c r="A27" s="32">
        <v>11</v>
      </c>
      <c r="B27" s="32"/>
      <c r="C27" s="31" t="s">
        <v>175</v>
      </c>
      <c r="D27" s="284">
        <f>'Rev Req 2020-Trans'!P27</f>
        <v>64595</v>
      </c>
      <c r="E27" s="285">
        <f>'Cap&amp;OpEx 2021'!C41</f>
        <v>112456.31</v>
      </c>
      <c r="F27" s="285">
        <f>'Cap&amp;OpEx 2021'!D41</f>
        <v>112456.31</v>
      </c>
      <c r="G27" s="285">
        <f>'Cap&amp;OpEx 2021'!E41</f>
        <v>112456.31</v>
      </c>
      <c r="H27" s="285">
        <f>'Cap&amp;OpEx 2021'!F41</f>
        <v>112456.31</v>
      </c>
      <c r="I27" s="285">
        <f>'Cap&amp;OpEx 2021'!G41</f>
        <v>112456.31</v>
      </c>
      <c r="J27" s="285">
        <f>'Cap&amp;OpEx 2021'!H41</f>
        <v>112456.31</v>
      </c>
      <c r="K27" s="286"/>
      <c r="L27" s="285"/>
      <c r="M27" s="285">
        <f>'Cap&amp;OpEx 2021'!I41</f>
        <v>0</v>
      </c>
      <c r="N27" s="285">
        <f>'Cap&amp;OpEx 2021'!J41</f>
        <v>0</v>
      </c>
      <c r="O27" s="285">
        <f>'Cap&amp;OpEx 2021'!K41</f>
        <v>0</v>
      </c>
      <c r="P27" s="285">
        <f>'Cap&amp;OpEx 2021'!L41</f>
        <v>0</v>
      </c>
      <c r="Q27" s="285">
        <f>'Cap&amp;OpEx 2021'!M41</f>
        <v>0</v>
      </c>
      <c r="R27" s="285">
        <f>'Cap&amp;OpEx 2021'!N41</f>
        <v>0</v>
      </c>
      <c r="S27" s="286"/>
      <c r="T27" s="286">
        <f>SUM(E27:J27)</f>
        <v>674737.8600000001</v>
      </c>
      <c r="U27" s="372"/>
      <c r="V27" s="464" t="e">
        <f>T27-OpEx!#REF!</f>
        <v>#REF!</v>
      </c>
      <c r="Z27" s="560">
        <f>D27-'Rev Req 2020-Trans'!P27</f>
        <v>0</v>
      </c>
    </row>
    <row r="28" spans="1:26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125"/>
      <c r="L28" s="47"/>
      <c r="M28" s="47"/>
      <c r="N28" s="47"/>
      <c r="O28" s="47"/>
      <c r="P28" s="47"/>
      <c r="Q28" s="47"/>
      <c r="R28" s="47"/>
      <c r="S28" s="125"/>
      <c r="T28" s="125"/>
      <c r="U28" s="372"/>
      <c r="V28" s="458"/>
      <c r="Z28" s="560"/>
    </row>
    <row r="29" spans="1:26" s="31" customFormat="1">
      <c r="A29" s="32">
        <v>12</v>
      </c>
      <c r="B29" s="32"/>
      <c r="C29" s="31" t="s">
        <v>60</v>
      </c>
      <c r="D29" s="284">
        <f t="shared" ref="D29:T29" si="5">SUM(D25:D28)</f>
        <v>193247.64663854166</v>
      </c>
      <c r="E29" s="285">
        <f t="shared" si="5"/>
        <v>243405.09924166667</v>
      </c>
      <c r="F29" s="285">
        <f t="shared" si="5"/>
        <v>246024.85059104164</v>
      </c>
      <c r="G29" s="285">
        <f t="shared" si="5"/>
        <v>249479.68812104166</v>
      </c>
      <c r="H29" s="285">
        <f t="shared" si="5"/>
        <v>253051.57442416664</v>
      </c>
      <c r="I29" s="285">
        <f t="shared" si="5"/>
        <v>257359.74189624997</v>
      </c>
      <c r="J29" s="285">
        <f t="shared" si="5"/>
        <v>263157.82698062499</v>
      </c>
      <c r="K29" s="286"/>
      <c r="L29" s="285"/>
      <c r="M29" s="285">
        <f t="shared" si="5"/>
        <v>0</v>
      </c>
      <c r="N29" s="285">
        <f t="shared" si="5"/>
        <v>0</v>
      </c>
      <c r="O29" s="285">
        <f t="shared" si="5"/>
        <v>0</v>
      </c>
      <c r="P29" s="285">
        <f t="shared" si="5"/>
        <v>0</v>
      </c>
      <c r="Q29" s="285">
        <f t="shared" si="5"/>
        <v>0</v>
      </c>
      <c r="R29" s="285">
        <f t="shared" si="5"/>
        <v>0</v>
      </c>
      <c r="S29" s="286"/>
      <c r="T29" s="286">
        <f t="shared" si="5"/>
        <v>1512478.7812547917</v>
      </c>
      <c r="U29" s="372"/>
      <c r="V29" s="465" t="e">
        <f>T29-RevReq!#REF!</f>
        <v>#REF!</v>
      </c>
      <c r="Z29" s="560">
        <f>D29-'Rev Req 2020-Trans'!P29</f>
        <v>0</v>
      </c>
    </row>
    <row r="30" spans="1:26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23"/>
      <c r="L30" s="13"/>
      <c r="M30" s="13"/>
      <c r="N30" s="13"/>
      <c r="O30" s="13"/>
      <c r="P30" s="13"/>
      <c r="Q30" s="13"/>
      <c r="R30" s="13"/>
      <c r="S30" s="123"/>
      <c r="T30" s="123"/>
      <c r="U30" s="372"/>
      <c r="V30" s="458"/>
      <c r="Z30" s="560"/>
    </row>
    <row r="31" spans="1:26" s="31" customFormat="1">
      <c r="A31" s="32">
        <v>13</v>
      </c>
      <c r="B31" s="77" t="s">
        <v>162</v>
      </c>
      <c r="D31" s="321">
        <f>D22+D29</f>
        <v>885129.91587698064</v>
      </c>
      <c r="E31" s="322">
        <f>E22+E29</f>
        <v>963559.87473689229</v>
      </c>
      <c r="F31" s="322">
        <f t="shared" ref="F31:T31" si="6">F22+F29</f>
        <v>985339.54909010546</v>
      </c>
      <c r="G31" s="322">
        <f t="shared" si="6"/>
        <v>1020872.368667167</v>
      </c>
      <c r="H31" s="322">
        <f t="shared" si="6"/>
        <v>1054459.6777526478</v>
      </c>
      <c r="I31" s="322">
        <f t="shared" si="6"/>
        <v>1092880.2865114629</v>
      </c>
      <c r="J31" s="322">
        <f t="shared" si="6"/>
        <v>1129949.6428266545</v>
      </c>
      <c r="K31" s="323"/>
      <c r="L31" s="322"/>
      <c r="M31" s="322">
        <f t="shared" si="6"/>
        <v>0</v>
      </c>
      <c r="N31" s="322">
        <f t="shared" si="6"/>
        <v>0</v>
      </c>
      <c r="O31" s="322">
        <f t="shared" si="6"/>
        <v>0</v>
      </c>
      <c r="P31" s="322">
        <f t="shared" si="6"/>
        <v>0</v>
      </c>
      <c r="Q31" s="322">
        <f t="shared" si="6"/>
        <v>0</v>
      </c>
      <c r="R31" s="322">
        <f>R22+R29</f>
        <v>0</v>
      </c>
      <c r="S31" s="323"/>
      <c r="T31" s="323">
        <f t="shared" si="6"/>
        <v>6163734.3991707144</v>
      </c>
      <c r="U31" s="372"/>
      <c r="V31" s="465" t="e">
        <f>T31-RevReq!#REF!</f>
        <v>#REF!</v>
      </c>
      <c r="Z31" s="560">
        <f>D31-'Rev Req 2020-Trans'!P31</f>
        <v>0</v>
      </c>
    </row>
    <row r="32" spans="1:26" s="31" customFormat="1">
      <c r="A32" s="32"/>
      <c r="B32" s="32"/>
      <c r="D32" s="80"/>
      <c r="R32" s="80"/>
      <c r="S32" s="80"/>
      <c r="U32" s="372"/>
    </row>
    <row r="33" spans="1:21" s="372" customFormat="1" ht="21" customHeight="1"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</row>
    <row r="34" spans="1:21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36"/>
      <c r="S34" s="36"/>
      <c r="T34" s="36"/>
      <c r="U34" s="372"/>
    </row>
    <row r="35" spans="1:21" s="31" customFormat="1">
      <c r="A35" s="79"/>
      <c r="B35" s="30" t="s">
        <v>690</v>
      </c>
      <c r="T35" s="80"/>
      <c r="U35" s="372"/>
    </row>
    <row r="36" spans="1:21">
      <c r="R36" s="72"/>
      <c r="U36" s="372"/>
    </row>
    <row r="37" spans="1:21"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82" t="s">
        <v>638</v>
      </c>
    </row>
    <row r="38" spans="1:21">
      <c r="D38" s="568" t="s">
        <v>0</v>
      </c>
      <c r="E38" s="617">
        <f>E13-D13</f>
        <v>-131317.34946541663</v>
      </c>
      <c r="F38" s="617">
        <f t="shared" ref="F38:R38" si="7">F13-E13</f>
        <v>-133937.10081479163</v>
      </c>
      <c r="G38" s="617">
        <f t="shared" si="7"/>
        <v>-137391.93834479165</v>
      </c>
      <c r="H38" s="617">
        <f t="shared" si="7"/>
        <v>-140963.8246479166</v>
      </c>
      <c r="I38" s="617">
        <f t="shared" si="7"/>
        <v>-145271.99211999995</v>
      </c>
      <c r="J38" s="617">
        <f t="shared" si="7"/>
        <v>-151070.07720437495</v>
      </c>
      <c r="K38" s="617"/>
      <c r="L38" s="617"/>
      <c r="M38" s="617">
        <f>M13-L13</f>
        <v>0</v>
      </c>
      <c r="N38" s="617">
        <f t="shared" si="7"/>
        <v>0</v>
      </c>
      <c r="O38" s="617">
        <f t="shared" si="7"/>
        <v>0</v>
      </c>
      <c r="P38" s="617">
        <f t="shared" si="7"/>
        <v>0</v>
      </c>
      <c r="Q38" s="617">
        <f t="shared" si="7"/>
        <v>0</v>
      </c>
      <c r="R38" s="617">
        <f t="shared" si="7"/>
        <v>0</v>
      </c>
      <c r="S38" s="617"/>
      <c r="T38" s="617">
        <f>SUM(E38:R38)</f>
        <v>-839952.2825972914</v>
      </c>
      <c r="U38" s="618">
        <f>T38+T25</f>
        <v>-2211.3613424998475</v>
      </c>
    </row>
    <row r="39" spans="1:21">
      <c r="D39" s="568" t="s">
        <v>797</v>
      </c>
      <c r="E39" s="617" t="e">
        <f>OpEx!#REF!+OpEx!#REF!</f>
        <v>#REF!</v>
      </c>
      <c r="F39" s="617" t="e">
        <f>OpEx!#REF!+OpEx!#REF!</f>
        <v>#REF!</v>
      </c>
      <c r="G39" s="617" t="e">
        <f>OpEx!#REF!+OpEx!#REF!</f>
        <v>#REF!</v>
      </c>
      <c r="H39" s="617" t="e">
        <f>OpEx!#REF!+OpEx!#REF!</f>
        <v>#REF!</v>
      </c>
      <c r="I39" s="617" t="e">
        <f>OpEx!#REF!+OpEx!#REF!</f>
        <v>#REF!</v>
      </c>
      <c r="J39" s="617" t="e">
        <f>OpEx!#REF!+OpEx!#REF!</f>
        <v>#REF!</v>
      </c>
      <c r="K39" s="617"/>
      <c r="L39" s="617"/>
      <c r="M39" s="617"/>
      <c r="N39" s="617"/>
      <c r="O39" s="617"/>
      <c r="P39" s="617"/>
      <c r="Q39" s="617"/>
      <c r="R39" s="617"/>
      <c r="S39" s="617" t="s">
        <v>638</v>
      </c>
      <c r="T39" s="617">
        <f>T38+SUM('202101 Bk Depr'!P43,'202102 Bk Depr'!P43,'202103 Bk Depr'!P43,'202104 Bk Depr'!P43,'202105 Bk Depr'!P43,'202106 Bk Depr'!P43,'202107 Bk Depr'!P43,'202108 Bk Depr'!P43,'202109 Bk Depr'!P43,'202110 Bk Depr'!P43,'202111 Bk Depr'!P43,'202112 Bk Depr'!P43)</f>
        <v>-2211.3613424998475</v>
      </c>
      <c r="U39" s="617"/>
    </row>
    <row r="40" spans="1:21">
      <c r="D40" s="568" t="s">
        <v>798</v>
      </c>
      <c r="E40" s="617">
        <f>E25</f>
        <v>130948.78924166666</v>
      </c>
      <c r="F40" s="617">
        <f t="shared" ref="F40:J40" si="8">F25</f>
        <v>133568.54059104164</v>
      </c>
      <c r="G40" s="617">
        <f t="shared" si="8"/>
        <v>137023.37812104166</v>
      </c>
      <c r="H40" s="617">
        <f t="shared" si="8"/>
        <v>140595.26442416664</v>
      </c>
      <c r="I40" s="617">
        <f t="shared" si="8"/>
        <v>144903.43189624997</v>
      </c>
      <c r="J40" s="617">
        <f t="shared" si="8"/>
        <v>150701.51698062499</v>
      </c>
      <c r="K40" s="568"/>
      <c r="L40" s="568"/>
      <c r="M40" s="568"/>
      <c r="N40" s="568"/>
      <c r="O40" s="568"/>
      <c r="P40" s="568"/>
      <c r="Q40" s="568"/>
      <c r="R40" s="582"/>
      <c r="S40" s="568"/>
      <c r="T40" s="570"/>
      <c r="U40" s="568"/>
    </row>
    <row r="41" spans="1:21">
      <c r="E41" s="617"/>
      <c r="G41" s="569"/>
    </row>
    <row r="42" spans="1:21">
      <c r="D42" s="481" t="s">
        <v>660</v>
      </c>
      <c r="E42" s="480">
        <f>E11-D11</f>
        <v>4053877.9200000018</v>
      </c>
      <c r="F42" s="480">
        <f t="shared" ref="F42:J42" si="9">F11-E11</f>
        <v>2833119.8900000006</v>
      </c>
      <c r="G42" s="480">
        <f>G11-F11</f>
        <v>4559495.2300000042</v>
      </c>
      <c r="H42" s="480">
        <f t="shared" si="9"/>
        <v>4199490.1700000018</v>
      </c>
      <c r="I42" s="480">
        <f t="shared" si="9"/>
        <v>4562059.049999997</v>
      </c>
      <c r="J42" s="480">
        <f t="shared" si="9"/>
        <v>4381546.0799999982</v>
      </c>
    </row>
    <row r="43" spans="1:21">
      <c r="D43" s="481" t="s">
        <v>778</v>
      </c>
      <c r="E43" s="480" t="e">
        <f>'Net Assets'!#REF!</f>
        <v>#REF!</v>
      </c>
      <c r="F43" s="480" t="e">
        <f>'Net Assets'!#REF!</f>
        <v>#REF!</v>
      </c>
      <c r="G43" s="482" t="e">
        <f>'Net Assets'!#REF!</f>
        <v>#REF!</v>
      </c>
      <c r="H43" s="482" t="e">
        <f>'Net Assets'!#REF!</f>
        <v>#REF!</v>
      </c>
      <c r="I43" s="482" t="e">
        <f>'Net Assets'!#REF!</f>
        <v>#REF!</v>
      </c>
      <c r="J43" s="482" t="e">
        <f>'Net Assets'!#REF!</f>
        <v>#REF!</v>
      </c>
    </row>
    <row r="44" spans="1:21">
      <c r="D44" s="481" t="s">
        <v>39</v>
      </c>
      <c r="E44" s="480" t="e">
        <f>E42-E43</f>
        <v>#REF!</v>
      </c>
      <c r="F44" s="480" t="e">
        <f>F42-F43</f>
        <v>#REF!</v>
      </c>
      <c r="G44" s="480" t="e">
        <f t="shared" ref="G44:J44" si="10">G42-G43</f>
        <v>#REF!</v>
      </c>
      <c r="H44" s="480" t="e">
        <f t="shared" si="10"/>
        <v>#REF!</v>
      </c>
      <c r="I44" s="480" t="e">
        <f t="shared" si="10"/>
        <v>#REF!</v>
      </c>
      <c r="J44" s="480" t="e">
        <f t="shared" si="10"/>
        <v>#REF!</v>
      </c>
    </row>
    <row r="47" spans="1:21">
      <c r="C47" s="481" t="s">
        <v>799</v>
      </c>
      <c r="D47" s="480">
        <f>D13</f>
        <v>-131963.36337458331</v>
      </c>
      <c r="E47" s="480">
        <f t="shared" ref="E47:J47" si="11">E13</f>
        <v>-263280.71283999993</v>
      </c>
      <c r="F47" s="480">
        <f t="shared" si="11"/>
        <v>-397217.81365479156</v>
      </c>
      <c r="G47" s="480">
        <f t="shared" si="11"/>
        <v>-534609.75199958321</v>
      </c>
      <c r="H47" s="480">
        <f t="shared" si="11"/>
        <v>-675573.57664749981</v>
      </c>
      <c r="I47" s="480">
        <f t="shared" si="11"/>
        <v>-820845.56876749976</v>
      </c>
      <c r="J47" s="480">
        <f t="shared" si="11"/>
        <v>-971915.64597187471</v>
      </c>
    </row>
    <row r="48" spans="1:21">
      <c r="C48" s="481" t="s">
        <v>800</v>
      </c>
      <c r="D48" s="480">
        <v>-317268.3</v>
      </c>
      <c r="E48" s="480">
        <v>-448585.65</v>
      </c>
      <c r="F48" s="480">
        <v>-582522.75</v>
      </c>
      <c r="G48" s="480">
        <v>-719914.7</v>
      </c>
      <c r="H48" s="480">
        <v>-860878.52</v>
      </c>
      <c r="I48" s="480">
        <v>-1006150.52</v>
      </c>
      <c r="J48" s="480">
        <v>-1157220.6000000001</v>
      </c>
    </row>
    <row r="49" spans="3:10">
      <c r="C49" s="481" t="s">
        <v>800</v>
      </c>
      <c r="D49" s="480">
        <v>-185304.9326494066</v>
      </c>
      <c r="E49" s="480">
        <f>D49</f>
        <v>-185304.9326494066</v>
      </c>
      <c r="F49" s="480">
        <f t="shared" ref="F49:J49" si="12">E49</f>
        <v>-185304.9326494066</v>
      </c>
      <c r="G49" s="480">
        <f t="shared" si="12"/>
        <v>-185304.9326494066</v>
      </c>
      <c r="H49" s="480">
        <f t="shared" si="12"/>
        <v>-185304.9326494066</v>
      </c>
      <c r="I49" s="480">
        <f t="shared" si="12"/>
        <v>-185304.9326494066</v>
      </c>
      <c r="J49" s="480">
        <f t="shared" si="12"/>
        <v>-185304.9326494066</v>
      </c>
    </row>
    <row r="50" spans="3:10">
      <c r="C50" s="481" t="s">
        <v>800</v>
      </c>
      <c r="D50" s="480">
        <f>D48-D49</f>
        <v>-131963.36735059338</v>
      </c>
      <c r="E50" s="480">
        <f t="shared" ref="E50:J50" si="13">E48-E49</f>
        <v>-263280.71735059342</v>
      </c>
      <c r="F50" s="480">
        <f t="shared" si="13"/>
        <v>-397217.8173505934</v>
      </c>
      <c r="G50" s="480">
        <f t="shared" si="13"/>
        <v>-534609.76735059335</v>
      </c>
      <c r="H50" s="480">
        <f t="shared" si="13"/>
        <v>-675573.58735059341</v>
      </c>
      <c r="I50" s="480">
        <f t="shared" si="13"/>
        <v>-820845.58735059341</v>
      </c>
      <c r="J50" s="480">
        <f t="shared" si="13"/>
        <v>-971915.66735059349</v>
      </c>
    </row>
    <row r="51" spans="3:10">
      <c r="D51" s="480">
        <f>D47-D50</f>
        <v>3.9760100771673024E-3</v>
      </c>
      <c r="E51" s="480">
        <f t="shared" ref="E51:J51" si="14">E47-E50</f>
        <v>4.5105934841558337E-3</v>
      </c>
      <c r="F51" s="480">
        <f t="shared" si="14"/>
        <v>3.6958018317818642E-3</v>
      </c>
      <c r="G51" s="480">
        <f t="shared" si="14"/>
        <v>1.5351010137237608E-2</v>
      </c>
      <c r="H51" s="480">
        <f t="shared" si="14"/>
        <v>1.070309360511601E-2</v>
      </c>
      <c r="I51" s="480">
        <f t="shared" si="14"/>
        <v>1.8583093653433025E-2</v>
      </c>
      <c r="J51" s="480">
        <f t="shared" si="14"/>
        <v>2.1378718782216311E-2</v>
      </c>
    </row>
    <row r="52" spans="3:10">
      <c r="D52" s="480"/>
    </row>
    <row r="53" spans="3:10">
      <c r="D53" s="480"/>
    </row>
    <row r="54" spans="3:10">
      <c r="D54" s="480"/>
    </row>
    <row r="55" spans="3:10">
      <c r="D55" s="480"/>
    </row>
    <row r="56" spans="3:10">
      <c r="D56" s="480"/>
    </row>
    <row r="1048493" spans="19:19">
      <c r="S1048493" s="80">
        <f>SUM(D1048493:P1048576)</f>
        <v>0</v>
      </c>
    </row>
  </sheetData>
  <mergeCells count="1">
    <mergeCell ref="AC5:AJ5"/>
  </mergeCells>
  <pageMargins left="0.7" right="0.7" top="0.75" bottom="0.75" header="0.3" footer="0.3"/>
  <pageSetup scale="43" orientation="landscape" r:id="rId1"/>
  <headerFooter scaleWithDoc="0">
    <oddFooter>&amp;R&amp;"Times New Roman,Bold"Exhibit 4
Page 2 of 18&amp;L&amp;1#&amp;"Calibri"&amp;14&amp;K000000Business Use</oddFooter>
  </headerFooter>
  <rowBreaks count="1" manualBreakCount="1">
    <brk id="3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0A264-10B8-4BE5-A65B-56F46EE131B7}">
  <sheetPr>
    <tabColor theme="5" tint="0.39997558519241921"/>
    <pageSetUpPr fitToPage="1"/>
  </sheetPr>
  <dimension ref="A1:AD58"/>
  <sheetViews>
    <sheetView zoomScale="70" zoomScaleNormal="70" workbookViewId="0"/>
  </sheetViews>
  <sheetFormatPr defaultColWidth="9.140625" defaultRowHeight="15.75"/>
  <cols>
    <col min="1" max="1" width="9.140625" style="372"/>
    <col min="2" max="2" width="53" style="26" bestFit="1" customWidth="1"/>
    <col min="3" max="15" width="15.85546875" style="26" customWidth="1"/>
    <col min="16" max="16" width="12.140625" style="372" bestFit="1" customWidth="1"/>
    <col min="17" max="17" width="16.140625" style="372" bestFit="1" customWidth="1"/>
    <col min="18" max="30" width="14.85546875" style="372" customWidth="1"/>
    <col min="31" max="31" width="9.140625" style="372"/>
    <col min="32" max="32" width="10.5703125" style="372" bestFit="1" customWidth="1"/>
    <col min="33" max="16384" width="9.140625" style="372"/>
  </cols>
  <sheetData>
    <row r="1" spans="1:30" ht="18.75">
      <c r="A1" s="191" t="s">
        <v>65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379"/>
      <c r="Y1" s="379"/>
      <c r="Z1" s="379"/>
      <c r="AA1" s="379"/>
      <c r="AB1" s="379"/>
      <c r="AC1" s="379"/>
      <c r="AD1" s="379"/>
    </row>
    <row r="2" spans="1:30" ht="18.75">
      <c r="A2" s="191" t="s">
        <v>251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379"/>
      <c r="Y2" s="379"/>
      <c r="Z2" s="379"/>
      <c r="AA2" s="379"/>
      <c r="AB2" s="379"/>
      <c r="AC2" s="379"/>
      <c r="AD2" s="379"/>
    </row>
    <row r="3" spans="1:30" ht="18.75">
      <c r="A3" s="191" t="s">
        <v>158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379"/>
      <c r="Y3" s="379"/>
      <c r="Z3" s="379"/>
      <c r="AA3" s="379"/>
      <c r="AB3" s="379"/>
      <c r="AC3" s="379"/>
      <c r="AD3" s="379"/>
    </row>
    <row r="4" spans="1:30">
      <c r="Q4" s="379"/>
      <c r="R4" s="379"/>
      <c r="S4" s="379"/>
      <c r="T4" s="379"/>
      <c r="U4" s="379"/>
      <c r="V4" s="379"/>
      <c r="X4" s="379"/>
      <c r="Y4" s="379"/>
      <c r="Z4" s="379"/>
      <c r="AA4" s="379"/>
      <c r="AB4" s="379"/>
      <c r="AC4" s="379"/>
      <c r="AD4" s="379"/>
    </row>
    <row r="5" spans="1:30">
      <c r="Q5" s="379"/>
      <c r="R5" s="379"/>
      <c r="S5" s="379"/>
      <c r="T5" s="379"/>
      <c r="U5" s="379"/>
      <c r="V5" s="379"/>
      <c r="X5" s="379"/>
      <c r="Y5" s="379"/>
      <c r="Z5" s="379"/>
      <c r="AA5" s="379"/>
      <c r="AB5" s="379"/>
      <c r="AC5" s="379"/>
      <c r="AD5" s="379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67</v>
      </c>
      <c r="Q6" s="372"/>
      <c r="R6" s="372"/>
      <c r="S6" s="372"/>
      <c r="T6" s="372"/>
      <c r="U6" s="372"/>
      <c r="V6" s="372"/>
      <c r="W6" s="372"/>
    </row>
    <row r="7" spans="1:30" ht="16.5" thickBot="1">
      <c r="A7" s="44" t="s">
        <v>5</v>
      </c>
      <c r="B7" s="44" t="s">
        <v>6</v>
      </c>
      <c r="C7" s="44" t="s">
        <v>83</v>
      </c>
      <c r="D7" s="44" t="s">
        <v>84</v>
      </c>
      <c r="E7" s="44" t="s">
        <v>253</v>
      </c>
      <c r="F7" s="44" t="s">
        <v>254</v>
      </c>
      <c r="G7" s="44" t="s">
        <v>85</v>
      </c>
      <c r="H7" s="44" t="s">
        <v>255</v>
      </c>
      <c r="I7" s="44" t="s">
        <v>86</v>
      </c>
      <c r="J7" s="44" t="s">
        <v>87</v>
      </c>
      <c r="K7" s="44" t="s">
        <v>88</v>
      </c>
      <c r="L7" s="44" t="s">
        <v>89</v>
      </c>
      <c r="M7" s="44" t="s">
        <v>90</v>
      </c>
      <c r="N7" s="44" t="s">
        <v>91</v>
      </c>
      <c r="O7" s="44">
        <v>2021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Q8" s="582"/>
      <c r="R8" s="582"/>
      <c r="S8" s="582"/>
      <c r="T8" s="582"/>
      <c r="U8" s="582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Q9" s="582"/>
      <c r="R9" s="582"/>
      <c r="S9" s="582"/>
      <c r="T9" s="582"/>
      <c r="U9" s="582"/>
    </row>
    <row r="10" spans="1:30">
      <c r="A10" s="378">
        <v>1</v>
      </c>
      <c r="B10" s="26" t="s">
        <v>246</v>
      </c>
      <c r="C10" s="364">
        <v>0</v>
      </c>
      <c r="D10" s="364">
        <v>0</v>
      </c>
      <c r="E10" s="364">
        <v>0</v>
      </c>
      <c r="F10" s="364">
        <v>0</v>
      </c>
      <c r="G10" s="364">
        <v>0</v>
      </c>
      <c r="H10" s="364">
        <v>0</v>
      </c>
      <c r="I10" s="364">
        <v>0</v>
      </c>
      <c r="J10" s="364">
        <v>0</v>
      </c>
      <c r="K10" s="364">
        <v>0</v>
      </c>
      <c r="L10" s="364">
        <v>0</v>
      </c>
      <c r="M10" s="364">
        <v>0</v>
      </c>
      <c r="N10" s="364">
        <v>0</v>
      </c>
      <c r="O10" s="364">
        <f>SUM(C10:N10)</f>
        <v>0</v>
      </c>
      <c r="P10" s="380"/>
      <c r="Q10" s="582"/>
      <c r="R10" s="582"/>
      <c r="S10" s="582"/>
      <c r="T10" s="488">
        <f>SUM('2021 Capital Budget'!E8:P19,'2021 Capital Budget'!E29:P29)</f>
        <v>37382652.759999998</v>
      </c>
      <c r="U10" s="582" t="s">
        <v>654</v>
      </c>
    </row>
    <row r="11" spans="1:30">
      <c r="A11" s="378">
        <f>A10+1</f>
        <v>2</v>
      </c>
      <c r="B11" s="26" t="s">
        <v>247</v>
      </c>
      <c r="C11" s="364">
        <f>SUM('2021 Capital Budget'!E17:E19)</f>
        <v>4053877.92</v>
      </c>
      <c r="D11" s="364">
        <f>SUM('2021 Capital Budget'!F17:F19)</f>
        <v>2833119.8899999997</v>
      </c>
      <c r="E11" s="364">
        <f>SUM('2021 Capital Budget'!G17:G19)</f>
        <v>4559495.2300000004</v>
      </c>
      <c r="F11" s="364">
        <f>SUM('2021 Capital Budget'!H17:H19)</f>
        <v>4199490.17</v>
      </c>
      <c r="G11" s="364">
        <f>SUM('2021 Capital Budget'!I17:I19)</f>
        <v>4562059.05</v>
      </c>
      <c r="H11" s="364">
        <f>SUM('2021 Capital Budget'!J17:J19)</f>
        <v>4381546.08</v>
      </c>
      <c r="I11" s="364">
        <f>SUM('2021 Capital Budget'!K17:K19)</f>
        <v>0</v>
      </c>
      <c r="J11" s="364">
        <f>SUM('2021 Capital Budget'!L17:L19)</f>
        <v>0</v>
      </c>
      <c r="K11" s="364">
        <f>SUM('2021 Capital Budget'!M17:M19)</f>
        <v>0</v>
      </c>
      <c r="L11" s="364">
        <f>SUM('2021 Capital Budget'!N17:N19)</f>
        <v>0</v>
      </c>
      <c r="M11" s="364">
        <f>SUM('2021 Capital Budget'!O17:O19)</f>
        <v>0</v>
      </c>
      <c r="N11" s="364">
        <f>SUM('2021 Capital Budget'!P17:P19)</f>
        <v>0</v>
      </c>
      <c r="O11" s="364">
        <f t="shared" ref="O11:O14" si="0">SUM(C11:N11)</f>
        <v>24589588.339999996</v>
      </c>
      <c r="P11" s="380"/>
      <c r="Q11" s="582"/>
      <c r="R11" s="582"/>
      <c r="S11" s="582"/>
      <c r="T11" s="583">
        <f>'Base Rate Retirements 2021'!O13</f>
        <v>492712.70999999961</v>
      </c>
      <c r="U11" s="582" t="s">
        <v>655</v>
      </c>
    </row>
    <row r="12" spans="1:30">
      <c r="A12" s="378">
        <f>A11+1</f>
        <v>3</v>
      </c>
      <c r="B12" s="26" t="s">
        <v>77</v>
      </c>
      <c r="C12" s="364">
        <f>SUM('2021 Capital Budget'!E15:E16,'2021 Capital Budget'!E29)</f>
        <v>146495.78</v>
      </c>
      <c r="D12" s="364">
        <f>SUM('2021 Capital Budget'!F15:F16,'2021 Capital Budget'!F29)</f>
        <v>199564.84000000003</v>
      </c>
      <c r="E12" s="364">
        <f>SUM('2021 Capital Budget'!G15:G16,'2021 Capital Budget'!G29)</f>
        <v>189226.85</v>
      </c>
      <c r="F12" s="364">
        <f>SUM('2021 Capital Budget'!H15:H16,'2021 Capital Budget'!H29)</f>
        <v>169499.61000000002</v>
      </c>
      <c r="G12" s="364">
        <f>SUM('2021 Capital Budget'!I15:I16,'2021 Capital Budget'!I29)</f>
        <v>215512.80000000002</v>
      </c>
      <c r="H12" s="364">
        <f>SUM('2021 Capital Budget'!J15:J16,'2021 Capital Budget'!J29)</f>
        <v>114959.79000000001</v>
      </c>
      <c r="I12" s="364">
        <f>SUM('2021 Capital Budget'!K15:K16,'2021 Capital Budget'!K29)</f>
        <v>181480.95999999999</v>
      </c>
      <c r="J12" s="364">
        <f>SUM('2021 Capital Budget'!L15:L16,'2021 Capital Budget'!L29)</f>
        <v>117077.56</v>
      </c>
      <c r="K12" s="364">
        <f>SUM('2021 Capital Budget'!M15:M16,'2021 Capital Budget'!M29)</f>
        <v>88111.06</v>
      </c>
      <c r="L12" s="364">
        <f>SUM('2021 Capital Budget'!N15:N16,'2021 Capital Budget'!N29)</f>
        <v>108590.36</v>
      </c>
      <c r="M12" s="364">
        <f>SUM('2021 Capital Budget'!O15:O16,'2021 Capital Budget'!O29)</f>
        <v>175215.94</v>
      </c>
      <c r="N12" s="364">
        <f>SUM('2021 Capital Budget'!P15:P16,'2021 Capital Budget'!P29)</f>
        <v>155527.32999999999</v>
      </c>
      <c r="O12" s="364">
        <f t="shared" si="0"/>
        <v>1861262.8800000004</v>
      </c>
      <c r="P12" s="380"/>
      <c r="Q12" s="582"/>
      <c r="R12" s="582"/>
      <c r="S12" s="582"/>
      <c r="T12" s="488">
        <f>T10-T11</f>
        <v>36889940.049999997</v>
      </c>
      <c r="U12" s="582" t="s">
        <v>656</v>
      </c>
    </row>
    <row r="13" spans="1:30">
      <c r="A13" s="378">
        <f>A12+1</f>
        <v>4</v>
      </c>
      <c r="B13" s="26" t="s">
        <v>78</v>
      </c>
      <c r="C13" s="364">
        <v>0</v>
      </c>
      <c r="D13" s="364">
        <v>0</v>
      </c>
      <c r="E13" s="364">
        <v>0</v>
      </c>
      <c r="F13" s="364">
        <v>0</v>
      </c>
      <c r="G13" s="364">
        <v>0</v>
      </c>
      <c r="H13" s="364">
        <v>0</v>
      </c>
      <c r="I13" s="364">
        <v>0</v>
      </c>
      <c r="J13" s="364">
        <v>0</v>
      </c>
      <c r="K13" s="364">
        <v>0</v>
      </c>
      <c r="L13" s="364">
        <v>0</v>
      </c>
      <c r="M13" s="364">
        <v>0</v>
      </c>
      <c r="N13" s="364">
        <v>0</v>
      </c>
      <c r="O13" s="364">
        <f t="shared" si="0"/>
        <v>0</v>
      </c>
      <c r="P13" s="380"/>
      <c r="Q13" s="582"/>
      <c r="R13" s="582"/>
      <c r="S13" s="582"/>
      <c r="T13" s="583">
        <f>O15+O22</f>
        <v>36889940.049999997</v>
      </c>
      <c r="U13" s="582" t="s">
        <v>657</v>
      </c>
    </row>
    <row r="14" spans="1:30">
      <c r="A14" s="378">
        <f>A13+1</f>
        <v>5</v>
      </c>
      <c r="B14" s="26" t="s">
        <v>159</v>
      </c>
      <c r="C14" s="338">
        <f>SUM('2021 Capital Budget'!E8:E14)</f>
        <v>1232758.8400000001</v>
      </c>
      <c r="D14" s="338">
        <f>SUM('2021 Capital Budget'!F8:F14)</f>
        <v>880448.63000000012</v>
      </c>
      <c r="E14" s="338">
        <f>SUM('2021 Capital Budget'!G8:G14)</f>
        <v>1501435.79</v>
      </c>
      <c r="F14" s="338">
        <f>SUM('2021 Capital Budget'!H8:H14)</f>
        <v>1285167.47</v>
      </c>
      <c r="G14" s="338">
        <f>SUM('2021 Capital Budget'!I8:I14)</f>
        <v>1241233.3500000001</v>
      </c>
      <c r="H14" s="338">
        <f>SUM('2021 Capital Budget'!J8:J14)</f>
        <v>1320367.0299999998</v>
      </c>
      <c r="I14" s="338">
        <f>SUM('2021 Capital Budget'!K8:K14)</f>
        <v>623766.94999999995</v>
      </c>
      <c r="J14" s="338">
        <f>SUM('2021 Capital Budget'!L8:L14)</f>
        <v>451295.17000000004</v>
      </c>
      <c r="K14" s="338">
        <f>SUM('2021 Capital Budget'!M8:M14)</f>
        <v>553136.23</v>
      </c>
      <c r="L14" s="338">
        <f>SUM('2021 Capital Budget'!N8:N14)</f>
        <v>524569.63</v>
      </c>
      <c r="M14" s="338">
        <f>SUM('2021 Capital Budget'!O8:O14)</f>
        <v>632820.75</v>
      </c>
      <c r="N14" s="338">
        <f>SUM('2021 Capital Budget'!P8:P14)</f>
        <v>684801.70000000007</v>
      </c>
      <c r="O14" s="338">
        <f t="shared" si="0"/>
        <v>10931801.540000001</v>
      </c>
      <c r="P14" s="381"/>
      <c r="Q14" s="582"/>
      <c r="R14" s="582"/>
      <c r="S14" s="582"/>
      <c r="T14" s="583">
        <f>T12-T13</f>
        <v>0</v>
      </c>
      <c r="U14" s="582" t="s">
        <v>39</v>
      </c>
    </row>
    <row r="15" spans="1:30">
      <c r="A15" s="378">
        <f>A14+1</f>
        <v>6</v>
      </c>
      <c r="B15" s="26" t="s">
        <v>79</v>
      </c>
      <c r="C15" s="360">
        <f t="shared" ref="C15:N15" si="1">SUM(C10:C14)</f>
        <v>5433132.54</v>
      </c>
      <c r="D15" s="360">
        <f t="shared" si="1"/>
        <v>3913133.3599999994</v>
      </c>
      <c r="E15" s="360">
        <f t="shared" si="1"/>
        <v>6250157.8700000001</v>
      </c>
      <c r="F15" s="360">
        <f t="shared" si="1"/>
        <v>5654157.25</v>
      </c>
      <c r="G15" s="360">
        <f t="shared" si="1"/>
        <v>6018805.1999999993</v>
      </c>
      <c r="H15" s="360">
        <f t="shared" si="1"/>
        <v>5816872.9000000004</v>
      </c>
      <c r="I15" s="360">
        <f t="shared" si="1"/>
        <v>805247.90999999992</v>
      </c>
      <c r="J15" s="360">
        <f t="shared" si="1"/>
        <v>568372.73</v>
      </c>
      <c r="K15" s="360">
        <f t="shared" si="1"/>
        <v>641247.29</v>
      </c>
      <c r="L15" s="360">
        <f t="shared" si="1"/>
        <v>633159.99</v>
      </c>
      <c r="M15" s="360">
        <f t="shared" si="1"/>
        <v>808036.69</v>
      </c>
      <c r="N15" s="360">
        <f t="shared" si="1"/>
        <v>840329.03</v>
      </c>
      <c r="O15" s="360">
        <f>SUM(O10:O14)</f>
        <v>37382652.759999998</v>
      </c>
      <c r="P15" s="380"/>
      <c r="Q15" s="388" t="s">
        <v>638</v>
      </c>
      <c r="R15" s="388">
        <f>O15-'2021 Capital Budget'!Q30</f>
        <v>0</v>
      </c>
      <c r="S15" s="582"/>
      <c r="T15" s="583"/>
      <c r="U15" s="582"/>
    </row>
    <row r="16" spans="1:30">
      <c r="I16" s="360"/>
      <c r="J16" s="360"/>
      <c r="K16" s="360"/>
      <c r="L16" s="360"/>
      <c r="M16" s="360"/>
      <c r="N16" s="360"/>
      <c r="O16" s="360"/>
      <c r="P16" s="380"/>
      <c r="Q16" s="582"/>
      <c r="R16" s="582"/>
      <c r="S16" s="582"/>
      <c r="T16" s="582"/>
      <c r="U16" s="582"/>
    </row>
    <row r="17" spans="1:21">
      <c r="A17" s="378">
        <f>A15+1</f>
        <v>7</v>
      </c>
      <c r="B17" s="26" t="s">
        <v>248</v>
      </c>
      <c r="C17" s="364">
        <f>-'Base Rate Retirements 2021'!C10</f>
        <v>0</v>
      </c>
      <c r="D17" s="364">
        <f>-'Base Rate Retirements 2021'!D10</f>
        <v>0</v>
      </c>
      <c r="E17" s="364">
        <f>-'Base Rate Retirements 2021'!E10</f>
        <v>-11.580000000000002</v>
      </c>
      <c r="F17" s="364">
        <f>-'Base Rate Retirements 2021'!F10</f>
        <v>0</v>
      </c>
      <c r="G17" s="364">
        <f>-'Base Rate Retirements 2021'!G10</f>
        <v>0</v>
      </c>
      <c r="H17" s="364">
        <f>-'Base Rate Retirements 2021'!H10</f>
        <v>0</v>
      </c>
      <c r="I17" s="364">
        <f>-'Base Rate Retirements 2021'!I10</f>
        <v>0</v>
      </c>
      <c r="J17" s="364">
        <f>-'Base Rate Retirements 2021'!J10</f>
        <v>0</v>
      </c>
      <c r="K17" s="364">
        <f>-'Base Rate Retirements 2021'!K10</f>
        <v>0</v>
      </c>
      <c r="L17" s="364">
        <f>-'Base Rate Retirements 2021'!L10</f>
        <v>0</v>
      </c>
      <c r="M17" s="364">
        <f>-'Base Rate Retirements 2021'!M10</f>
        <v>0</v>
      </c>
      <c r="N17" s="364">
        <f>-'Base Rate Retirements 2021'!N10</f>
        <v>0</v>
      </c>
      <c r="O17" s="364">
        <f>SUM(C17:N17)</f>
        <v>-11.580000000000002</v>
      </c>
      <c r="P17" s="380"/>
      <c r="Q17" s="582"/>
      <c r="R17" s="582"/>
      <c r="S17" s="582"/>
      <c r="T17" s="582"/>
      <c r="U17" s="582"/>
    </row>
    <row r="18" spans="1:21">
      <c r="A18" s="378">
        <f t="shared" ref="A18:A19" si="2">A17+1</f>
        <v>8</v>
      </c>
      <c r="B18" s="26" t="s">
        <v>323</v>
      </c>
      <c r="C18" s="364">
        <f>-'Base Rate Retirements 2021'!C12</f>
        <v>0</v>
      </c>
      <c r="D18" s="364">
        <f>-'Base Rate Retirements 2021'!D12</f>
        <v>0</v>
      </c>
      <c r="E18" s="364">
        <f>-'Base Rate Retirements 2021'!E12</f>
        <v>0</v>
      </c>
      <c r="F18" s="364">
        <f>-'Base Rate Retirements 2021'!F12</f>
        <v>0</v>
      </c>
      <c r="G18" s="364">
        <f>-'Base Rate Retirements 2021'!G12</f>
        <v>0</v>
      </c>
      <c r="H18" s="364">
        <f>-'Base Rate Retirements 2021'!H12</f>
        <v>0</v>
      </c>
      <c r="I18" s="364">
        <f>-'Base Rate Retirements 2021'!I12</f>
        <v>0</v>
      </c>
      <c r="J18" s="364">
        <f>-'Base Rate Retirements 2021'!J12</f>
        <v>0</v>
      </c>
      <c r="K18" s="364">
        <f>-'Base Rate Retirements 2021'!K12</f>
        <v>0</v>
      </c>
      <c r="L18" s="364">
        <f>-'Base Rate Retirements 2021'!L12</f>
        <v>0</v>
      </c>
      <c r="M18" s="364">
        <f>-'Base Rate Retirements 2021'!M12</f>
        <v>0</v>
      </c>
      <c r="N18" s="364">
        <f>-'Base Rate Retirements 2021'!N12</f>
        <v>0</v>
      </c>
      <c r="O18" s="364">
        <f>SUM(C18:N18)</f>
        <v>0</v>
      </c>
      <c r="P18" s="380"/>
      <c r="Q18" s="582"/>
      <c r="R18" s="582"/>
      <c r="S18" s="582"/>
      <c r="T18" s="582"/>
      <c r="U18" s="582"/>
    </row>
    <row r="19" spans="1:21">
      <c r="A19" s="378">
        <f t="shared" si="2"/>
        <v>9</v>
      </c>
      <c r="B19" s="26" t="s">
        <v>70</v>
      </c>
      <c r="C19" s="364">
        <f>-'Base Rate Retirements 2021'!C11</f>
        <v>0</v>
      </c>
      <c r="D19" s="364">
        <f>-'Base Rate Retirements 2021'!D11</f>
        <v>0</v>
      </c>
      <c r="E19" s="364">
        <f>-'Base Rate Retirements 2021'!E11</f>
        <v>-492697.2599999996</v>
      </c>
      <c r="F19" s="364">
        <f>-'Base Rate Retirements 2021'!F11</f>
        <v>0</v>
      </c>
      <c r="G19" s="364">
        <f>-'Base Rate Retirements 2021'!G11</f>
        <v>0</v>
      </c>
      <c r="H19" s="364">
        <f>-'Base Rate Retirements 2021'!H11</f>
        <v>0</v>
      </c>
      <c r="I19" s="364">
        <f>-'Base Rate Retirements 2021'!I11</f>
        <v>0</v>
      </c>
      <c r="J19" s="364">
        <f>-'Base Rate Retirements 2021'!J11</f>
        <v>0</v>
      </c>
      <c r="K19" s="364">
        <f>-'Base Rate Retirements 2021'!K11</f>
        <v>0</v>
      </c>
      <c r="L19" s="364">
        <f>-'Base Rate Retirements 2021'!L11</f>
        <v>0</v>
      </c>
      <c r="M19" s="364">
        <f>-'Base Rate Retirements 2021'!M11</f>
        <v>0</v>
      </c>
      <c r="N19" s="364">
        <f>-'Base Rate Retirements 2021'!N11</f>
        <v>0</v>
      </c>
      <c r="O19" s="364">
        <f t="shared" ref="O19:O21" si="3">SUM(C19:N19)</f>
        <v>-492697.2599999996</v>
      </c>
      <c r="P19" s="380"/>
      <c r="Q19" s="582"/>
      <c r="R19" s="582"/>
      <c r="S19" s="582"/>
      <c r="T19" s="582"/>
      <c r="U19" s="582"/>
    </row>
    <row r="20" spans="1:21" s="386" customFormat="1">
      <c r="A20" s="384">
        <f>A19+1</f>
        <v>10</v>
      </c>
      <c r="B20" s="385" t="s">
        <v>71</v>
      </c>
      <c r="C20" s="364">
        <v>0</v>
      </c>
      <c r="D20" s="364">
        <v>0</v>
      </c>
      <c r="E20" s="364">
        <v>0</v>
      </c>
      <c r="F20" s="364">
        <v>0</v>
      </c>
      <c r="G20" s="364">
        <v>0</v>
      </c>
      <c r="H20" s="364">
        <v>0</v>
      </c>
      <c r="I20" s="364">
        <v>0</v>
      </c>
      <c r="J20" s="364">
        <v>0</v>
      </c>
      <c r="K20" s="364">
        <v>0</v>
      </c>
      <c r="L20" s="364">
        <v>0</v>
      </c>
      <c r="M20" s="364">
        <v>0</v>
      </c>
      <c r="N20" s="364">
        <v>0</v>
      </c>
      <c r="O20" s="364">
        <f t="shared" si="3"/>
        <v>0</v>
      </c>
      <c r="P20" s="381"/>
      <c r="Q20" s="584"/>
      <c r="R20" s="584"/>
      <c r="S20" s="584"/>
      <c r="T20" s="584"/>
      <c r="U20" s="584"/>
    </row>
    <row r="21" spans="1:21">
      <c r="A21" s="378">
        <f>A20+1</f>
        <v>11</v>
      </c>
      <c r="B21" s="26" t="s">
        <v>554</v>
      </c>
      <c r="C21" s="338">
        <f>-'Base Rate Retirements 2021'!C9</f>
        <v>0</v>
      </c>
      <c r="D21" s="338">
        <f>-'Base Rate Retirements 2021'!D9</f>
        <v>0</v>
      </c>
      <c r="E21" s="338">
        <f>-'Base Rate Retirements 2021'!E9</f>
        <v>-3.87</v>
      </c>
      <c r="F21" s="338">
        <f>-'Base Rate Retirements 2021'!F9</f>
        <v>0</v>
      </c>
      <c r="G21" s="338">
        <f>-'Base Rate Retirements 2021'!G9</f>
        <v>0</v>
      </c>
      <c r="H21" s="338">
        <f>-'Base Rate Retirements 2021'!H9</f>
        <v>0</v>
      </c>
      <c r="I21" s="338">
        <f>-'Base Rate Retirements 2021'!I9</f>
        <v>0</v>
      </c>
      <c r="J21" s="338">
        <f>-'Base Rate Retirements 2021'!J9</f>
        <v>0</v>
      </c>
      <c r="K21" s="338">
        <f>-'Base Rate Retirements 2021'!K9</f>
        <v>0</v>
      </c>
      <c r="L21" s="338">
        <f>-'Base Rate Retirements 2021'!L9</f>
        <v>0</v>
      </c>
      <c r="M21" s="338">
        <f>-'Base Rate Retirements 2021'!M9</f>
        <v>0</v>
      </c>
      <c r="N21" s="338">
        <f>-'Base Rate Retirements 2021'!N9</f>
        <v>0</v>
      </c>
      <c r="O21" s="338">
        <f t="shared" si="3"/>
        <v>-3.87</v>
      </c>
      <c r="P21" s="380"/>
      <c r="Q21" s="582"/>
      <c r="R21" s="582"/>
      <c r="S21" s="582"/>
      <c r="T21" s="582"/>
      <c r="U21" s="582"/>
    </row>
    <row r="22" spans="1:21">
      <c r="A22" s="378">
        <f>A21+1</f>
        <v>12</v>
      </c>
      <c r="B22" s="26" t="s">
        <v>177</v>
      </c>
      <c r="C22" s="364">
        <f>SUM(C17:C21)</f>
        <v>0</v>
      </c>
      <c r="D22" s="364">
        <f t="shared" ref="D22:N22" si="4">SUM(D17:D21)</f>
        <v>0</v>
      </c>
      <c r="E22" s="364">
        <f t="shared" si="4"/>
        <v>-492712.70999999961</v>
      </c>
      <c r="F22" s="364">
        <f t="shared" si="4"/>
        <v>0</v>
      </c>
      <c r="G22" s="364">
        <f t="shared" si="4"/>
        <v>0</v>
      </c>
      <c r="H22" s="364">
        <f t="shared" si="4"/>
        <v>0</v>
      </c>
      <c r="I22" s="364">
        <f t="shared" si="4"/>
        <v>0</v>
      </c>
      <c r="J22" s="364">
        <f t="shared" si="4"/>
        <v>0</v>
      </c>
      <c r="K22" s="364">
        <f t="shared" si="4"/>
        <v>0</v>
      </c>
      <c r="L22" s="364">
        <f t="shared" si="4"/>
        <v>0</v>
      </c>
      <c r="M22" s="364">
        <f t="shared" si="4"/>
        <v>0</v>
      </c>
      <c r="N22" s="364">
        <f t="shared" si="4"/>
        <v>0</v>
      </c>
      <c r="O22" s="364">
        <f>SUM(O17:O21)</f>
        <v>-492712.70999999961</v>
      </c>
      <c r="P22" s="380"/>
      <c r="Q22" s="582" t="s">
        <v>638</v>
      </c>
      <c r="R22" s="388">
        <f>O22+'Base Rate Retirements 2021'!O13</f>
        <v>0</v>
      </c>
      <c r="S22" s="582"/>
      <c r="T22" s="582"/>
      <c r="U22" s="582"/>
    </row>
    <row r="23" spans="1:21">
      <c r="A23" s="378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80"/>
      <c r="Q23" s="582"/>
      <c r="R23" s="388"/>
      <c r="S23" s="582"/>
      <c r="T23" s="582"/>
      <c r="U23" s="582"/>
    </row>
    <row r="24" spans="1:21">
      <c r="A24" s="378">
        <f>A22+1</f>
        <v>13</v>
      </c>
      <c r="B24" s="26" t="s">
        <v>642</v>
      </c>
      <c r="C24" s="364">
        <f>-'Base Rate Retirements 2021'!C18</f>
        <v>0</v>
      </c>
      <c r="D24" s="364">
        <f>-'Base Rate Retirements 2021'!D18</f>
        <v>0</v>
      </c>
      <c r="E24" s="364">
        <f>-'Base Rate Retirements 2021'!E18</f>
        <v>11.580000000000002</v>
      </c>
      <c r="F24" s="364">
        <f>-'Base Rate Retirements 2021'!F18</f>
        <v>0</v>
      </c>
      <c r="G24" s="364">
        <f>-'Base Rate Retirements 2021'!G18</f>
        <v>0</v>
      </c>
      <c r="H24" s="364">
        <f>-'Base Rate Retirements 2021'!H18</f>
        <v>0</v>
      </c>
      <c r="I24" s="364">
        <f>-'Base Rate Retirements 2021'!I18</f>
        <v>0</v>
      </c>
      <c r="J24" s="364">
        <f>-'Base Rate Retirements 2021'!J18</f>
        <v>0</v>
      </c>
      <c r="K24" s="364">
        <f>-'Base Rate Retirements 2021'!K18</f>
        <v>0</v>
      </c>
      <c r="L24" s="364">
        <f>-'Base Rate Retirements 2021'!L18</f>
        <v>0</v>
      </c>
      <c r="M24" s="364">
        <f>-'Base Rate Retirements 2021'!M18</f>
        <v>0</v>
      </c>
      <c r="N24" s="364">
        <f>-'Base Rate Retirements 2021'!N18</f>
        <v>0</v>
      </c>
      <c r="O24" s="364">
        <f>SUM(C24:N24)</f>
        <v>11.580000000000002</v>
      </c>
      <c r="P24" s="380"/>
      <c r="Q24" s="582"/>
      <c r="R24" s="388"/>
      <c r="S24" s="582"/>
      <c r="T24" s="582"/>
      <c r="U24" s="582"/>
    </row>
    <row r="25" spans="1:21">
      <c r="A25" s="378">
        <f t="shared" ref="A25:A29" si="5">A24+1</f>
        <v>14</v>
      </c>
      <c r="B25" s="26" t="s">
        <v>776</v>
      </c>
      <c r="C25" s="364">
        <f>-'Base Rate Retirements 2021'!C20</f>
        <v>0</v>
      </c>
      <c r="D25" s="364">
        <f>-'Base Rate Retirements 2021'!D20</f>
        <v>0</v>
      </c>
      <c r="E25" s="364">
        <f>-'Base Rate Retirements 2021'!E20</f>
        <v>0</v>
      </c>
      <c r="F25" s="364">
        <f>-'Base Rate Retirements 2021'!F20</f>
        <v>0</v>
      </c>
      <c r="G25" s="364">
        <f>-'Base Rate Retirements 2021'!G20</f>
        <v>0</v>
      </c>
      <c r="H25" s="364">
        <f>-'Base Rate Retirements 2021'!H20</f>
        <v>0</v>
      </c>
      <c r="I25" s="364">
        <f>-'Base Rate Retirements 2021'!I20</f>
        <v>0</v>
      </c>
      <c r="J25" s="364">
        <f>-'Base Rate Retirements 2021'!J20</f>
        <v>0</v>
      </c>
      <c r="K25" s="364">
        <f>-'Base Rate Retirements 2021'!K20</f>
        <v>0</v>
      </c>
      <c r="L25" s="364">
        <f>-'Base Rate Retirements 2021'!L20</f>
        <v>0</v>
      </c>
      <c r="M25" s="364">
        <f>-'Base Rate Retirements 2021'!M20</f>
        <v>0</v>
      </c>
      <c r="N25" s="364">
        <f>-'Base Rate Retirements 2021'!N20</f>
        <v>0</v>
      </c>
      <c r="O25" s="364">
        <f>SUM(C25:N25)</f>
        <v>0</v>
      </c>
      <c r="P25" s="380"/>
      <c r="Q25" s="582"/>
      <c r="R25" s="388"/>
      <c r="S25" s="582"/>
      <c r="T25" s="582"/>
      <c r="U25" s="582"/>
    </row>
    <row r="26" spans="1:21">
      <c r="A26" s="378">
        <f t="shared" si="5"/>
        <v>15</v>
      </c>
      <c r="B26" s="26" t="s">
        <v>643</v>
      </c>
      <c r="C26" s="364">
        <f>-'Base Rate Retirements 2021'!C19</f>
        <v>0</v>
      </c>
      <c r="D26" s="364">
        <f>-'Base Rate Retirements 2021'!D19</f>
        <v>0</v>
      </c>
      <c r="E26" s="364">
        <f>-'Base Rate Retirements 2021'!E19</f>
        <v>303341.06883376016</v>
      </c>
      <c r="F26" s="364">
        <f>-'Base Rate Retirements 2021'!F19</f>
        <v>0</v>
      </c>
      <c r="G26" s="364">
        <f>-'Base Rate Retirements 2021'!G19</f>
        <v>0</v>
      </c>
      <c r="H26" s="364">
        <f>-'Base Rate Retirements 2021'!H19</f>
        <v>0</v>
      </c>
      <c r="I26" s="364">
        <f>-'Base Rate Retirements 2021'!I19</f>
        <v>0</v>
      </c>
      <c r="J26" s="364">
        <f>-'Base Rate Retirements 2021'!J19</f>
        <v>0</v>
      </c>
      <c r="K26" s="364">
        <f>-'Base Rate Retirements 2021'!K19</f>
        <v>0</v>
      </c>
      <c r="L26" s="364">
        <f>-'Base Rate Retirements 2021'!L19</f>
        <v>0</v>
      </c>
      <c r="M26" s="364">
        <f>-'Base Rate Retirements 2021'!M19</f>
        <v>0</v>
      </c>
      <c r="N26" s="364">
        <f>-'Base Rate Retirements 2021'!N19</f>
        <v>0</v>
      </c>
      <c r="O26" s="364">
        <f t="shared" ref="O26:O28" si="6">SUM(C26:N26)</f>
        <v>303341.06883376016</v>
      </c>
      <c r="P26" s="380"/>
      <c r="Q26" s="582"/>
      <c r="R26" s="388"/>
      <c r="S26" s="582"/>
      <c r="T26" s="582"/>
      <c r="U26" s="582"/>
    </row>
    <row r="27" spans="1:21">
      <c r="A27" s="378">
        <f t="shared" si="5"/>
        <v>16</v>
      </c>
      <c r="B27" s="26" t="s">
        <v>644</v>
      </c>
      <c r="C27" s="364">
        <v>0</v>
      </c>
      <c r="D27" s="364">
        <v>0</v>
      </c>
      <c r="E27" s="364">
        <v>0</v>
      </c>
      <c r="F27" s="364">
        <v>0</v>
      </c>
      <c r="G27" s="364">
        <v>0</v>
      </c>
      <c r="H27" s="364">
        <v>0</v>
      </c>
      <c r="I27" s="364">
        <v>0</v>
      </c>
      <c r="J27" s="364">
        <v>0</v>
      </c>
      <c r="K27" s="364">
        <v>0</v>
      </c>
      <c r="L27" s="364">
        <v>0</v>
      </c>
      <c r="M27" s="364">
        <v>0</v>
      </c>
      <c r="N27" s="364">
        <v>0</v>
      </c>
      <c r="O27" s="364">
        <f t="shared" si="6"/>
        <v>0</v>
      </c>
      <c r="P27" s="380"/>
      <c r="Q27" s="582"/>
      <c r="R27" s="388"/>
      <c r="S27" s="582"/>
      <c r="T27" s="582"/>
      <c r="U27" s="582"/>
    </row>
    <row r="28" spans="1:21">
      <c r="A28" s="378">
        <f t="shared" si="5"/>
        <v>17</v>
      </c>
      <c r="B28" s="26" t="s">
        <v>645</v>
      </c>
      <c r="C28" s="338">
        <f>-'Base Rate Retirements 2021'!C17</f>
        <v>0</v>
      </c>
      <c r="D28" s="338">
        <f>-'Base Rate Retirements 2021'!D17</f>
        <v>0</v>
      </c>
      <c r="E28" s="338">
        <f>-'Base Rate Retirements 2021'!E17</f>
        <v>3.87</v>
      </c>
      <c r="F28" s="338">
        <f>-'Base Rate Retirements 2021'!F17</f>
        <v>0</v>
      </c>
      <c r="G28" s="338">
        <f>-'Base Rate Retirements 2021'!G17</f>
        <v>0</v>
      </c>
      <c r="H28" s="338">
        <f>-'Base Rate Retirements 2021'!H17</f>
        <v>0</v>
      </c>
      <c r="I28" s="338">
        <f>-'Base Rate Retirements 2021'!I17</f>
        <v>0</v>
      </c>
      <c r="J28" s="338">
        <f>-'Base Rate Retirements 2021'!J17</f>
        <v>0</v>
      </c>
      <c r="K28" s="338">
        <f>-'Base Rate Retirements 2021'!K17</f>
        <v>0</v>
      </c>
      <c r="L28" s="338">
        <f>-'Base Rate Retirements 2021'!L17</f>
        <v>0</v>
      </c>
      <c r="M28" s="338">
        <f>-'Base Rate Retirements 2021'!M17</f>
        <v>0</v>
      </c>
      <c r="N28" s="338">
        <f>-'Base Rate Retirements 2021'!N17</f>
        <v>0</v>
      </c>
      <c r="O28" s="338">
        <f t="shared" si="6"/>
        <v>3.87</v>
      </c>
      <c r="P28" s="380"/>
      <c r="Q28" s="582"/>
      <c r="R28" s="388"/>
      <c r="S28" s="582"/>
      <c r="T28" s="582"/>
      <c r="U28" s="582"/>
    </row>
    <row r="29" spans="1:21">
      <c r="A29" s="378">
        <f t="shared" si="5"/>
        <v>18</v>
      </c>
      <c r="B29" s="26" t="s">
        <v>805</v>
      </c>
      <c r="C29" s="364">
        <f>SUM(C24:C28)</f>
        <v>0</v>
      </c>
      <c r="D29" s="364">
        <f t="shared" ref="D29:N29" si="7">SUM(D24:D28)</f>
        <v>0</v>
      </c>
      <c r="E29" s="364">
        <f t="shared" si="7"/>
        <v>303356.51883376017</v>
      </c>
      <c r="F29" s="364">
        <f t="shared" si="7"/>
        <v>0</v>
      </c>
      <c r="G29" s="364">
        <f t="shared" si="7"/>
        <v>0</v>
      </c>
      <c r="H29" s="364">
        <f t="shared" si="7"/>
        <v>0</v>
      </c>
      <c r="I29" s="364">
        <f t="shared" si="7"/>
        <v>0</v>
      </c>
      <c r="J29" s="364">
        <f t="shared" si="7"/>
        <v>0</v>
      </c>
      <c r="K29" s="364">
        <f t="shared" si="7"/>
        <v>0</v>
      </c>
      <c r="L29" s="364">
        <f t="shared" si="7"/>
        <v>0</v>
      </c>
      <c r="M29" s="364">
        <f t="shared" si="7"/>
        <v>0</v>
      </c>
      <c r="N29" s="364">
        <f t="shared" si="7"/>
        <v>0</v>
      </c>
      <c r="O29" s="364">
        <f t="shared" ref="O29" si="8">SUM(O24:O28)</f>
        <v>303356.51883376017</v>
      </c>
      <c r="P29" s="380"/>
      <c r="Q29" s="582" t="s">
        <v>638</v>
      </c>
      <c r="R29" s="388">
        <f>O29+'Base Rate Retirements 2021'!O21</f>
        <v>0</v>
      </c>
      <c r="S29" s="582"/>
      <c r="T29" s="582"/>
      <c r="U29" s="582"/>
    </row>
    <row r="30" spans="1:21">
      <c r="A30" s="378"/>
      <c r="I30" s="364"/>
      <c r="J30" s="364"/>
      <c r="K30" s="364"/>
      <c r="L30" s="364"/>
      <c r="M30" s="364"/>
      <c r="N30" s="364"/>
      <c r="O30" s="364"/>
      <c r="P30" s="380"/>
      <c r="Q30" s="582"/>
      <c r="R30" s="582"/>
      <c r="S30" s="582"/>
      <c r="T30" s="582"/>
      <c r="U30" s="582"/>
    </row>
    <row r="31" spans="1:21" ht="16.5" customHeight="1">
      <c r="A31" s="378">
        <f>A29+1</f>
        <v>19</v>
      </c>
      <c r="B31" s="26" t="s">
        <v>249</v>
      </c>
      <c r="C31" s="360">
        <v>0</v>
      </c>
      <c r="D31" s="360">
        <v>0</v>
      </c>
      <c r="E31" s="360">
        <v>0</v>
      </c>
      <c r="F31" s="360">
        <v>0</v>
      </c>
      <c r="G31" s="360">
        <v>0</v>
      </c>
      <c r="H31" s="360">
        <v>0</v>
      </c>
      <c r="I31" s="360">
        <v>0</v>
      </c>
      <c r="J31" s="360">
        <v>0</v>
      </c>
      <c r="K31" s="360">
        <v>0</v>
      </c>
      <c r="L31" s="360">
        <v>0</v>
      </c>
      <c r="M31" s="360">
        <v>0</v>
      </c>
      <c r="N31" s="360">
        <v>0</v>
      </c>
      <c r="O31" s="364">
        <f>SUM(C31:N31)</f>
        <v>0</v>
      </c>
      <c r="P31" s="380"/>
      <c r="Q31" s="582"/>
      <c r="R31" s="582"/>
      <c r="S31" s="582"/>
      <c r="T31" s="488">
        <f>SUM('2021 Capital Budget'!E20:P28)</f>
        <v>3181587.04</v>
      </c>
      <c r="U31" s="582" t="s">
        <v>658</v>
      </c>
    </row>
    <row r="32" spans="1:21" ht="16.5" customHeight="1">
      <c r="A32" s="378">
        <f>A31+1</f>
        <v>20</v>
      </c>
      <c r="B32" s="26" t="s">
        <v>322</v>
      </c>
      <c r="C32" s="360">
        <f>SUM('2021 Capital Budget'!E24:E26)</f>
        <v>86.69</v>
      </c>
      <c r="D32" s="360">
        <f>SUM('2021 Capital Budget'!F24:F26)</f>
        <v>0</v>
      </c>
      <c r="E32" s="360">
        <f>SUM('2021 Capital Budget'!G24:G26)</f>
        <v>27248.06</v>
      </c>
      <c r="F32" s="360">
        <f>SUM('2021 Capital Budget'!H24:H26)</f>
        <v>142808.63</v>
      </c>
      <c r="G32" s="360">
        <f>SUM('2021 Capital Budget'!I24:I26)</f>
        <v>415206.42</v>
      </c>
      <c r="H32" s="360">
        <f>SUM('2021 Capital Budget'!J24:J26)</f>
        <v>161468.46</v>
      </c>
      <c r="I32" s="360">
        <f>SUM('2021 Capital Budget'!K24:K26)</f>
        <v>0</v>
      </c>
      <c r="J32" s="360">
        <f>SUM('2021 Capital Budget'!L24:L26)</f>
        <v>0</v>
      </c>
      <c r="K32" s="360">
        <f>SUM('2021 Capital Budget'!M24:M26)</f>
        <v>0</v>
      </c>
      <c r="L32" s="360">
        <f>SUM('2021 Capital Budget'!N24:N26)</f>
        <v>0</v>
      </c>
      <c r="M32" s="360">
        <f>SUM('2021 Capital Budget'!O24:O26)</f>
        <v>0</v>
      </c>
      <c r="N32" s="360">
        <f>SUM('2021 Capital Budget'!P24:P26)</f>
        <v>0</v>
      </c>
      <c r="O32" s="364">
        <f>SUM(C32:N32)</f>
        <v>746818.26</v>
      </c>
      <c r="P32" s="380"/>
      <c r="Q32" s="582"/>
      <c r="R32" s="582"/>
      <c r="S32" s="582"/>
      <c r="T32" s="488">
        <f>O36</f>
        <v>3181587.04</v>
      </c>
      <c r="U32" s="582" t="s">
        <v>659</v>
      </c>
    </row>
    <row r="33" spans="1:30">
      <c r="A33" s="378">
        <f t="shared" ref="A33:A36" si="9">A32+1</f>
        <v>21</v>
      </c>
      <c r="B33" s="26" t="s">
        <v>80</v>
      </c>
      <c r="C33" s="360">
        <f>SUM('2021 Capital Budget'!E23,'2021 Capital Budget'!E27)</f>
        <v>59506.64</v>
      </c>
      <c r="D33" s="360">
        <f>SUM('2021 Capital Budget'!F23,'2021 Capital Budget'!F27)</f>
        <v>111918.61</v>
      </c>
      <c r="E33" s="360">
        <f>SUM('2021 Capital Budget'!G23,'2021 Capital Budget'!G27)</f>
        <v>79506.92</v>
      </c>
      <c r="F33" s="360">
        <f>SUM('2021 Capital Budget'!H23,'2021 Capital Budget'!H27)</f>
        <v>84995.74</v>
      </c>
      <c r="G33" s="360">
        <f>SUM('2021 Capital Budget'!I23,'2021 Capital Budget'!I27)</f>
        <v>78872.98000000001</v>
      </c>
      <c r="H33" s="360">
        <f>SUM('2021 Capital Budget'!J23,'2021 Capital Budget'!J27)</f>
        <v>83305.51999999999</v>
      </c>
      <c r="I33" s="360">
        <f>SUM('2021 Capital Budget'!K23,'2021 Capital Budget'!K27)</f>
        <v>64200.34</v>
      </c>
      <c r="J33" s="360">
        <f>SUM('2021 Capital Budget'!L23,'2021 Capital Budget'!L27)</f>
        <v>37946.370000000003</v>
      </c>
      <c r="K33" s="360">
        <f>SUM('2021 Capital Budget'!M23,'2021 Capital Budget'!M27)</f>
        <v>59572.08</v>
      </c>
      <c r="L33" s="360">
        <f>SUM('2021 Capital Budget'!N23,'2021 Capital Budget'!N27)</f>
        <v>129487.40000000001</v>
      </c>
      <c r="M33" s="360">
        <f>SUM('2021 Capital Budget'!O23,'2021 Capital Budget'!O27)</f>
        <v>39510.61</v>
      </c>
      <c r="N33" s="360">
        <f>SUM('2021 Capital Budget'!P23,'2021 Capital Budget'!P27)</f>
        <v>35715.370000000003</v>
      </c>
      <c r="O33" s="364">
        <f t="shared" ref="O33:O34" si="10">SUM(C33:N33)</f>
        <v>864538.58</v>
      </c>
      <c r="P33" s="388"/>
      <c r="Q33" s="582"/>
      <c r="R33" s="582"/>
      <c r="S33" s="582"/>
      <c r="T33" s="488">
        <f>T31-T32</f>
        <v>0</v>
      </c>
      <c r="U33" s="582" t="s">
        <v>39</v>
      </c>
    </row>
    <row r="34" spans="1:30" s="386" customFormat="1">
      <c r="A34" s="378">
        <f t="shared" si="9"/>
        <v>22</v>
      </c>
      <c r="B34" s="385" t="s">
        <v>81</v>
      </c>
      <c r="C34" s="364">
        <v>0</v>
      </c>
      <c r="D34" s="364">
        <v>0</v>
      </c>
      <c r="E34" s="364">
        <v>0</v>
      </c>
      <c r="F34" s="364">
        <v>0</v>
      </c>
      <c r="G34" s="364">
        <v>0</v>
      </c>
      <c r="H34" s="364">
        <v>0</v>
      </c>
      <c r="I34" s="364">
        <v>0</v>
      </c>
      <c r="J34" s="364">
        <v>0</v>
      </c>
      <c r="K34" s="364">
        <v>0</v>
      </c>
      <c r="L34" s="364">
        <v>0</v>
      </c>
      <c r="M34" s="364">
        <v>0</v>
      </c>
      <c r="N34" s="364">
        <v>0</v>
      </c>
      <c r="O34" s="364">
        <f t="shared" si="10"/>
        <v>0</v>
      </c>
      <c r="P34" s="387"/>
      <c r="Q34" s="584"/>
      <c r="R34" s="584"/>
      <c r="S34" s="584"/>
      <c r="T34" s="584"/>
      <c r="U34" s="584"/>
    </row>
    <row r="35" spans="1:30">
      <c r="A35" s="378">
        <f t="shared" si="9"/>
        <v>23</v>
      </c>
      <c r="B35" s="26" t="s">
        <v>553</v>
      </c>
      <c r="C35" s="338">
        <f>SUM('2021 Capital Budget'!E20:E22,'2021 Capital Budget'!E28)</f>
        <v>371519.62</v>
      </c>
      <c r="D35" s="338">
        <f>SUM('2021 Capital Budget'!F20:F22,'2021 Capital Budget'!F28)</f>
        <v>213477.75</v>
      </c>
      <c r="E35" s="338">
        <f>SUM('2021 Capital Budget'!G20:G22,'2021 Capital Budget'!G28)</f>
        <v>369156.64</v>
      </c>
      <c r="F35" s="338">
        <f>SUM('2021 Capital Budget'!H20:H22,'2021 Capital Budget'!H28)</f>
        <v>243144.77</v>
      </c>
      <c r="G35" s="338">
        <f>SUM('2021 Capital Budget'!I20:I22,'2021 Capital Budget'!I28)</f>
        <v>172816.67</v>
      </c>
      <c r="H35" s="338">
        <f>SUM('2021 Capital Budget'!J20:J22,'2021 Capital Budget'!J28)</f>
        <v>195975.6</v>
      </c>
      <c r="I35" s="338">
        <f>SUM('2021 Capital Budget'!K20:K22,'2021 Capital Budget'!K28)</f>
        <v>1344.61</v>
      </c>
      <c r="J35" s="338">
        <f>SUM('2021 Capital Budget'!L20:L22,'2021 Capital Budget'!L28)</f>
        <v>1164.17</v>
      </c>
      <c r="K35" s="338">
        <f>SUM('2021 Capital Budget'!M20:M22,'2021 Capital Budget'!M28)</f>
        <v>1630.37</v>
      </c>
      <c r="L35" s="338">
        <f>SUM('2021 Capital Budget'!N20:N22,'2021 Capital Budget'!N28)</f>
        <v>0</v>
      </c>
      <c r="M35" s="338">
        <f>SUM('2021 Capital Budget'!O20:O22,'2021 Capital Budget'!O28)</f>
        <v>0</v>
      </c>
      <c r="N35" s="338">
        <f>SUM('2021 Capital Budget'!P20:P22,'2021 Capital Budget'!P28)</f>
        <v>0</v>
      </c>
      <c r="O35" s="338">
        <f>SUM(C35:N35)</f>
        <v>1570230.2000000002</v>
      </c>
      <c r="P35" s="381"/>
      <c r="Q35" s="582"/>
      <c r="R35" s="582"/>
      <c r="S35" s="582"/>
      <c r="T35" s="582"/>
      <c r="U35" s="582"/>
    </row>
    <row r="36" spans="1:30">
      <c r="A36" s="378">
        <f t="shared" si="9"/>
        <v>24</v>
      </c>
      <c r="B36" s="26" t="s">
        <v>82</v>
      </c>
      <c r="C36" s="360">
        <f>SUM(C31:C35)</f>
        <v>431112.95</v>
      </c>
      <c r="D36" s="360">
        <f t="shared" ref="D36:N36" si="11">SUM(D31:D35)</f>
        <v>325396.36</v>
      </c>
      <c r="E36" s="360">
        <f t="shared" si="11"/>
        <v>475911.62</v>
      </c>
      <c r="F36" s="360">
        <f t="shared" si="11"/>
        <v>470949.14</v>
      </c>
      <c r="G36" s="360">
        <f t="shared" si="11"/>
        <v>666896.07000000007</v>
      </c>
      <c r="H36" s="360">
        <f t="shared" si="11"/>
        <v>440749.57999999996</v>
      </c>
      <c r="I36" s="360">
        <f t="shared" si="11"/>
        <v>65544.95</v>
      </c>
      <c r="J36" s="360">
        <f t="shared" si="11"/>
        <v>39110.54</v>
      </c>
      <c r="K36" s="360">
        <f t="shared" si="11"/>
        <v>61202.450000000004</v>
      </c>
      <c r="L36" s="360">
        <f t="shared" si="11"/>
        <v>129487.40000000001</v>
      </c>
      <c r="M36" s="360">
        <f t="shared" si="11"/>
        <v>39510.61</v>
      </c>
      <c r="N36" s="360">
        <f t="shared" si="11"/>
        <v>35715.370000000003</v>
      </c>
      <c r="O36" s="360">
        <f>SUM(O31:O35)</f>
        <v>3181587.04</v>
      </c>
      <c r="P36" s="380"/>
      <c r="Q36" s="582" t="s">
        <v>638</v>
      </c>
      <c r="R36" s="388">
        <f>O36-'2021 Capital Budget'!Q31</f>
        <v>0</v>
      </c>
      <c r="S36" s="582"/>
      <c r="T36" s="582"/>
      <c r="U36" s="582"/>
    </row>
    <row r="37" spans="1:30">
      <c r="A37" s="378"/>
      <c r="I37" s="360"/>
      <c r="J37" s="360"/>
      <c r="K37" s="360"/>
      <c r="L37" s="360"/>
      <c r="M37" s="360"/>
      <c r="N37" s="360"/>
      <c r="O37" s="360"/>
      <c r="P37" s="380"/>
      <c r="Q37" s="582"/>
      <c r="R37" s="582"/>
      <c r="S37" s="582"/>
      <c r="T37" s="582"/>
      <c r="U37" s="582"/>
    </row>
    <row r="38" spans="1:30">
      <c r="A38" s="378">
        <f>A36+1</f>
        <v>25</v>
      </c>
      <c r="B38" s="26" t="s">
        <v>544</v>
      </c>
      <c r="C38" s="442">
        <f>'COS Budget 2021'!D9</f>
        <v>81954.41</v>
      </c>
      <c r="D38" s="442">
        <f>'COS Budget 2021'!E9</f>
        <v>155745.27000000002</v>
      </c>
      <c r="E38" s="442">
        <f>'COS Budget 2021'!F9</f>
        <v>122027.39</v>
      </c>
      <c r="F38" s="442">
        <f>'COS Budget 2021'!G9</f>
        <v>207559.46000000002</v>
      </c>
      <c r="G38" s="442">
        <f>'COS Budget 2021'!H9</f>
        <v>163313.07</v>
      </c>
      <c r="H38" s="442">
        <f>'COS Budget 2021'!I9</f>
        <v>101459.6</v>
      </c>
      <c r="I38" s="442">
        <f>'COS Budget 2021'!J9</f>
        <v>143799.67999999999</v>
      </c>
      <c r="J38" s="442">
        <f>'COS Budget 2021'!K9</f>
        <v>132909.35999999999</v>
      </c>
      <c r="K38" s="442">
        <f>'COS Budget 2021'!L9</f>
        <v>89575.110000000015</v>
      </c>
      <c r="L38" s="442">
        <f>'COS Budget 2021'!M9</f>
        <v>101566.55</v>
      </c>
      <c r="M38" s="442">
        <f>'COS Budget 2021'!N9</f>
        <v>36687.71</v>
      </c>
      <c r="N38" s="442">
        <f>'COS Budget 2021'!O9</f>
        <v>51396.25</v>
      </c>
      <c r="O38" s="360">
        <f>SUM(C38:N38)</f>
        <v>1387993.8600000003</v>
      </c>
      <c r="P38" s="380"/>
      <c r="Q38" s="582" t="s">
        <v>638</v>
      </c>
      <c r="R38" s="388">
        <f>O38-'COS Budget 2021'!P9</f>
        <v>0</v>
      </c>
      <c r="S38" s="582"/>
      <c r="T38" s="582"/>
      <c r="U38" s="582"/>
    </row>
    <row r="39" spans="1:30">
      <c r="A39" s="378">
        <f t="shared" ref="A39:A41" si="12">A38+1</f>
        <v>26</v>
      </c>
      <c r="B39" s="26" t="s">
        <v>545</v>
      </c>
      <c r="C39" s="442">
        <f>'COS Budget 2021'!D10</f>
        <v>0</v>
      </c>
      <c r="D39" s="442">
        <f>'COS Budget 2021'!E10</f>
        <v>0</v>
      </c>
      <c r="E39" s="442">
        <f>'COS Budget 2021'!F10</f>
        <v>0</v>
      </c>
      <c r="F39" s="442">
        <f>'COS Budget 2021'!G10</f>
        <v>0</v>
      </c>
      <c r="G39" s="442">
        <f>'COS Budget 2021'!H10</f>
        <v>0</v>
      </c>
      <c r="H39" s="442">
        <f>'COS Budget 2021'!I10</f>
        <v>0</v>
      </c>
      <c r="I39" s="442">
        <f>'COS Budget 2021'!J10</f>
        <v>0</v>
      </c>
      <c r="J39" s="442">
        <f>'COS Budget 2021'!K10</f>
        <v>0</v>
      </c>
      <c r="K39" s="442">
        <f>'COS Budget 2021'!L10</f>
        <v>0</v>
      </c>
      <c r="L39" s="442">
        <f>'COS Budget 2021'!M10</f>
        <v>0</v>
      </c>
      <c r="M39" s="442">
        <f>'COS Budget 2021'!N10</f>
        <v>0</v>
      </c>
      <c r="N39" s="442">
        <f>'COS Budget 2021'!O10</f>
        <v>0</v>
      </c>
      <c r="O39" s="360">
        <f>SUM(C39:N39)</f>
        <v>0</v>
      </c>
      <c r="P39" s="380"/>
      <c r="Q39" s="582" t="s">
        <v>638</v>
      </c>
      <c r="R39" s="388">
        <f>O39-'COS Budget 2021'!P10</f>
        <v>0</v>
      </c>
      <c r="S39" s="582"/>
      <c r="T39" s="582"/>
      <c r="U39" s="582"/>
    </row>
    <row r="40" spans="1:30">
      <c r="A40" s="378">
        <f t="shared" si="12"/>
        <v>27</v>
      </c>
      <c r="B40" s="26" t="s">
        <v>417</v>
      </c>
      <c r="C40" s="442">
        <f>'COS Budget 2021'!D12</f>
        <v>93842</v>
      </c>
      <c r="D40" s="442">
        <f>'COS Budget 2021'!E12</f>
        <v>93842</v>
      </c>
      <c r="E40" s="442">
        <f>'COS Budget 2021'!F12</f>
        <v>93842</v>
      </c>
      <c r="F40" s="442">
        <f>'COS Budget 2021'!G12</f>
        <v>93842</v>
      </c>
      <c r="G40" s="442">
        <f>'COS Budget 2021'!H12</f>
        <v>93842</v>
      </c>
      <c r="H40" s="442">
        <f>'COS Budget 2021'!I12</f>
        <v>93842</v>
      </c>
      <c r="I40" s="442">
        <f>'COS Budget 2021'!J12</f>
        <v>47940.5</v>
      </c>
      <c r="J40" s="442">
        <f>'COS Budget 2021'!K12</f>
        <v>47940.5</v>
      </c>
      <c r="K40" s="442">
        <f>'COS Budget 2021'!L12</f>
        <v>47941</v>
      </c>
      <c r="L40" s="442">
        <f>'COS Budget 2021'!M12</f>
        <v>47941</v>
      </c>
      <c r="M40" s="442">
        <f>'COS Budget 2021'!N12</f>
        <v>47941</v>
      </c>
      <c r="N40" s="442">
        <f>'COS Budget 2021'!O12</f>
        <v>47941</v>
      </c>
      <c r="O40" s="360">
        <f>SUM(C40:N40)</f>
        <v>850697</v>
      </c>
      <c r="P40" s="380"/>
      <c r="Q40" s="582" t="s">
        <v>638</v>
      </c>
      <c r="R40" s="388">
        <f>O40-'COS Budget 2021'!P12</f>
        <v>0</v>
      </c>
      <c r="S40" s="582"/>
      <c r="T40" s="582"/>
      <c r="U40" s="582"/>
    </row>
    <row r="41" spans="1:30">
      <c r="A41" s="378">
        <f t="shared" si="12"/>
        <v>28</v>
      </c>
      <c r="B41" s="26" t="s">
        <v>418</v>
      </c>
      <c r="C41" s="442">
        <f>'COS Budget 2021'!D13</f>
        <v>112456.31</v>
      </c>
      <c r="D41" s="442">
        <f>'COS Budget 2021'!E13</f>
        <v>112456.31</v>
      </c>
      <c r="E41" s="442">
        <f>'COS Budget 2021'!F13</f>
        <v>112456.31</v>
      </c>
      <c r="F41" s="442">
        <f>'COS Budget 2021'!G13</f>
        <v>112456.31</v>
      </c>
      <c r="G41" s="442">
        <f>'COS Budget 2021'!H13</f>
        <v>112456.31</v>
      </c>
      <c r="H41" s="442">
        <f>'COS Budget 2021'!I13</f>
        <v>112456.31</v>
      </c>
      <c r="I41" s="442">
        <f>'COS Budget 2021'!J13</f>
        <v>0</v>
      </c>
      <c r="J41" s="442">
        <f>'COS Budget 2021'!K13</f>
        <v>0</v>
      </c>
      <c r="K41" s="442">
        <f>'COS Budget 2021'!L13</f>
        <v>0</v>
      </c>
      <c r="L41" s="442">
        <f>'COS Budget 2021'!M13</f>
        <v>0</v>
      </c>
      <c r="M41" s="442">
        <f>'COS Budget 2021'!N13</f>
        <v>0</v>
      </c>
      <c r="N41" s="442">
        <f>'COS Budget 2021'!O13</f>
        <v>0</v>
      </c>
      <c r="O41" s="360">
        <f>SUM(C41:N41)</f>
        <v>674737.8600000001</v>
      </c>
      <c r="Q41" s="582" t="s">
        <v>638</v>
      </c>
      <c r="R41" s="388">
        <f>O41-'COS Budget 2021'!P13</f>
        <v>0</v>
      </c>
      <c r="S41" s="582"/>
      <c r="T41" s="582"/>
      <c r="U41" s="582"/>
    </row>
    <row r="42" spans="1:30">
      <c r="L42" s="63"/>
      <c r="M42" s="360"/>
    </row>
    <row r="44" spans="1:30" s="26" customFormat="1">
      <c r="A44" s="372"/>
      <c r="M44" s="372"/>
      <c r="N44" s="372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</row>
    <row r="45" spans="1:30" s="26" customFormat="1">
      <c r="A45" s="372"/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</row>
    <row r="46" spans="1:30" s="26" customFormat="1">
      <c r="A46" s="372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</row>
    <row r="47" spans="1:30" s="26" customFormat="1">
      <c r="A47" s="372"/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</row>
    <row r="48" spans="1:30" s="26" customFormat="1">
      <c r="A48" s="372"/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</row>
    <row r="49" spans="1:30" s="26" customFormat="1">
      <c r="A49" s="372"/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72"/>
      <c r="AB49" s="372"/>
      <c r="AC49" s="372"/>
      <c r="AD49" s="372"/>
    </row>
    <row r="50" spans="1:30" s="26" customFormat="1">
      <c r="A50" s="372"/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</row>
    <row r="51" spans="1:30" s="26" customFormat="1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</row>
    <row r="52" spans="1:30" s="26" customFormat="1">
      <c r="A52" s="372"/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</row>
    <row r="53" spans="1:30" s="26" customFormat="1">
      <c r="A53" s="372"/>
      <c r="B53" s="372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72"/>
      <c r="AB53" s="372"/>
      <c r="AC53" s="372"/>
      <c r="AD53" s="372"/>
    </row>
    <row r="54" spans="1:30" s="26" customFormat="1">
      <c r="A54" s="372"/>
      <c r="B54" s="37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P54" s="372"/>
      <c r="Q54" s="372"/>
      <c r="R54" s="372"/>
      <c r="S54" s="372"/>
      <c r="T54" s="372"/>
      <c r="U54" s="372"/>
      <c r="V54" s="372"/>
      <c r="W54" s="372"/>
      <c r="X54" s="372"/>
      <c r="Y54" s="372"/>
      <c r="Z54" s="372"/>
      <c r="AA54" s="372"/>
      <c r="AB54" s="372"/>
      <c r="AC54" s="372"/>
      <c r="AD54" s="372"/>
    </row>
    <row r="55" spans="1:30" s="26" customFormat="1">
      <c r="A55" s="372"/>
      <c r="B55" s="372"/>
      <c r="C55" s="372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</row>
    <row r="56" spans="1:30" s="26" customFormat="1">
      <c r="A56" s="372"/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72"/>
      <c r="AB56" s="372"/>
      <c r="AC56" s="372"/>
      <c r="AD56" s="372"/>
    </row>
    <row r="57" spans="1:30" s="26" customFormat="1">
      <c r="A57" s="372"/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</row>
    <row r="58" spans="1:30" s="26" customFormat="1">
      <c r="A58" s="372"/>
      <c r="B58" s="372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P58" s="372"/>
      <c r="Q58" s="372"/>
      <c r="R58" s="372"/>
      <c r="S58" s="372"/>
      <c r="T58" s="372"/>
      <c r="U58" s="372"/>
      <c r="V58" s="372"/>
      <c r="W58" s="372"/>
      <c r="X58" s="372"/>
      <c r="Y58" s="372"/>
      <c r="Z58" s="372"/>
      <c r="AA58" s="372"/>
      <c r="AB58" s="372"/>
      <c r="AC58" s="372"/>
      <c r="AD58" s="372"/>
    </row>
  </sheetData>
  <pageMargins left="0.7" right="0.7" top="0.75" bottom="0.75" header="0.3" footer="0.3"/>
  <pageSetup scale="46" orientation="landscape" r:id="rId1"/>
  <headerFooter>
    <oddFooter>&amp;R&amp;"Times New Roman,Bold"&amp;18Exhibit 4
Page 4 of 18&amp;L&amp;1#&amp;"Calibri"&amp;14&amp;K000000Business Use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1ED91-D283-4B21-AA66-A3260592E895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6.140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568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1" spans="1:21">
      <c r="T11" s="367"/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'202012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2021'!C10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</f>
        <v>-215742.57</v>
      </c>
      <c r="U13" s="390" t="s">
        <v>682</v>
      </c>
    </row>
    <row r="14" spans="1:21">
      <c r="A14" s="6">
        <f t="shared" ref="A14:A18" si="4">A13+1</f>
        <v>2</v>
      </c>
      <c r="B14" s="4"/>
      <c r="C14" s="4" t="s">
        <v>535</v>
      </c>
      <c r="D14" s="6">
        <v>367</v>
      </c>
      <c r="F14" s="274">
        <f>'202012 Bk Depr'!R14</f>
        <v>76085202.640000001</v>
      </c>
      <c r="H14" s="1">
        <f>2.05%/12</f>
        <v>1.7083333333333332E-3</v>
      </c>
      <c r="J14" s="278">
        <f t="shared" si="0"/>
        <v>129978.88784333333</v>
      </c>
      <c r="L14" s="279">
        <f>'Cap&amp;OpEx 2021'!C11-'2021 Capital Budget'!E17</f>
        <v>1566979.46</v>
      </c>
      <c r="N14" s="278">
        <f t="shared" si="1"/>
        <v>1338.4616220833332</v>
      </c>
      <c r="P14" s="278">
        <f t="shared" si="2"/>
        <v>131317.34946541666</v>
      </c>
      <c r="R14" s="278">
        <f t="shared" si="3"/>
        <v>77652182.099999994</v>
      </c>
      <c r="T14" s="488">
        <f>R14</f>
        <v>77652182.099999994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'202012 Bk Depr'!R15</f>
        <v>-17033.900000000071</v>
      </c>
      <c r="H15" s="1">
        <f>1.62%/12</f>
        <v>1.3500000000000003E-3</v>
      </c>
      <c r="J15" s="278">
        <f t="shared" si="0"/>
        <v>-22.995765000000102</v>
      </c>
      <c r="L15" s="279">
        <f>'2021 Capital Budget'!E29</f>
        <v>252.79</v>
      </c>
      <c r="N15" s="278">
        <f t="shared" si="1"/>
        <v>0.17063325000000004</v>
      </c>
      <c r="P15" s="278">
        <f t="shared" si="2"/>
        <v>-22.8251317500001</v>
      </c>
      <c r="R15" s="278">
        <f t="shared" si="3"/>
        <v>-16781.11000000007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'202012 Bk Depr'!R16</f>
        <v>10585462.270000005</v>
      </c>
      <c r="H16" s="1">
        <f t="shared" ref="H16:H18" si="5">3.24%/12</f>
        <v>2.7000000000000006E-3</v>
      </c>
      <c r="J16" s="278">
        <f t="shared" si="0"/>
        <v>28580.748129000021</v>
      </c>
      <c r="L16" s="279">
        <f>'Cap&amp;OpEx 2021'!C12-L15</f>
        <v>146242.99</v>
      </c>
      <c r="N16" s="278">
        <f t="shared" si="1"/>
        <v>197.42803650000002</v>
      </c>
      <c r="P16" s="278">
        <f t="shared" si="2"/>
        <v>28778.176165500023</v>
      </c>
      <c r="R16" s="278">
        <f t="shared" si="3"/>
        <v>10731705.260000005</v>
      </c>
      <c r="T16" s="488">
        <f>'Day 4 Report Dec 2020'!D15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'202012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2021'!C13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Budget'!E17:E17)</f>
        <v>2486898.46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'202012 Bk Depr'!R18</f>
        <v>47444902.470000014</v>
      </c>
      <c r="H18" s="1">
        <f t="shared" si="5"/>
        <v>2.7000000000000006E-3</v>
      </c>
      <c r="J18" s="278">
        <f t="shared" si="0"/>
        <v>128101.23666900006</v>
      </c>
      <c r="L18" s="280">
        <f>'Cap&amp;OpEx 2021'!C14</f>
        <v>1232758.8400000001</v>
      </c>
      <c r="N18" s="278">
        <f t="shared" si="1"/>
        <v>1664.2244340000004</v>
      </c>
      <c r="P18" s="278">
        <f t="shared" si="2"/>
        <v>129765.46110300007</v>
      </c>
      <c r="R18" s="278">
        <f t="shared" si="3"/>
        <v>48677661.310000017</v>
      </c>
      <c r="T18" s="488">
        <f>SUM(T13:T17)</f>
        <v>98092767.480000004</v>
      </c>
      <c r="U18" s="390" t="s">
        <v>3</v>
      </c>
    </row>
    <row r="19" spans="1:21">
      <c r="A19" s="6">
        <f>A18+1</f>
        <v>7</v>
      </c>
      <c r="B19" s="4"/>
      <c r="C19" s="4" t="s">
        <v>21</v>
      </c>
      <c r="F19" s="276">
        <f>SUM(F13:F18)</f>
        <v>148777427.31</v>
      </c>
      <c r="J19" s="276">
        <f>SUM(J13:J18)</f>
        <v>316197.84687083343</v>
      </c>
      <c r="L19" s="276">
        <f>SUM(L13:L18)</f>
        <v>2946234.08</v>
      </c>
      <c r="N19" s="276">
        <f>SUM(N13:N18)</f>
        <v>3200.2847258333336</v>
      </c>
      <c r="P19" s="276">
        <f>SUM(P13:P18)</f>
        <v>319398.13159666676</v>
      </c>
      <c r="R19" s="276">
        <f>SUM(R13:R18)</f>
        <v>151723661.39000002</v>
      </c>
      <c r="T19" s="488">
        <f>'Rev Req 2021-Trans'!E11</f>
        <v>98092767.479999989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'202012 Bk Depr'!R22</f>
        <v>-87326.15</v>
      </c>
      <c r="H22" s="1">
        <f>1.62%/12</f>
        <v>1.3500000000000003E-3</v>
      </c>
      <c r="J22" s="278">
        <f>F22*H22</f>
        <v>-117.89030250000002</v>
      </c>
      <c r="L22" s="279">
        <f>'Cap&amp;OpEx 2021'!C17</f>
        <v>0</v>
      </c>
      <c r="N22" s="486">
        <f>H22*L22*0.5</f>
        <v>0</v>
      </c>
      <c r="P22" s="278">
        <f>J22+N22</f>
        <v>-117.89030250000002</v>
      </c>
      <c r="R22" s="278">
        <f>L22+F22</f>
        <v>-87326.15</v>
      </c>
    </row>
    <row r="23" spans="1:21">
      <c r="A23" s="6">
        <f>A22+1</f>
        <v>9</v>
      </c>
      <c r="B23" s="4"/>
      <c r="C23" s="4" t="s">
        <v>535</v>
      </c>
      <c r="D23" s="6">
        <v>367</v>
      </c>
      <c r="F23" s="274">
        <f>'202012 Bk Depr'!R23</f>
        <v>-215742.57</v>
      </c>
      <c r="H23" s="1">
        <f>2.05%/12</f>
        <v>1.7083333333333332E-3</v>
      </c>
      <c r="J23" s="278">
        <f>F23*H23</f>
        <v>-368.56022374999998</v>
      </c>
      <c r="L23" s="279">
        <f>'Cap&amp;OpEx 2021'!C18</f>
        <v>0</v>
      </c>
      <c r="N23" s="486">
        <f t="shared" ref="N23:N27" si="6">H23*L23*0.5</f>
        <v>0</v>
      </c>
      <c r="P23" s="278">
        <f>J23+N23</f>
        <v>-368.56022374999998</v>
      </c>
      <c r="R23" s="278">
        <f>L23+F23</f>
        <v>-215742.57</v>
      </c>
    </row>
    <row r="24" spans="1:21">
      <c r="A24" s="6">
        <f>A23+1</f>
        <v>10</v>
      </c>
      <c r="B24" s="4"/>
      <c r="C24" s="9" t="s">
        <v>62</v>
      </c>
      <c r="D24" s="6">
        <v>376</v>
      </c>
      <c r="F24" s="274">
        <f>'202012 Bk Depr'!R24</f>
        <v>0</v>
      </c>
      <c r="H24" s="1">
        <f>1.62%/12</f>
        <v>1.3500000000000003E-3</v>
      </c>
      <c r="J24" s="278">
        <f>F24*H24</f>
        <v>0</v>
      </c>
      <c r="L24" s="279">
        <v>0</v>
      </c>
      <c r="N24" s="486">
        <f t="shared" si="6"/>
        <v>0</v>
      </c>
      <c r="P24" s="278">
        <f>J24+N24</f>
        <v>0</v>
      </c>
      <c r="R24" s="278">
        <f>L24+F24</f>
        <v>0</v>
      </c>
    </row>
    <row r="25" spans="1:21">
      <c r="A25" s="6">
        <f>A24+1</f>
        <v>11</v>
      </c>
      <c r="B25" s="4"/>
      <c r="C25" s="9" t="s">
        <v>62</v>
      </c>
      <c r="D25" s="6">
        <v>380</v>
      </c>
      <c r="F25" s="274">
        <f>'202012 Bk Depr'!R25</f>
        <v>0</v>
      </c>
      <c r="H25" s="1">
        <f>3.24%/12</f>
        <v>2.7000000000000006E-3</v>
      </c>
      <c r="J25" s="278">
        <f t="shared" ref="J25:J27" si="7">F25*H25</f>
        <v>0</v>
      </c>
      <c r="L25" s="279">
        <f>'Cap&amp;OpEx 2021'!C19</f>
        <v>0</v>
      </c>
      <c r="N25" s="486">
        <f t="shared" si="6"/>
        <v>0</v>
      </c>
      <c r="P25" s="278">
        <f t="shared" ref="P25:P27" si="8">J25+N25</f>
        <v>0</v>
      </c>
      <c r="R25" s="278">
        <f t="shared" ref="R25:R27" si="9">L25+F25</f>
        <v>0</v>
      </c>
    </row>
    <row r="26" spans="1:21" s="398" customFormat="1">
      <c r="A26" s="397">
        <f t="shared" ref="A26" si="10">A25+1</f>
        <v>12</v>
      </c>
      <c r="C26" s="399" t="s">
        <v>63</v>
      </c>
      <c r="D26" s="397">
        <v>380</v>
      </c>
      <c r="E26" s="397"/>
      <c r="F26" s="274">
        <f>'202012 Bk Depr'!R26</f>
        <v>0</v>
      </c>
      <c r="G26" s="397"/>
      <c r="H26" s="400">
        <f>3.24%/12</f>
        <v>2.7000000000000006E-3</v>
      </c>
      <c r="I26" s="397"/>
      <c r="J26" s="274">
        <f t="shared" si="7"/>
        <v>0</v>
      </c>
      <c r="K26" s="397"/>
      <c r="L26" s="279">
        <f>'Cap&amp;OpEx 2021'!C20</f>
        <v>0</v>
      </c>
      <c r="M26" s="397"/>
      <c r="N26" s="486">
        <f t="shared" si="6"/>
        <v>0</v>
      </c>
      <c r="O26" s="397"/>
      <c r="P26" s="274">
        <f t="shared" si="8"/>
        <v>0</v>
      </c>
      <c r="Q26" s="397"/>
      <c r="R26" s="274">
        <f t="shared" si="9"/>
        <v>0</v>
      </c>
    </row>
    <row r="27" spans="1:21">
      <c r="A27" s="6">
        <f>A26+1</f>
        <v>13</v>
      </c>
      <c r="B27" s="4"/>
      <c r="C27" s="9" t="s">
        <v>160</v>
      </c>
      <c r="D27" s="6">
        <v>380</v>
      </c>
      <c r="F27" s="274">
        <f>'202012 Bk Depr'!R27</f>
        <v>-63255.53</v>
      </c>
      <c r="H27" s="1">
        <f>3.24%/12</f>
        <v>2.7000000000000006E-3</v>
      </c>
      <c r="J27" s="278">
        <f t="shared" si="7"/>
        <v>-170.78993100000002</v>
      </c>
      <c r="L27" s="280">
        <f>'Cap&amp;OpEx 2021'!C21</f>
        <v>0</v>
      </c>
      <c r="N27" s="486">
        <f t="shared" si="6"/>
        <v>0</v>
      </c>
      <c r="P27" s="278">
        <f t="shared" si="8"/>
        <v>-170.78993100000002</v>
      </c>
      <c r="R27" s="278">
        <f t="shared" si="9"/>
        <v>-63255.53</v>
      </c>
    </row>
    <row r="28" spans="1:21">
      <c r="A28" s="6">
        <f>A27+1</f>
        <v>14</v>
      </c>
      <c r="B28" s="4"/>
      <c r="C28" s="4" t="s">
        <v>22</v>
      </c>
      <c r="F28" s="276">
        <f>SUM(F22:F27)</f>
        <v>-366324.25</v>
      </c>
      <c r="J28" s="276">
        <f>SUM(J22:J27)</f>
        <v>-657.24045724999996</v>
      </c>
      <c r="L28" s="276">
        <f>SUM(L22:L27)</f>
        <v>0</v>
      </c>
      <c r="N28" s="276">
        <f>SUM(N22:N27)</f>
        <v>0</v>
      </c>
      <c r="P28" s="276">
        <f>SUM(P22:P27)</f>
        <v>-657.24045724999996</v>
      </c>
      <c r="R28" s="276">
        <f>SUM(R22:R27)</f>
        <v>-366324.25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148411103.06</v>
      </c>
      <c r="G30" s="6"/>
      <c r="H30" s="4"/>
      <c r="I30" s="6"/>
      <c r="J30" s="277">
        <f>J19+J28</f>
        <v>315540.60641358345</v>
      </c>
      <c r="K30" s="6"/>
      <c r="L30" s="277">
        <f>L19+L28</f>
        <v>2946234.08</v>
      </c>
      <c r="M30" s="6"/>
      <c r="N30" s="277">
        <f>N19+N28</f>
        <v>3200.2847258333336</v>
      </c>
      <c r="O30" s="6"/>
      <c r="P30" s="277">
        <f>P19+P28</f>
        <v>318740.89113941678</v>
      </c>
      <c r="Q30" s="6"/>
      <c r="R30" s="277">
        <f>R19+R28</f>
        <v>151357337.14000002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'202012 Bk Depr'!R33</f>
        <v>1927915.84</v>
      </c>
      <c r="J33" s="278"/>
      <c r="L33" s="279">
        <f>'Cap&amp;OpEx 2021'!C31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>A33+1</f>
        <v>17</v>
      </c>
      <c r="B34" s="4"/>
      <c r="C34" s="4" t="s">
        <v>535</v>
      </c>
      <c r="D34" s="6">
        <v>367</v>
      </c>
      <c r="F34" s="274">
        <f>'202012 Bk Depr'!R34</f>
        <v>45058.31</v>
      </c>
      <c r="J34" s="278"/>
      <c r="L34" s="279">
        <f>'Cap&amp;OpEx 2021'!C32-'2021 Capital Budget'!E24</f>
        <v>0</v>
      </c>
      <c r="N34" s="278"/>
      <c r="P34" s="278"/>
      <c r="R34" s="278">
        <f t="shared" si="11"/>
        <v>45058.31</v>
      </c>
    </row>
    <row r="35" spans="1:18">
      <c r="A35" s="6">
        <f>A34+1</f>
        <v>18</v>
      </c>
      <c r="B35" s="4"/>
      <c r="C35" s="9" t="s">
        <v>62</v>
      </c>
      <c r="D35" s="6">
        <v>376</v>
      </c>
      <c r="F35" s="274">
        <f>'202012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>A35+1</f>
        <v>19</v>
      </c>
      <c r="B36" s="4"/>
      <c r="C36" s="9" t="s">
        <v>62</v>
      </c>
      <c r="D36" s="6">
        <v>380</v>
      </c>
      <c r="F36" s="274">
        <f>'202012 Bk Depr'!R36</f>
        <v>7100947.1200000001</v>
      </c>
      <c r="J36" s="278"/>
      <c r="L36" s="279">
        <f>'Cap&amp;OpEx 2021'!C33</f>
        <v>59506.64</v>
      </c>
      <c r="N36" s="278"/>
      <c r="P36" s="278"/>
      <c r="R36" s="278">
        <f t="shared" si="11"/>
        <v>7160453.7599999998</v>
      </c>
    </row>
    <row r="37" spans="1:18" s="398" customFormat="1">
      <c r="A37" s="397">
        <f t="shared" ref="A37:A38" si="12">A36+1</f>
        <v>20</v>
      </c>
      <c r="C37" s="399" t="s">
        <v>63</v>
      </c>
      <c r="D37" s="397">
        <v>380</v>
      </c>
      <c r="E37" s="397"/>
      <c r="F37" s="274">
        <f>'202012 Bk Depr'!R37</f>
        <v>160988.60999999999</v>
      </c>
      <c r="G37" s="397"/>
      <c r="I37" s="397"/>
      <c r="J37" s="274"/>
      <c r="K37" s="397"/>
      <c r="L37" s="279">
        <f>'Cap&amp;OpEx 2021'!C34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'202012 Bk Depr'!R38</f>
        <v>4341190.5199999996</v>
      </c>
      <c r="J38" s="278"/>
      <c r="L38" s="280">
        <f>'Cap&amp;OpEx 2021'!C35</f>
        <v>371519.62</v>
      </c>
      <c r="N38" s="278"/>
      <c r="P38" s="278"/>
      <c r="R38" s="278">
        <f t="shared" si="11"/>
        <v>4712710.1399999997</v>
      </c>
    </row>
    <row r="39" spans="1:18">
      <c r="A39" s="6">
        <f>A38+1</f>
        <v>22</v>
      </c>
      <c r="B39" s="4"/>
      <c r="C39" s="4" t="s">
        <v>23</v>
      </c>
      <c r="F39" s="276">
        <f>SUM(F33:F38)</f>
        <v>13576100.399999999</v>
      </c>
      <c r="J39" s="276">
        <f>SUM(J33:J38)</f>
        <v>0</v>
      </c>
      <c r="L39" s="276">
        <f>SUM(L33:L38)</f>
        <v>431026.26</v>
      </c>
      <c r="N39" s="276">
        <f>SUM(N33:N38)</f>
        <v>0</v>
      </c>
      <c r="P39" s="276">
        <f>SUM(P33:P38)</f>
        <v>0</v>
      </c>
      <c r="R39" s="276">
        <f>SUM(R33:R38)</f>
        <v>14007126.66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187792.10189775011</v>
      </c>
    </row>
    <row r="43" spans="1:18">
      <c r="L43" s="383"/>
      <c r="M43" s="660"/>
      <c r="N43" s="383" t="s">
        <v>379</v>
      </c>
      <c r="O43" s="660"/>
      <c r="P43" s="661">
        <f>SUM(P14,P23)</f>
        <v>130948.78924166666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  <pageSetUpPr autoPageBreaks="0"/>
  </sheetPr>
  <dimension ref="A1:Q29"/>
  <sheetViews>
    <sheetView showGridLines="0" view="pageBreakPreview" zoomScale="90" zoomScaleNormal="100" zoomScaleSheetLayoutView="90" workbookViewId="0"/>
  </sheetViews>
  <sheetFormatPr defaultColWidth="9.140625" defaultRowHeight="15" customHeight="1"/>
  <cols>
    <col min="1" max="1" width="22.42578125" style="256" customWidth="1"/>
    <col min="2" max="2" width="18.85546875" style="259" customWidth="1"/>
    <col min="3" max="3" width="17.85546875" style="259" customWidth="1"/>
    <col min="4" max="5" width="19" style="259" customWidth="1"/>
    <col min="6" max="6" width="10.85546875" style="259" customWidth="1"/>
    <col min="7" max="9" width="15.85546875" style="259" customWidth="1"/>
    <col min="10" max="10" width="15.85546875" style="256" customWidth="1"/>
    <col min="11" max="11" width="15.5703125" style="256" customWidth="1"/>
    <col min="12" max="14" width="9.140625" style="256"/>
    <col min="15" max="15" width="8" style="256" customWidth="1"/>
    <col min="16" max="16" width="8" style="269" customWidth="1"/>
    <col min="17" max="16384" width="9.140625" style="256"/>
  </cols>
  <sheetData>
    <row r="1" spans="1:17" ht="15" customHeight="1">
      <c r="A1" s="327" t="s">
        <v>669</v>
      </c>
      <c r="B1" s="1252"/>
      <c r="C1" s="1252"/>
      <c r="D1" s="1252"/>
      <c r="E1" s="1252"/>
      <c r="F1" s="1252"/>
      <c r="G1" s="1252"/>
      <c r="H1" s="1252"/>
      <c r="I1" s="1252"/>
      <c r="J1" s="1253"/>
      <c r="K1" s="1253"/>
    </row>
    <row r="2" spans="1:17" ht="15.75" customHeight="1">
      <c r="A2" s="1206" t="s">
        <v>384</v>
      </c>
      <c r="B2" s="1252"/>
      <c r="C2" s="1206"/>
      <c r="D2" s="1206"/>
      <c r="E2" s="1206"/>
      <c r="F2" s="1206"/>
      <c r="G2" s="1206"/>
      <c r="H2" s="1206"/>
      <c r="I2" s="1206"/>
      <c r="J2" s="1206"/>
      <c r="K2" s="1206"/>
    </row>
    <row r="3" spans="1:17" ht="15.75" customHeight="1">
      <c r="A3" s="1207" t="str">
        <f>'OU Collection'!A3</f>
        <v>As of December 2023</v>
      </c>
      <c r="B3" s="1252"/>
      <c r="C3" s="1207"/>
      <c r="D3" s="1207"/>
      <c r="E3" s="1207"/>
      <c r="F3" s="1207"/>
      <c r="G3" s="1207"/>
      <c r="H3" s="1207"/>
      <c r="I3" s="1207"/>
      <c r="J3" s="1207"/>
      <c r="K3" s="1207"/>
    </row>
    <row r="4" spans="1:17" ht="15.75" customHeight="1">
      <c r="C4" s="371"/>
    </row>
    <row r="5" spans="1:17" s="265" customFormat="1" ht="15.75" customHeight="1">
      <c r="B5" s="1254"/>
      <c r="C5" s="371"/>
      <c r="D5" s="1254"/>
      <c r="E5" s="1254"/>
      <c r="F5" s="1254"/>
      <c r="G5" s="1254"/>
      <c r="H5" s="1254"/>
      <c r="I5" s="1254"/>
      <c r="J5" s="1255"/>
      <c r="K5" s="1255"/>
      <c r="P5" s="271"/>
    </row>
    <row r="6" spans="1:17" s="270" customFormat="1" ht="15.75" customHeight="1">
      <c r="A6" s="1256" t="s">
        <v>366</v>
      </c>
      <c r="B6" s="1257" t="s">
        <v>367</v>
      </c>
      <c r="C6" s="1257" t="s">
        <v>368</v>
      </c>
      <c r="D6" s="1257" t="s">
        <v>369</v>
      </c>
      <c r="E6" s="1257" t="s">
        <v>370</v>
      </c>
      <c r="F6" s="1257" t="s">
        <v>371</v>
      </c>
      <c r="G6" s="1257" t="s">
        <v>372</v>
      </c>
      <c r="H6" s="1257" t="s">
        <v>380</v>
      </c>
      <c r="I6" s="1257" t="s">
        <v>381</v>
      </c>
      <c r="J6" s="1257" t="s">
        <v>382</v>
      </c>
      <c r="K6" s="1257" t="s">
        <v>383</v>
      </c>
      <c r="O6" s="271"/>
      <c r="P6" s="271"/>
    </row>
    <row r="7" spans="1:17" s="269" customFormat="1" ht="18.75" customHeight="1">
      <c r="A7" s="1561" t="s">
        <v>373</v>
      </c>
      <c r="B7" s="1559" t="s">
        <v>385</v>
      </c>
      <c r="C7" s="1559" t="s">
        <v>828</v>
      </c>
      <c r="D7" s="1559" t="s">
        <v>386</v>
      </c>
      <c r="E7" s="1559" t="s">
        <v>387</v>
      </c>
      <c r="F7" s="1559" t="s">
        <v>56</v>
      </c>
      <c r="G7" s="1559" t="s">
        <v>829</v>
      </c>
      <c r="H7" s="1559" t="s">
        <v>388</v>
      </c>
      <c r="I7" s="1559" t="s">
        <v>157</v>
      </c>
      <c r="J7" s="1559" t="s">
        <v>389</v>
      </c>
      <c r="K7" s="1559" t="s">
        <v>374</v>
      </c>
      <c r="O7" s="271"/>
      <c r="P7" s="271"/>
    </row>
    <row r="8" spans="1:17" s="269" customFormat="1" ht="18.75" customHeight="1">
      <c r="A8" s="1562"/>
      <c r="B8" s="1559"/>
      <c r="C8" s="1559"/>
      <c r="D8" s="1559"/>
      <c r="E8" s="1559"/>
      <c r="F8" s="1559"/>
      <c r="G8" s="1559"/>
      <c r="H8" s="1559"/>
      <c r="I8" s="1559"/>
      <c r="J8" s="1559"/>
      <c r="K8" s="1559"/>
      <c r="O8" s="271"/>
      <c r="P8" s="271"/>
    </row>
    <row r="9" spans="1:17" s="269" customFormat="1" ht="18.75" customHeight="1">
      <c r="A9" s="1563"/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O9" s="271"/>
      <c r="P9" s="271"/>
    </row>
    <row r="10" spans="1:17" s="269" customFormat="1" ht="15.75" customHeight="1">
      <c r="A10" s="834"/>
      <c r="B10" s="835"/>
      <c r="C10" s="836"/>
      <c r="D10" s="836"/>
      <c r="E10" s="835" t="s">
        <v>390</v>
      </c>
      <c r="F10" s="836"/>
      <c r="G10" s="836" t="s">
        <v>391</v>
      </c>
      <c r="H10" s="836"/>
      <c r="I10" s="837" t="s">
        <v>392</v>
      </c>
      <c r="J10" s="837"/>
      <c r="K10" s="837" t="s">
        <v>393</v>
      </c>
      <c r="O10" s="271"/>
      <c r="P10" s="271"/>
    </row>
    <row r="11" spans="1:17" s="269" customFormat="1" ht="20.25" customHeight="1">
      <c r="A11" s="1258">
        <v>44896</v>
      </c>
      <c r="B11" s="1259">
        <f>'Net Assets'!I11</f>
        <v>48709634.619999997</v>
      </c>
      <c r="C11" s="270"/>
      <c r="D11" s="270"/>
      <c r="E11" s="270"/>
      <c r="F11" s="270"/>
      <c r="G11" s="270"/>
      <c r="H11" s="270"/>
      <c r="I11" s="270"/>
      <c r="J11" s="270"/>
      <c r="K11" s="270"/>
      <c r="O11" s="271"/>
      <c r="P11" s="271"/>
    </row>
    <row r="12" spans="1:17" s="269" customFormat="1" ht="20.25" customHeight="1">
      <c r="A12" s="1258" t="s">
        <v>1048</v>
      </c>
      <c r="B12" s="1259">
        <f>'Net Assets'!I12</f>
        <v>49094415.593282573</v>
      </c>
      <c r="C12" s="1260" t="s">
        <v>394</v>
      </c>
      <c r="D12" s="1260" t="s">
        <v>394</v>
      </c>
      <c r="E12" s="1260" t="s">
        <v>394</v>
      </c>
      <c r="F12" s="1261" t="s">
        <v>394</v>
      </c>
      <c r="G12" s="1260" t="s">
        <v>394</v>
      </c>
      <c r="H12" s="1260" t="s">
        <v>394</v>
      </c>
      <c r="I12" s="1260" t="s">
        <v>394</v>
      </c>
      <c r="J12" s="1260" t="s">
        <v>394</v>
      </c>
      <c r="K12" s="1260" t="s">
        <v>394</v>
      </c>
      <c r="O12" s="1262"/>
      <c r="P12" s="1262"/>
    </row>
    <row r="13" spans="1:17" s="269" customFormat="1" ht="9" customHeight="1">
      <c r="A13" s="1258"/>
      <c r="B13" s="1259"/>
      <c r="C13" s="1263"/>
      <c r="D13" s="1264"/>
      <c r="E13" s="1263"/>
      <c r="F13" s="1265"/>
      <c r="G13" s="1263"/>
      <c r="H13" s="1263"/>
      <c r="I13" s="1264"/>
      <c r="J13" s="1263"/>
      <c r="K13" s="1263"/>
      <c r="O13" s="1266"/>
      <c r="P13" s="1266"/>
    </row>
    <row r="14" spans="1:17" s="1198" customFormat="1" ht="20.25" customHeight="1">
      <c r="A14" s="1267">
        <f>DATE(YEAR(A11+45),MONTH(A11+45),1)</f>
        <v>44927</v>
      </c>
      <c r="B14" s="1268">
        <f>'Net Assets'!I14</f>
        <v>50395869.841404788</v>
      </c>
      <c r="C14" s="1269">
        <f>AVERAGE($B$12:B14)</f>
        <v>49745142.717343681</v>
      </c>
      <c r="D14" s="1269">
        <f t="shared" ref="D14:D19" si="0">$C$25</f>
        <v>57072401.835401908</v>
      </c>
      <c r="E14" s="1269">
        <f t="shared" ref="E14:E25" si="1">D14/12</f>
        <v>4756033.4862834923</v>
      </c>
      <c r="F14" s="1270">
        <f>'ROR 2023'!$G$12</f>
        <v>8.4599999999999995E-2</v>
      </c>
      <c r="G14" s="1271">
        <f t="shared" ref="G14:G25" si="2">E14*F14</f>
        <v>402360.43293958344</v>
      </c>
      <c r="H14" s="1272">
        <f>OpEx!F11</f>
        <v>346135.63486000005</v>
      </c>
      <c r="I14" s="1271">
        <f>G14+H14</f>
        <v>748496.06779958354</v>
      </c>
      <c r="J14" s="1272">
        <f>'OU Collection'!C11</f>
        <v>57038.27</v>
      </c>
      <c r="K14" s="1271">
        <f>ROUND(I14+J14,2)</f>
        <v>805534.34</v>
      </c>
      <c r="O14" s="1273"/>
      <c r="P14" s="1274"/>
    </row>
    <row r="15" spans="1:17" s="1198" customFormat="1" ht="20.25" customHeight="1">
      <c r="A15" s="1267">
        <f>DATE(YEAR(A14+45),MONTH(A14+45),1)</f>
        <v>44958</v>
      </c>
      <c r="B15" s="1275">
        <f>'Net Assets'!I15</f>
        <v>51746129.994504988</v>
      </c>
      <c r="C15" s="1276">
        <f>AVERAGE($B$12:B15)</f>
        <v>50412138.476397455</v>
      </c>
      <c r="D15" s="1276">
        <f t="shared" si="0"/>
        <v>57072401.835401908</v>
      </c>
      <c r="E15" s="1276">
        <f t="shared" si="1"/>
        <v>4756033.4862834923</v>
      </c>
      <c r="F15" s="1270">
        <f>'ROR 2023'!$G$12</f>
        <v>8.4599999999999995E-2</v>
      </c>
      <c r="G15" s="1276">
        <f t="shared" si="2"/>
        <v>402360.43293958344</v>
      </c>
      <c r="H15" s="1275">
        <f>OpEx!F12</f>
        <v>416605.86770950002</v>
      </c>
      <c r="I15" s="1276">
        <f t="shared" ref="I15:I25" si="3">G15+H15</f>
        <v>818966.30064908345</v>
      </c>
      <c r="J15" s="1275">
        <f>'OU Collection'!C12</f>
        <v>57038.27</v>
      </c>
      <c r="K15" s="1276">
        <f t="shared" ref="K15:K25" si="4">ROUND(I15+J15,2)</f>
        <v>876004.57</v>
      </c>
      <c r="O15" s="1273"/>
      <c r="P15" s="1274"/>
    </row>
    <row r="16" spans="1:17" s="1198" customFormat="1" ht="20.25" customHeight="1">
      <c r="A16" s="1267">
        <f t="shared" ref="A16:A25" si="5">DATE(YEAR(A15+45),MONTH(A15+45),1)</f>
        <v>44986</v>
      </c>
      <c r="B16" s="1275">
        <f>'Net Assets'!I16</f>
        <v>53037778.179653779</v>
      </c>
      <c r="C16" s="1276">
        <f>AVERAGE($B$12:B16)</f>
        <v>51068548.402211532</v>
      </c>
      <c r="D16" s="1276">
        <f t="shared" si="0"/>
        <v>57072401.835401908</v>
      </c>
      <c r="E16" s="1276">
        <f t="shared" si="1"/>
        <v>4756033.4862834923</v>
      </c>
      <c r="F16" s="1270">
        <f>'ROR 2023'!$G$12</f>
        <v>8.4599999999999995E-2</v>
      </c>
      <c r="G16" s="1276">
        <f t="shared" si="2"/>
        <v>402360.43293958344</v>
      </c>
      <c r="H16" s="1275">
        <f>OpEx!F13</f>
        <v>374057.36462250008</v>
      </c>
      <c r="I16" s="1276">
        <f t="shared" si="3"/>
        <v>776417.79756208346</v>
      </c>
      <c r="J16" s="1275">
        <f>'OU Collection'!C13</f>
        <v>57038.27</v>
      </c>
      <c r="K16" s="1276">
        <f t="shared" si="4"/>
        <v>833456.07</v>
      </c>
      <c r="O16" s="1273"/>
      <c r="P16" s="1274"/>
      <c r="Q16" s="1199"/>
    </row>
    <row r="17" spans="1:16" s="1198" customFormat="1" ht="20.25" customHeight="1">
      <c r="A17" s="1267">
        <f t="shared" si="5"/>
        <v>45017</v>
      </c>
      <c r="B17" s="1275">
        <f>'Net Assets'!I17</f>
        <v>54362732.424646996</v>
      </c>
      <c r="C17" s="1276">
        <f>AVERAGE($B$12:B17)</f>
        <v>51727385.206698626</v>
      </c>
      <c r="D17" s="1276">
        <f t="shared" si="0"/>
        <v>57072401.835401908</v>
      </c>
      <c r="E17" s="1276">
        <f t="shared" si="1"/>
        <v>4756033.4862834923</v>
      </c>
      <c r="F17" s="1270">
        <f>'ROR 2023'!$G$12</f>
        <v>8.4599999999999995E-2</v>
      </c>
      <c r="G17" s="1276">
        <f t="shared" si="2"/>
        <v>402360.43293958344</v>
      </c>
      <c r="H17" s="1275">
        <f>OpEx!F14</f>
        <v>403920.99272999988</v>
      </c>
      <c r="I17" s="1276">
        <f t="shared" si="3"/>
        <v>806281.42566958326</v>
      </c>
      <c r="J17" s="1275">
        <f>'OU Collection'!C14</f>
        <v>57038.27</v>
      </c>
      <c r="K17" s="1276">
        <f t="shared" si="4"/>
        <v>863319.7</v>
      </c>
      <c r="O17" s="1273"/>
      <c r="P17" s="1274"/>
    </row>
    <row r="18" spans="1:16" s="1198" customFormat="1" ht="20.25" customHeight="1">
      <c r="A18" s="1267">
        <f t="shared" si="5"/>
        <v>45047</v>
      </c>
      <c r="B18" s="1275">
        <f>'Net Assets'!I18</f>
        <v>55786866.017831765</v>
      </c>
      <c r="C18" s="1276">
        <f>AVERAGE($B$12:B18)</f>
        <v>52403965.341887482</v>
      </c>
      <c r="D18" s="1276">
        <f t="shared" si="0"/>
        <v>57072401.835401908</v>
      </c>
      <c r="E18" s="1276">
        <f t="shared" si="1"/>
        <v>4756033.4862834923</v>
      </c>
      <c r="F18" s="1270">
        <f>'ROR 2023'!$G$12</f>
        <v>8.4599999999999995E-2</v>
      </c>
      <c r="G18" s="1276">
        <f t="shared" si="2"/>
        <v>402360.43293958344</v>
      </c>
      <c r="H18" s="1275">
        <f>OpEx!F15</f>
        <v>473899.81902800029</v>
      </c>
      <c r="I18" s="1276">
        <f t="shared" si="3"/>
        <v>876260.25196758378</v>
      </c>
      <c r="J18" s="1275">
        <f>'OU Collection'!C15</f>
        <v>32707.22</v>
      </c>
      <c r="K18" s="1276">
        <f t="shared" si="4"/>
        <v>908967.47</v>
      </c>
      <c r="O18" s="1273"/>
      <c r="P18" s="1274"/>
    </row>
    <row r="19" spans="1:16" s="1198" customFormat="1" ht="20.25" customHeight="1">
      <c r="A19" s="1267">
        <f t="shared" si="5"/>
        <v>45078</v>
      </c>
      <c r="B19" s="1275">
        <f>'Net Assets'!I19</f>
        <v>57477423.388988845</v>
      </c>
      <c r="C19" s="1276">
        <f>AVERAGE($B$12:B19)</f>
        <v>53128745.062901966</v>
      </c>
      <c r="D19" s="1276">
        <f t="shared" si="0"/>
        <v>57072401.835401908</v>
      </c>
      <c r="E19" s="1276">
        <f t="shared" si="1"/>
        <v>4756033.4862834923</v>
      </c>
      <c r="F19" s="1270">
        <f>'ROR 2023'!$G$12</f>
        <v>8.4599999999999995E-2</v>
      </c>
      <c r="G19" s="1276">
        <f t="shared" si="2"/>
        <v>402360.43293958344</v>
      </c>
      <c r="H19" s="1275">
        <f>OpEx!F16</f>
        <v>507663.58846050006</v>
      </c>
      <c r="I19" s="1276">
        <f t="shared" si="3"/>
        <v>910024.02140008355</v>
      </c>
      <c r="J19" s="1275">
        <f>'OU Collection'!C16</f>
        <v>8376.16</v>
      </c>
      <c r="K19" s="1276">
        <f t="shared" si="4"/>
        <v>918400.18</v>
      </c>
      <c r="O19" s="1273"/>
      <c r="P19" s="1274"/>
    </row>
    <row r="20" spans="1:16" s="1198" customFormat="1" ht="20.25" customHeight="1">
      <c r="A20" s="1267">
        <f>DATE(YEAR(A19+45),MONTH(A19+45),1)</f>
        <v>45108</v>
      </c>
      <c r="B20" s="1275">
        <f>'Net Assets'!I20</f>
        <v>58739947.771467701</v>
      </c>
      <c r="C20" s="1276">
        <f>AVERAGE($B$12:B20)</f>
        <v>53830145.40147268</v>
      </c>
      <c r="D20" s="1276">
        <f>$C$25</f>
        <v>57072401.835401908</v>
      </c>
      <c r="E20" s="1276">
        <f t="shared" si="1"/>
        <v>4756033.4862834923</v>
      </c>
      <c r="F20" s="1270">
        <f>'ROR 2023'!$G$12</f>
        <v>8.4599999999999995E-2</v>
      </c>
      <c r="G20" s="1276">
        <f t="shared" si="2"/>
        <v>402360.43293958344</v>
      </c>
      <c r="H20" s="1275">
        <f>OpEx!F17</f>
        <v>525140.26511750021</v>
      </c>
      <c r="I20" s="1276">
        <f t="shared" si="3"/>
        <v>927500.69805708365</v>
      </c>
      <c r="J20" s="1275">
        <f>'OU Collection'!C17</f>
        <v>8376.16</v>
      </c>
      <c r="K20" s="1276">
        <f t="shared" si="4"/>
        <v>935876.86</v>
      </c>
      <c r="O20" s="1273"/>
      <c r="P20" s="1274"/>
    </row>
    <row r="21" spans="1:16" s="1198" customFormat="1" ht="20.25" customHeight="1">
      <c r="A21" s="1267">
        <f t="shared" si="5"/>
        <v>45139</v>
      </c>
      <c r="B21" s="1275">
        <f>'Net Assets'!I21</f>
        <v>59988112.678972051</v>
      </c>
      <c r="C21" s="1276">
        <f>AVERAGE($B$12:B21)</f>
        <v>54514363.987861499</v>
      </c>
      <c r="D21" s="1276">
        <f t="shared" ref="D21:D25" si="6">$C$25</f>
        <v>57072401.835401908</v>
      </c>
      <c r="E21" s="1276">
        <f t="shared" si="1"/>
        <v>4756033.4862834923</v>
      </c>
      <c r="F21" s="1270">
        <f>'ROR 2023'!$G$12</f>
        <v>8.4599999999999995E-2</v>
      </c>
      <c r="G21" s="1276">
        <f t="shared" si="2"/>
        <v>402360.43293958344</v>
      </c>
      <c r="H21" s="1275">
        <f>OpEx!F18</f>
        <v>509854.01354050037</v>
      </c>
      <c r="I21" s="1276">
        <f t="shared" si="3"/>
        <v>912214.44648008374</v>
      </c>
      <c r="J21" s="1275">
        <f>'OU Collection'!C18</f>
        <v>8376.16</v>
      </c>
      <c r="K21" s="1276">
        <f t="shared" si="4"/>
        <v>920590.61</v>
      </c>
      <c r="O21" s="1273"/>
      <c r="P21" s="1274"/>
    </row>
    <row r="22" spans="1:16" s="1198" customFormat="1" ht="20.25" customHeight="1">
      <c r="A22" s="1267">
        <f t="shared" si="5"/>
        <v>45170</v>
      </c>
      <c r="B22" s="1275">
        <f>'Net Assets'!I22</f>
        <v>61061512.273392327</v>
      </c>
      <c r="C22" s="1276">
        <f>AVERAGE($B$12:B22)</f>
        <v>55169078.81641458</v>
      </c>
      <c r="D22" s="1276">
        <f t="shared" si="6"/>
        <v>57072401.835401908</v>
      </c>
      <c r="E22" s="1276">
        <f t="shared" si="1"/>
        <v>4756033.4862834923</v>
      </c>
      <c r="F22" s="1270">
        <f>'ROR 2023'!$G$12</f>
        <v>8.4599999999999995E-2</v>
      </c>
      <c r="G22" s="1276">
        <f t="shared" si="2"/>
        <v>402360.43293958344</v>
      </c>
      <c r="H22" s="1275">
        <f>OpEx!F19</f>
        <v>503928.08777050028</v>
      </c>
      <c r="I22" s="1276">
        <f t="shared" si="3"/>
        <v>906288.52071008366</v>
      </c>
      <c r="J22" s="1275">
        <f>'OU Collection'!C19</f>
        <v>8376.16</v>
      </c>
      <c r="K22" s="1276">
        <f t="shared" si="4"/>
        <v>914664.68</v>
      </c>
      <c r="O22" s="1273"/>
      <c r="P22" s="1274"/>
    </row>
    <row r="23" spans="1:16" s="1198" customFormat="1" ht="20.25" customHeight="1">
      <c r="A23" s="1267">
        <f t="shared" si="5"/>
        <v>45200</v>
      </c>
      <c r="B23" s="1275">
        <f>'Net Assets'!I23</f>
        <v>62271477.161494911</v>
      </c>
      <c r="C23" s="1276">
        <f>AVERAGE($B$12:B23)</f>
        <v>55814751.393240064</v>
      </c>
      <c r="D23" s="1276">
        <f t="shared" si="6"/>
        <v>57072401.835401908</v>
      </c>
      <c r="E23" s="1276">
        <f t="shared" si="1"/>
        <v>4756033.4862834923</v>
      </c>
      <c r="F23" s="1270">
        <f>'ROR 2023'!$G$12</f>
        <v>8.4599999999999995E-2</v>
      </c>
      <c r="G23" s="1276">
        <f t="shared" si="2"/>
        <v>402360.43293958344</v>
      </c>
      <c r="H23" s="1275">
        <f>OpEx!F20</f>
        <v>499589.73010299983</v>
      </c>
      <c r="I23" s="1276">
        <f t="shared" si="3"/>
        <v>901950.16304258327</v>
      </c>
      <c r="J23" s="1275">
        <f>'OU Collection'!C20</f>
        <v>8376.16</v>
      </c>
      <c r="K23" s="1276">
        <f t="shared" si="4"/>
        <v>910326.32</v>
      </c>
      <c r="O23" s="1273"/>
      <c r="P23" s="1274"/>
    </row>
    <row r="24" spans="1:16" s="1198" customFormat="1" ht="20.25" customHeight="1">
      <c r="A24" s="1267">
        <f t="shared" si="5"/>
        <v>45231</v>
      </c>
      <c r="B24" s="1275">
        <f>'Net Assets'!I24</f>
        <v>63562471.646717675</v>
      </c>
      <c r="C24" s="1276">
        <f>AVERAGE($B$12:B24)</f>
        <v>56460394.747696526</v>
      </c>
      <c r="D24" s="1276">
        <f t="shared" si="6"/>
        <v>57072401.835401908</v>
      </c>
      <c r="E24" s="1276">
        <f t="shared" si="1"/>
        <v>4756033.4862834923</v>
      </c>
      <c r="F24" s="1270">
        <f>'ROR 2023'!$G$12</f>
        <v>8.4599999999999995E-2</v>
      </c>
      <c r="G24" s="1276">
        <f t="shared" si="2"/>
        <v>402360.43293958344</v>
      </c>
      <c r="H24" s="1275">
        <f>OpEx!F21</f>
        <v>518038.93521050003</v>
      </c>
      <c r="I24" s="1276">
        <f t="shared" si="3"/>
        <v>920399.36815008346</v>
      </c>
      <c r="J24" s="1275">
        <f>'OU Collection'!C21</f>
        <v>8376.16</v>
      </c>
      <c r="K24" s="1276">
        <f t="shared" si="4"/>
        <v>928775.53</v>
      </c>
      <c r="O24" s="1273"/>
      <c r="P24" s="1274"/>
    </row>
    <row r="25" spans="1:16" s="1198" customFormat="1" ht="20.25" customHeight="1">
      <c r="A25" s="1277">
        <f t="shared" si="5"/>
        <v>45261</v>
      </c>
      <c r="B25" s="1278">
        <f>'Net Assets'!I25</f>
        <v>64416486.887866527</v>
      </c>
      <c r="C25" s="1279">
        <f>AVERAGE($B$12:B25)</f>
        <v>57072401.835401908</v>
      </c>
      <c r="D25" s="1279">
        <f t="shared" si="6"/>
        <v>57072401.835401908</v>
      </c>
      <c r="E25" s="1279">
        <f t="shared" si="1"/>
        <v>4756033.4862834923</v>
      </c>
      <c r="F25" s="1280">
        <f>'ROR 2023'!$G$12</f>
        <v>8.4599999999999995E-2</v>
      </c>
      <c r="G25" s="1276">
        <f t="shared" si="2"/>
        <v>402360.43293958344</v>
      </c>
      <c r="H25" s="1275">
        <f>OpEx!F22</f>
        <v>516828.04353900003</v>
      </c>
      <c r="I25" s="1276">
        <f t="shared" si="3"/>
        <v>919188.47647858341</v>
      </c>
      <c r="J25" s="1275">
        <f>'OU Collection'!C22</f>
        <v>8376.16</v>
      </c>
      <c r="K25" s="1276">
        <f t="shared" si="4"/>
        <v>927564.64</v>
      </c>
      <c r="O25" s="1273"/>
      <c r="P25" s="1274"/>
    </row>
    <row r="26" spans="1:16" s="269" customFormat="1" ht="22.5" customHeight="1" thickBot="1">
      <c r="A26" s="1281"/>
      <c r="B26" s="1263"/>
      <c r="C26" s="1263"/>
      <c r="D26" s="1264"/>
      <c r="E26" s="1263"/>
      <c r="F26" s="1263"/>
      <c r="G26" s="1282">
        <f>SUM(G14:G25)</f>
        <v>4828325.1952750012</v>
      </c>
      <c r="H26" s="1282">
        <f>SUM(H14:H25)</f>
        <v>5595662.3426915007</v>
      </c>
      <c r="I26" s="1282">
        <f>SUM(I14:I25)</f>
        <v>10423987.537966503</v>
      </c>
      <c r="J26" s="1283">
        <f>SUM(J14:J25)</f>
        <v>319493.41999999981</v>
      </c>
      <c r="K26" s="1282">
        <f>SUM(K14:K25)</f>
        <v>10743480.969999999</v>
      </c>
      <c r="O26" s="271"/>
      <c r="P26" s="271"/>
    </row>
    <row r="27" spans="1:16" ht="15.75" customHeight="1" thickTop="1">
      <c r="A27" s="268"/>
      <c r="D27" s="1284"/>
      <c r="F27" s="1285"/>
      <c r="I27" s="1286"/>
      <c r="J27" s="259"/>
      <c r="K27" s="259"/>
      <c r="O27" s="265"/>
      <c r="P27" s="271"/>
    </row>
    <row r="28" spans="1:16" ht="24" customHeight="1">
      <c r="A28" s="1287" t="s">
        <v>1032</v>
      </c>
      <c r="C28" s="371"/>
    </row>
    <row r="29" spans="1:16" ht="15.75" customHeight="1">
      <c r="A29" s="1288"/>
      <c r="J29" s="259"/>
      <c r="K29" s="259"/>
    </row>
  </sheetData>
  <mergeCells count="11">
    <mergeCell ref="F7:F9"/>
    <mergeCell ref="A7:A9"/>
    <mergeCell ref="B7:B9"/>
    <mergeCell ref="C7:C9"/>
    <mergeCell ref="D7:D9"/>
    <mergeCell ref="E7:E9"/>
    <mergeCell ref="G7:G9"/>
    <mergeCell ref="H7:H9"/>
    <mergeCell ref="I7:I9"/>
    <mergeCell ref="J7:J9"/>
    <mergeCell ref="K7:K9"/>
  </mergeCells>
  <printOptions horizontalCentered="1"/>
  <pageMargins left="0.5" right="0.5" top="0.75" bottom="0.75" header="0.3" footer="0.3"/>
  <pageSetup scale="60" orientation="landscape" blackAndWhite="1" r:id="rId1"/>
  <headerFooter scaleWithDoc="0" alignWithMargins="0">
    <oddFooter>&amp;R&amp;"Times New Roman,Bold"Exhibit 3
Page 2 of 4</oddFooter>
  </headerFooter>
  <ignoredErrors>
    <ignoredError sqref="J14:J25" formula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8DF8B-EB55-453A-BBE0-1D41EE9C57A6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569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'202101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2021'!D10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</f>
        <v>-215742.57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'202101 Bk Depr'!R14</f>
        <v>77652182.099999994</v>
      </c>
      <c r="H14" s="1">
        <f>2.05%/12</f>
        <v>1.7083333333333332E-3</v>
      </c>
      <c r="J14" s="278">
        <f t="shared" si="0"/>
        <v>132655.81108749998</v>
      </c>
      <c r="L14" s="279">
        <f>'Cap&amp;OpEx 2021'!D11-'2021 Capital Budget'!F17</f>
        <v>1500046.5099999998</v>
      </c>
      <c r="N14" s="278">
        <f t="shared" si="1"/>
        <v>1281.2897272916664</v>
      </c>
      <c r="P14" s="278">
        <f t="shared" si="2"/>
        <v>133937.10081479166</v>
      </c>
      <c r="R14" s="278">
        <f t="shared" si="3"/>
        <v>79152228.609999999</v>
      </c>
      <c r="T14" s="488">
        <f>R14</f>
        <v>79152228.609999999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'202101 Bk Depr'!R15</f>
        <v>-16781.11000000007</v>
      </c>
      <c r="H15" s="1">
        <f>1.62%/12</f>
        <v>1.3500000000000003E-3</v>
      </c>
      <c r="J15" s="278">
        <f t="shared" si="0"/>
        <v>-22.654498500000098</v>
      </c>
      <c r="L15" s="279">
        <f>'2021 Capital Budget'!F29</f>
        <v>255.39</v>
      </c>
      <c r="N15" s="278">
        <f t="shared" si="1"/>
        <v>0.17238825000000002</v>
      </c>
      <c r="P15" s="278">
        <f t="shared" si="2"/>
        <v>-22.482110250000098</v>
      </c>
      <c r="R15" s="278">
        <f t="shared" si="3"/>
        <v>-16525.72000000007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'202101 Bk Depr'!R16</f>
        <v>10731705.260000005</v>
      </c>
      <c r="H16" s="1">
        <f t="shared" ref="H16:H18" si="5">3.24%/12</f>
        <v>2.7000000000000006E-3</v>
      </c>
      <c r="J16" s="278">
        <f t="shared" si="0"/>
        <v>28975.60420200002</v>
      </c>
      <c r="L16" s="279">
        <f>'Cap&amp;OpEx 2021'!D12-L15</f>
        <v>199309.45</v>
      </c>
      <c r="N16" s="278">
        <f t="shared" si="1"/>
        <v>269.06775750000008</v>
      </c>
      <c r="P16" s="278">
        <f t="shared" si="2"/>
        <v>29244.671959500021</v>
      </c>
      <c r="R16" s="278">
        <f t="shared" si="3"/>
        <v>10931014.710000005</v>
      </c>
      <c r="T16" s="488">
        <f>'Day 4 Report Dec 2020'!$D$15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'202101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2021'!D13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Budget'!E17:F17)</f>
        <v>3819971.84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'202101 Bk Depr'!R18</f>
        <v>48677661.310000017</v>
      </c>
      <c r="H18" s="1">
        <f t="shared" si="5"/>
        <v>2.7000000000000006E-3</v>
      </c>
      <c r="J18" s="278">
        <f t="shared" si="0"/>
        <v>131429.68553700007</v>
      </c>
      <c r="L18" s="280">
        <f>'Cap&amp;OpEx 2021'!D14</f>
        <v>880448.63000000012</v>
      </c>
      <c r="N18" s="278">
        <f t="shared" si="1"/>
        <v>1188.6056505000004</v>
      </c>
      <c r="P18" s="278">
        <f t="shared" si="2"/>
        <v>132618.29118750006</v>
      </c>
      <c r="R18" s="278">
        <f t="shared" si="3"/>
        <v>49558109.94000002</v>
      </c>
      <c r="T18" s="488">
        <f>SUM(T13:T17)</f>
        <v>100925887.37000002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151723661.39000002</v>
      </c>
      <c r="J19" s="276">
        <f>SUM(J13:J18)</f>
        <v>322598.4163225001</v>
      </c>
      <c r="L19" s="276">
        <f>SUM(L13:L18)</f>
        <v>2580059.9799999995</v>
      </c>
      <c r="N19" s="276">
        <f>SUM(N13:N18)</f>
        <v>2739.1355235416668</v>
      </c>
      <c r="P19" s="276">
        <f>SUM(P13:P18)</f>
        <v>325337.55184604175</v>
      </c>
      <c r="R19" s="276">
        <f>SUM(R13:R18)</f>
        <v>154303721.37000003</v>
      </c>
      <c r="T19" s="488">
        <f>'Rev Req 2021-Trans'!F11</f>
        <v>100925887.36999999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'202101 Bk Depr'!R22</f>
        <v>-87326.15</v>
      </c>
      <c r="H22" s="528">
        <f>1.62%/12</f>
        <v>1.3500000000000003E-3</v>
      </c>
      <c r="J22" s="278">
        <f t="shared" ref="J22:J27" si="6">F22*H22</f>
        <v>-117.89030250000002</v>
      </c>
      <c r="L22" s="279">
        <f>'Cap&amp;OpEx 2021'!D17</f>
        <v>0</v>
      </c>
      <c r="N22" s="486">
        <f>H22*L22*0.5</f>
        <v>0</v>
      </c>
      <c r="P22" s="278">
        <f t="shared" ref="P22:P27" si="7">J22+N22</f>
        <v>-117.89030250000002</v>
      </c>
      <c r="R22" s="278">
        <f t="shared" ref="R22:R27" si="8">L22+F22</f>
        <v>-87326.15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'202101 Bk Depr'!R23</f>
        <v>-215742.57</v>
      </c>
      <c r="H23" s="528">
        <f>2.05%/12</f>
        <v>1.7083333333333332E-3</v>
      </c>
      <c r="J23" s="278">
        <f t="shared" si="6"/>
        <v>-368.56022374999998</v>
      </c>
      <c r="L23" s="279">
        <f>'Cap&amp;OpEx 2021'!D18</f>
        <v>0</v>
      </c>
      <c r="N23" s="486">
        <f t="shared" ref="N23:N27" si="10">H23*L23*0.5</f>
        <v>0</v>
      </c>
      <c r="P23" s="278">
        <f t="shared" si="7"/>
        <v>-368.56022374999998</v>
      </c>
      <c r="R23" s="27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'202101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'202101 Bk Depr'!R25</f>
        <v>0</v>
      </c>
      <c r="H25" s="528">
        <f>3.24%/12</f>
        <v>2.7000000000000006E-3</v>
      </c>
      <c r="J25" s="278">
        <f t="shared" si="6"/>
        <v>0</v>
      </c>
      <c r="L25" s="279">
        <f>'Cap&amp;OpEx 2021'!D19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'202101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2021'!D20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'202101 Bk Depr'!R27</f>
        <v>-63255.53</v>
      </c>
      <c r="H27" s="528">
        <f>3.24%/12</f>
        <v>2.7000000000000006E-3</v>
      </c>
      <c r="J27" s="278">
        <f t="shared" si="6"/>
        <v>-170.78993100000002</v>
      </c>
      <c r="L27" s="280">
        <f>'Cap&amp;OpEx 2021'!D21</f>
        <v>0</v>
      </c>
      <c r="N27" s="486">
        <f t="shared" si="10"/>
        <v>0</v>
      </c>
      <c r="P27" s="278">
        <f t="shared" si="7"/>
        <v>-170.78993100000002</v>
      </c>
      <c r="R27" s="278">
        <f t="shared" si="8"/>
        <v>-63255.53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-366324.25</v>
      </c>
      <c r="J28" s="276">
        <f>SUM(J22:J27)</f>
        <v>-657.24045724999996</v>
      </c>
      <c r="L28" s="276">
        <f>SUM(L22:L27)</f>
        <v>0</v>
      </c>
      <c r="N28" s="276">
        <f>SUM(N22:N27)</f>
        <v>0</v>
      </c>
      <c r="P28" s="276">
        <f>SUM(P22:P27)</f>
        <v>-657.24045724999996</v>
      </c>
      <c r="R28" s="276">
        <f>SUM(R22:R27)</f>
        <v>-366324.25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151357337.14000002</v>
      </c>
      <c r="G30" s="6"/>
      <c r="H30" s="4"/>
      <c r="I30" s="6"/>
      <c r="J30" s="277">
        <f>J19+J28</f>
        <v>321941.17586525012</v>
      </c>
      <c r="K30" s="6"/>
      <c r="L30" s="277">
        <f>L19+L28</f>
        <v>2580059.9799999995</v>
      </c>
      <c r="M30" s="6"/>
      <c r="N30" s="277">
        <f>N19+N28</f>
        <v>2739.1355235416668</v>
      </c>
      <c r="O30" s="6"/>
      <c r="P30" s="277">
        <f>P19+P28</f>
        <v>324680.31138879177</v>
      </c>
      <c r="Q30" s="6"/>
      <c r="R30" s="277">
        <f>R19+R28</f>
        <v>153937397.12000003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'202101 Bk Depr'!R33</f>
        <v>1927915.84</v>
      </c>
      <c r="J33" s="278"/>
      <c r="L33" s="279">
        <f>'Cap&amp;OpEx 2021'!D31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'202101 Bk Depr'!R34</f>
        <v>45058.31</v>
      </c>
      <c r="J34" s="278"/>
      <c r="L34" s="279">
        <f>'Cap&amp;OpEx 2021'!D32-'2021 Capital Budget'!F24</f>
        <v>0</v>
      </c>
      <c r="N34" s="278"/>
      <c r="P34" s="278"/>
      <c r="R34" s="278">
        <f t="shared" si="11"/>
        <v>45058.31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'202101 Bk Depr'!R36</f>
        <v>7160453.7599999998</v>
      </c>
      <c r="J36" s="278"/>
      <c r="L36" s="279">
        <f>'Cap&amp;OpEx 2021'!D33</f>
        <v>111918.61</v>
      </c>
      <c r="N36" s="278"/>
      <c r="P36" s="278"/>
      <c r="R36" s="278">
        <f t="shared" si="11"/>
        <v>7272372.3700000001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'202101 Bk Depr'!R37</f>
        <v>160988.60999999999</v>
      </c>
      <c r="G37" s="397"/>
      <c r="I37" s="397"/>
      <c r="J37" s="274"/>
      <c r="K37" s="397"/>
      <c r="L37" s="279">
        <f>'Cap&amp;OpEx 2021'!D34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'202101 Bk Depr'!R38</f>
        <v>4712710.1399999997</v>
      </c>
      <c r="J38" s="278"/>
      <c r="L38" s="280">
        <f>'Cap&amp;OpEx 2021'!D35</f>
        <v>213477.75</v>
      </c>
      <c r="N38" s="278"/>
      <c r="P38" s="278"/>
      <c r="R38" s="278">
        <f t="shared" si="11"/>
        <v>4926187.8899999997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14007126.66</v>
      </c>
      <c r="J39" s="276">
        <f>SUM(J33:J38)</f>
        <v>0</v>
      </c>
      <c r="L39" s="276">
        <f>SUM(L33:L38)</f>
        <v>325396.36</v>
      </c>
      <c r="N39" s="276">
        <f>SUM(N33:N38)</f>
        <v>0</v>
      </c>
      <c r="P39" s="276">
        <f>SUM(P33:P38)</f>
        <v>0</v>
      </c>
      <c r="R39" s="276">
        <f>SUM(R33:R38)</f>
        <v>14332523.02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191111.7707977501</v>
      </c>
    </row>
    <row r="43" spans="1:18">
      <c r="L43" s="383"/>
      <c r="M43" s="660"/>
      <c r="N43" s="383" t="s">
        <v>379</v>
      </c>
      <c r="O43" s="660"/>
      <c r="P43" s="661">
        <f>SUM(P14,P23)</f>
        <v>133568.54059104164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8D84-98BC-4233-B611-348EBE958FB2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'202102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2021'!E10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</f>
        <v>-215742.57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'202102 Bk Depr'!R14</f>
        <v>79152228.609999999</v>
      </c>
      <c r="H14" s="1">
        <f>2.05%/12</f>
        <v>1.7083333333333332E-3</v>
      </c>
      <c r="J14" s="278">
        <f t="shared" si="0"/>
        <v>135218.39054208333</v>
      </c>
      <c r="L14" s="279">
        <f>'Cap&amp;OpEx 2021'!E11-'2021 Capital Budget'!G17</f>
        <v>2544641.3300000005</v>
      </c>
      <c r="N14" s="278">
        <f t="shared" si="1"/>
        <v>2173.5478027083336</v>
      </c>
      <c r="P14" s="278">
        <f t="shared" si="2"/>
        <v>137391.93834479168</v>
      </c>
      <c r="R14" s="278">
        <f t="shared" si="3"/>
        <v>81696869.939999998</v>
      </c>
      <c r="T14" s="488">
        <f>R14</f>
        <v>81696869.939999998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'202102 Bk Depr'!R15</f>
        <v>-16525.72000000007</v>
      </c>
      <c r="H15" s="1">
        <f>1.62%/12</f>
        <v>1.3500000000000003E-3</v>
      </c>
      <c r="J15" s="278">
        <f t="shared" si="0"/>
        <v>-22.3097220000001</v>
      </c>
      <c r="L15" s="279">
        <f>'2021 Capital Budget'!G29</f>
        <v>352.23</v>
      </c>
      <c r="N15" s="278">
        <f t="shared" si="1"/>
        <v>0.23775525000000006</v>
      </c>
      <c r="P15" s="278">
        <f t="shared" si="2"/>
        <v>-22.071966750000101</v>
      </c>
      <c r="R15" s="278">
        <f t="shared" si="3"/>
        <v>-16173.490000000071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'202102 Bk Depr'!R16</f>
        <v>10931014.710000005</v>
      </c>
      <c r="H16" s="1">
        <f t="shared" ref="H16:H18" si="5">3.24%/12</f>
        <v>2.7000000000000006E-3</v>
      </c>
      <c r="J16" s="278">
        <f t="shared" si="0"/>
        <v>29513.739717000019</v>
      </c>
      <c r="L16" s="279">
        <f>'Cap&amp;OpEx 2021'!E12-L15</f>
        <v>188874.62</v>
      </c>
      <c r="N16" s="278">
        <f t="shared" si="1"/>
        <v>254.98073700000006</v>
      </c>
      <c r="P16" s="278">
        <f t="shared" si="2"/>
        <v>29768.72045400002</v>
      </c>
      <c r="R16" s="278">
        <f t="shared" si="3"/>
        <v>11119889.330000004</v>
      </c>
      <c r="T16" s="488">
        <f>'Day 4 Report Dec 2020'!$D$15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'202102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2021'!E13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Budget'!E17:G17)</f>
        <v>5834825.7400000002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'202102 Bk Depr'!R18</f>
        <v>49558109.94000002</v>
      </c>
      <c r="H18" s="1">
        <f t="shared" si="5"/>
        <v>2.7000000000000006E-3</v>
      </c>
      <c r="J18" s="278">
        <f t="shared" si="0"/>
        <v>133806.89683800007</v>
      </c>
      <c r="L18" s="280">
        <f>'Cap&amp;OpEx 2021'!E14</f>
        <v>1501435.79</v>
      </c>
      <c r="N18" s="278">
        <f t="shared" si="1"/>
        <v>2026.9383165000004</v>
      </c>
      <c r="P18" s="278">
        <f t="shared" si="2"/>
        <v>135833.83515450006</v>
      </c>
      <c r="R18" s="278">
        <f t="shared" si="3"/>
        <v>51059545.730000019</v>
      </c>
      <c r="T18" s="488">
        <f>SUM(T13:T17)</f>
        <v>105485382.60000001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154303721.37000003</v>
      </c>
      <c r="J19" s="276">
        <f>SUM(J13:J18)</f>
        <v>328076.68736958341</v>
      </c>
      <c r="L19" s="276">
        <f>SUM(L13:L18)</f>
        <v>4235303.9700000007</v>
      </c>
      <c r="N19" s="276">
        <f>SUM(N13:N18)</f>
        <v>4455.7046114583336</v>
      </c>
      <c r="P19" s="276">
        <f>SUM(P13:P18)</f>
        <v>332532.39198104176</v>
      </c>
      <c r="R19" s="276">
        <f>SUM(R13:R18)</f>
        <v>158539025.34000003</v>
      </c>
      <c r="T19" s="488">
        <f>'Rev Req 2021-Trans'!G11</f>
        <v>105485382.59999999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'202102 Bk Depr'!R22</f>
        <v>-87326.15</v>
      </c>
      <c r="H22" s="528">
        <f>1.62%/12</f>
        <v>1.3500000000000003E-3</v>
      </c>
      <c r="J22" s="278">
        <f t="shared" ref="J22:J27" si="6">F22*H22</f>
        <v>-117.89030250000002</v>
      </c>
      <c r="L22" s="279">
        <f>'Cap&amp;OpEx 2021'!E17</f>
        <v>-11.580000000000002</v>
      </c>
      <c r="N22" s="486">
        <f>H22*L22*0.5</f>
        <v>-7.8165000000000023E-3</v>
      </c>
      <c r="P22" s="278">
        <f t="shared" ref="P22:P27" si="7">J22+N22</f>
        <v>-117.89811900000002</v>
      </c>
      <c r="R22" s="27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'202102 Bk Depr'!R23</f>
        <v>-215742.57</v>
      </c>
      <c r="H23" s="528">
        <f>2.05%/12</f>
        <v>1.7083333333333332E-3</v>
      </c>
      <c r="J23" s="278">
        <f t="shared" si="6"/>
        <v>-368.56022374999998</v>
      </c>
      <c r="L23" s="279">
        <f>'Cap&amp;OpEx 2021'!E18</f>
        <v>0</v>
      </c>
      <c r="N23" s="486">
        <f t="shared" ref="N23:N27" si="10">H23*L23*0.5</f>
        <v>0</v>
      </c>
      <c r="P23" s="278">
        <f t="shared" si="7"/>
        <v>-368.56022374999998</v>
      </c>
      <c r="R23" s="27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'202102 Bk Depr'!R24</f>
        <v>0</v>
      </c>
      <c r="H24" s="528">
        <f>1.62%/12</f>
        <v>1.3500000000000003E-3</v>
      </c>
      <c r="J24" s="278">
        <f t="shared" si="6"/>
        <v>0</v>
      </c>
      <c r="L24" s="279">
        <f>-SUM('Base Rate Retirements 2021'!G29:G31)</f>
        <v>-67.44</v>
      </c>
      <c r="N24" s="486">
        <f t="shared" si="10"/>
        <v>-4.5522000000000007E-2</v>
      </c>
      <c r="P24" s="278">
        <f t="shared" si="7"/>
        <v>-4.5522000000000007E-2</v>
      </c>
      <c r="R24" s="27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'202102 Bk Depr'!R25</f>
        <v>0</v>
      </c>
      <c r="H25" s="528">
        <f>3.24%/12</f>
        <v>2.7000000000000006E-3</v>
      </c>
      <c r="J25" s="278">
        <f t="shared" si="6"/>
        <v>0</v>
      </c>
      <c r="L25" s="279">
        <f>'Cap&amp;OpEx 2021'!E19-L24</f>
        <v>-492629.8199999996</v>
      </c>
      <c r="N25" s="486">
        <f t="shared" si="10"/>
        <v>-665.05025699999965</v>
      </c>
      <c r="P25" s="278">
        <f t="shared" si="7"/>
        <v>-665.05025699999965</v>
      </c>
      <c r="R25" s="278">
        <f t="shared" si="8"/>
        <v>-492629.8199999996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'202102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2021'!E20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'202102 Bk Depr'!R27</f>
        <v>-63255.53</v>
      </c>
      <c r="H27" s="528">
        <f>3.24%/12</f>
        <v>2.7000000000000006E-3</v>
      </c>
      <c r="J27" s="278">
        <f t="shared" si="6"/>
        <v>-170.78993100000002</v>
      </c>
      <c r="L27" s="280">
        <f>'Cap&amp;OpEx 2021'!E21</f>
        <v>-3.87</v>
      </c>
      <c r="N27" s="486">
        <f t="shared" si="10"/>
        <v>-5.2245000000000008E-3</v>
      </c>
      <c r="P27" s="278">
        <f t="shared" si="7"/>
        <v>-170.79515550000002</v>
      </c>
      <c r="R27" s="27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-366324.25</v>
      </c>
      <c r="J28" s="276">
        <f>SUM(J22:J27)</f>
        <v>-657.24045724999996</v>
      </c>
      <c r="L28" s="276">
        <f>SUM(L22:L27)</f>
        <v>-492712.70999999961</v>
      </c>
      <c r="N28" s="276">
        <f>SUM(N22:N27)</f>
        <v>-665.1088199999997</v>
      </c>
      <c r="P28" s="276">
        <f>SUM(P22:P27)</f>
        <v>-1322.3492772499997</v>
      </c>
      <c r="R28" s="276">
        <f>SUM(R22:R27)</f>
        <v>-859036.95999999961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153937397.12000003</v>
      </c>
      <c r="G30" s="6"/>
      <c r="H30" s="4"/>
      <c r="I30" s="6"/>
      <c r="J30" s="277">
        <f>J19+J28</f>
        <v>327419.44691233343</v>
      </c>
      <c r="K30" s="6"/>
      <c r="L30" s="277">
        <f>L19+L28</f>
        <v>3742591.2600000012</v>
      </c>
      <c r="M30" s="6"/>
      <c r="N30" s="277">
        <f>N19+N28</f>
        <v>3790.5957914583341</v>
      </c>
      <c r="O30" s="6"/>
      <c r="P30" s="277">
        <f>P19+P28</f>
        <v>331210.04270379175</v>
      </c>
      <c r="Q30" s="6"/>
      <c r="R30" s="277">
        <f>R19+R28</f>
        <v>157679988.38000003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'202102 Bk Depr'!R33</f>
        <v>1927915.84</v>
      </c>
      <c r="J33" s="278"/>
      <c r="L33" s="279">
        <f>'Cap&amp;OpEx 2021'!E31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'202102 Bk Depr'!R34</f>
        <v>45058.31</v>
      </c>
      <c r="J34" s="278"/>
      <c r="L34" s="279">
        <f>'Cap&amp;OpEx 2021'!E32-'2021 Capital Budget'!G24</f>
        <v>27248.06</v>
      </c>
      <c r="N34" s="278"/>
      <c r="P34" s="278"/>
      <c r="R34" s="278">
        <f t="shared" si="11"/>
        <v>72306.37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'202102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'202102 Bk Depr'!R36</f>
        <v>7272372.3700000001</v>
      </c>
      <c r="J36" s="278"/>
      <c r="L36" s="279">
        <f>'Cap&amp;OpEx 2021'!E33</f>
        <v>79506.92</v>
      </c>
      <c r="N36" s="278"/>
      <c r="P36" s="278"/>
      <c r="R36" s="278">
        <f t="shared" si="11"/>
        <v>7351879.29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'202102 Bk Depr'!R37</f>
        <v>160988.60999999999</v>
      </c>
      <c r="G37" s="397"/>
      <c r="I37" s="397"/>
      <c r="J37" s="274"/>
      <c r="K37" s="397"/>
      <c r="L37" s="279">
        <f>'Cap&amp;OpEx 2021'!E34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'202102 Bk Depr'!R38</f>
        <v>4926187.8899999997</v>
      </c>
      <c r="J38" s="278"/>
      <c r="L38" s="280">
        <f>'Cap&amp;OpEx 2021'!E35</f>
        <v>369156.64</v>
      </c>
      <c r="N38" s="278"/>
      <c r="P38" s="278"/>
      <c r="R38" s="278">
        <f t="shared" si="11"/>
        <v>5295344.5299999993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14332523.02</v>
      </c>
      <c r="J39" s="276">
        <f>SUM(J33:J38)</f>
        <v>0</v>
      </c>
      <c r="L39" s="276">
        <f>SUM(L33:L38)</f>
        <v>475911.62</v>
      </c>
      <c r="N39" s="276">
        <f>SUM(N33:N38)</f>
        <v>0</v>
      </c>
      <c r="P39" s="276">
        <f>SUM(P33:P38)</f>
        <v>0</v>
      </c>
      <c r="R39" s="276">
        <f>SUM(R33:R38)</f>
        <v>14808434.639999999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194186.66458275009</v>
      </c>
    </row>
    <row r="43" spans="1:18">
      <c r="L43" s="383"/>
      <c r="M43" s="660"/>
      <c r="N43" s="383" t="s">
        <v>379</v>
      </c>
      <c r="O43" s="660"/>
      <c r="P43" s="661">
        <f>SUM(P14,P23)</f>
        <v>137023.37812104166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0F60-AF0F-4CE1-842F-88F3C564B525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8.42578125" style="4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'202103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2021'!F10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</f>
        <v>-215742.57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'202103 Bk Depr'!R14</f>
        <v>81696869.939999998</v>
      </c>
      <c r="H14" s="1">
        <f>2.05%/12</f>
        <v>1.7083333333333332E-3</v>
      </c>
      <c r="J14" s="278">
        <f t="shared" si="0"/>
        <v>139565.48614749999</v>
      </c>
      <c r="L14" s="279">
        <f>'Cap&amp;OpEx 2021'!F11-'2021 Capital Budget'!H17</f>
        <v>1637079.2199999997</v>
      </c>
      <c r="N14" s="278">
        <f t="shared" si="1"/>
        <v>1398.3385004166664</v>
      </c>
      <c r="P14" s="278">
        <f t="shared" si="2"/>
        <v>140963.82464791666</v>
      </c>
      <c r="R14" s="278">
        <f t="shared" si="3"/>
        <v>83333949.159999996</v>
      </c>
      <c r="T14" s="488">
        <f>R14</f>
        <v>83333949.159999996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'202103 Bk Depr'!R15</f>
        <v>-16173.490000000071</v>
      </c>
      <c r="H15" s="1">
        <f>1.62%/12</f>
        <v>1.3500000000000003E-3</v>
      </c>
      <c r="J15" s="278">
        <f t="shared" si="0"/>
        <v>-21.834211500000102</v>
      </c>
      <c r="L15" s="279">
        <f>'2021 Capital Budget'!H29</f>
        <v>290.2</v>
      </c>
      <c r="N15" s="278">
        <f t="shared" si="1"/>
        <v>0.19588500000000003</v>
      </c>
      <c r="P15" s="278">
        <f t="shared" si="2"/>
        <v>-21.638326500000101</v>
      </c>
      <c r="R15" s="278">
        <f t="shared" si="3"/>
        <v>-15883.29000000007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'202103 Bk Depr'!R16</f>
        <v>11119889.330000004</v>
      </c>
      <c r="H16" s="1">
        <f t="shared" ref="H16:H18" si="5">3.24%/12</f>
        <v>2.7000000000000006E-3</v>
      </c>
      <c r="J16" s="278">
        <f t="shared" si="0"/>
        <v>30023.701191000018</v>
      </c>
      <c r="L16" s="279">
        <f>'Cap&amp;OpEx 2021'!F12-L15</f>
        <v>169209.41</v>
      </c>
      <c r="N16" s="278">
        <f t="shared" si="1"/>
        <v>228.43270350000006</v>
      </c>
      <c r="P16" s="278">
        <f t="shared" si="2"/>
        <v>30252.133894500017</v>
      </c>
      <c r="R16" s="278">
        <f t="shared" si="3"/>
        <v>11289098.740000004</v>
      </c>
      <c r="T16" s="488">
        <f>'Day 4 Report Dec 2020'!$D$15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'202103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2021'!F13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Budget'!E17:H17)</f>
        <v>8397236.6900000013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'202103 Bk Depr'!R18</f>
        <v>51059545.730000019</v>
      </c>
      <c r="H18" s="1">
        <f t="shared" si="5"/>
        <v>2.7000000000000006E-3</v>
      </c>
      <c r="J18" s="278">
        <f t="shared" si="0"/>
        <v>137860.77347100008</v>
      </c>
      <c r="L18" s="280">
        <f>'Cap&amp;OpEx 2021'!F14</f>
        <v>1285167.47</v>
      </c>
      <c r="N18" s="278">
        <f t="shared" si="1"/>
        <v>1734.9760845000003</v>
      </c>
      <c r="P18" s="278">
        <f t="shared" si="2"/>
        <v>139595.74955550008</v>
      </c>
      <c r="R18" s="278">
        <f t="shared" si="3"/>
        <v>52344713.200000018</v>
      </c>
      <c r="T18" s="488">
        <f>SUM(T13:T17)</f>
        <v>109684872.77000001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158539025.34000003</v>
      </c>
      <c r="J19" s="276">
        <f>SUM(J13:J18)</f>
        <v>336988.09659250011</v>
      </c>
      <c r="L19" s="276">
        <f>SUM(L13:L18)</f>
        <v>3091746.3</v>
      </c>
      <c r="N19" s="276">
        <f>SUM(N13:N18)</f>
        <v>3361.9431734166669</v>
      </c>
      <c r="P19" s="276">
        <f>SUM(P13:P18)</f>
        <v>340350.03976591676</v>
      </c>
      <c r="R19" s="276">
        <f>SUM(R13:R18)</f>
        <v>161630771.64000002</v>
      </c>
      <c r="T19" s="488">
        <f>'Rev Req 2021-Trans'!H11</f>
        <v>109684872.77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'202103 Bk Depr'!R22</f>
        <v>-87337.73</v>
      </c>
      <c r="H22" s="528">
        <f>1.62%/12</f>
        <v>1.3500000000000003E-3</v>
      </c>
      <c r="J22" s="278">
        <f t="shared" ref="J22:J27" si="6">F22*H22</f>
        <v>-117.90593550000003</v>
      </c>
      <c r="L22" s="279">
        <f>'Cap&amp;OpEx 2021'!F17</f>
        <v>0</v>
      </c>
      <c r="N22" s="486">
        <f>H22*L22*0.5</f>
        <v>0</v>
      </c>
      <c r="P22" s="278">
        <f t="shared" ref="P22:P27" si="7">J22+N22</f>
        <v>-117.90593550000003</v>
      </c>
      <c r="R22" s="278">
        <f>L22+F22</f>
        <v>-87337.73</v>
      </c>
    </row>
    <row r="23" spans="1:21">
      <c r="A23" s="6">
        <f t="shared" ref="A23:A28" si="8">A22+1</f>
        <v>9</v>
      </c>
      <c r="B23" s="4"/>
      <c r="C23" s="4" t="s">
        <v>535</v>
      </c>
      <c r="D23" s="6">
        <v>367</v>
      </c>
      <c r="F23" s="274">
        <f>'202103 Bk Depr'!R23</f>
        <v>-215742.57</v>
      </c>
      <c r="H23" s="528">
        <f>2.05%/12</f>
        <v>1.7083333333333332E-3</v>
      </c>
      <c r="J23" s="278">
        <f t="shared" si="6"/>
        <v>-368.56022374999998</v>
      </c>
      <c r="L23" s="279">
        <f>'Cap&amp;OpEx 2021'!F18</f>
        <v>0</v>
      </c>
      <c r="N23" s="486">
        <f t="shared" ref="N23:N27" si="9">H23*L23*0.5</f>
        <v>0</v>
      </c>
      <c r="P23" s="278">
        <f t="shared" si="7"/>
        <v>-368.56022374999998</v>
      </c>
      <c r="R23" s="278">
        <f>L23+F23</f>
        <v>-215742.57</v>
      </c>
    </row>
    <row r="24" spans="1:21">
      <c r="A24" s="6">
        <f t="shared" si="8"/>
        <v>10</v>
      </c>
      <c r="B24" s="4"/>
      <c r="C24" s="9" t="s">
        <v>62</v>
      </c>
      <c r="D24" s="6">
        <v>376</v>
      </c>
      <c r="F24" s="274">
        <f>'202103 Bk Depr'!R24</f>
        <v>-67.44</v>
      </c>
      <c r="H24" s="528">
        <f>1.62%/12</f>
        <v>1.3500000000000003E-3</v>
      </c>
      <c r="J24" s="278">
        <f t="shared" si="6"/>
        <v>-9.1044000000000014E-2</v>
      </c>
      <c r="L24" s="279">
        <v>0</v>
      </c>
      <c r="N24" s="486">
        <f t="shared" si="9"/>
        <v>0</v>
      </c>
      <c r="P24" s="278">
        <f t="shared" si="7"/>
        <v>-9.1044000000000014E-2</v>
      </c>
      <c r="R24" s="278">
        <f>L24+F24</f>
        <v>-67.44</v>
      </c>
    </row>
    <row r="25" spans="1:21">
      <c r="A25" s="6">
        <f t="shared" si="8"/>
        <v>11</v>
      </c>
      <c r="B25" s="4"/>
      <c r="C25" s="9" t="s">
        <v>62</v>
      </c>
      <c r="D25" s="6">
        <v>380</v>
      </c>
      <c r="F25" s="274">
        <f>'202103 Bk Depr'!R25</f>
        <v>-492629.8199999996</v>
      </c>
      <c r="H25" s="528">
        <f>3.24%/12</f>
        <v>2.7000000000000006E-3</v>
      </c>
      <c r="J25" s="278">
        <f t="shared" si="6"/>
        <v>-1330.1005139999993</v>
      </c>
      <c r="L25" s="279">
        <f>'Cap&amp;OpEx 2021'!F19</f>
        <v>0</v>
      </c>
      <c r="N25" s="486">
        <f t="shared" si="9"/>
        <v>0</v>
      </c>
      <c r="P25" s="278">
        <f t="shared" si="7"/>
        <v>-1330.1005139999993</v>
      </c>
      <c r="R25" s="278">
        <f t="shared" ref="R25" si="10">L25+F25</f>
        <v>-492629.8199999996</v>
      </c>
    </row>
    <row r="26" spans="1:21" s="398" customFormat="1">
      <c r="A26" s="397">
        <f t="shared" si="8"/>
        <v>12</v>
      </c>
      <c r="C26" s="399" t="s">
        <v>63</v>
      </c>
      <c r="D26" s="397">
        <v>380</v>
      </c>
      <c r="E26" s="397"/>
      <c r="F26" s="274">
        <f>'202103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2021'!F20</f>
        <v>0</v>
      </c>
      <c r="M26" s="397"/>
      <c r="N26" s="486">
        <f t="shared" si="9"/>
        <v>0</v>
      </c>
      <c r="O26" s="397"/>
      <c r="P26" s="274">
        <f t="shared" si="7"/>
        <v>0</v>
      </c>
      <c r="Q26" s="397"/>
      <c r="R26" s="274">
        <f>L26+F26</f>
        <v>0</v>
      </c>
    </row>
    <row r="27" spans="1:21">
      <c r="A27" s="6">
        <f t="shared" si="8"/>
        <v>13</v>
      </c>
      <c r="B27" s="4"/>
      <c r="C27" s="9" t="s">
        <v>160</v>
      </c>
      <c r="D27" s="6">
        <v>380</v>
      </c>
      <c r="F27" s="274">
        <f>'202103 Bk Depr'!R27</f>
        <v>-63259.4</v>
      </c>
      <c r="H27" s="528">
        <f>3.24%/12</f>
        <v>2.7000000000000006E-3</v>
      </c>
      <c r="J27" s="278">
        <f t="shared" si="6"/>
        <v>-170.80038000000005</v>
      </c>
      <c r="L27" s="280">
        <f>'Cap&amp;OpEx 2021'!F21</f>
        <v>0</v>
      </c>
      <c r="N27" s="486">
        <f t="shared" si="9"/>
        <v>0</v>
      </c>
      <c r="P27" s="278">
        <f t="shared" si="7"/>
        <v>-170.80038000000005</v>
      </c>
      <c r="R27" s="278">
        <f>L27+F27</f>
        <v>-63259.4</v>
      </c>
    </row>
    <row r="28" spans="1:21">
      <c r="A28" s="6">
        <f t="shared" si="8"/>
        <v>14</v>
      </c>
      <c r="B28" s="4"/>
      <c r="C28" s="4" t="s">
        <v>22</v>
      </c>
      <c r="F28" s="276">
        <f>SUM(F22:F27)</f>
        <v>-859036.95999999961</v>
      </c>
      <c r="J28" s="276">
        <f>SUM(J22:J27)</f>
        <v>-1987.4580972499994</v>
      </c>
      <c r="L28" s="276">
        <f>SUM(L22:L27)</f>
        <v>0</v>
      </c>
      <c r="N28" s="276">
        <f>SUM(N22:N27)</f>
        <v>0</v>
      </c>
      <c r="P28" s="276">
        <f>SUM(P22:P27)</f>
        <v>-1987.4580972499994</v>
      </c>
      <c r="R28" s="276">
        <f>SUM(R22:R27)</f>
        <v>-859036.95999999961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157679988.38000003</v>
      </c>
      <c r="G30" s="6"/>
      <c r="H30" s="4"/>
      <c r="I30" s="6"/>
      <c r="J30" s="277">
        <f>J19+J28</f>
        <v>335000.63849525008</v>
      </c>
      <c r="K30" s="6"/>
      <c r="L30" s="277">
        <f>L19+L28</f>
        <v>3091746.3</v>
      </c>
      <c r="M30" s="6"/>
      <c r="N30" s="277">
        <f>N19+N28</f>
        <v>3361.9431734166669</v>
      </c>
      <c r="O30" s="6"/>
      <c r="P30" s="277">
        <f>P19+P28</f>
        <v>338362.58166866674</v>
      </c>
      <c r="Q30" s="6"/>
      <c r="R30" s="277">
        <f>R19+R28</f>
        <v>160771734.68000001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'202103 Bk Depr'!R33</f>
        <v>1927915.84</v>
      </c>
      <c r="J33" s="278"/>
      <c r="L33" s="279">
        <f>'Cap&amp;OpEx 2021'!F31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'202103 Bk Depr'!R34</f>
        <v>72306.37</v>
      </c>
      <c r="J34" s="278"/>
      <c r="L34" s="279">
        <f>'Cap&amp;OpEx 2021'!F32-'2021 Capital Budget'!H24</f>
        <v>142808.63</v>
      </c>
      <c r="N34" s="278"/>
      <c r="P34" s="278"/>
      <c r="R34" s="278">
        <f t="shared" si="11"/>
        <v>215115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'202103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'202103 Bk Depr'!R36</f>
        <v>7351879.29</v>
      </c>
      <c r="J36" s="278"/>
      <c r="L36" s="279">
        <f>'Cap&amp;OpEx 2021'!F33</f>
        <v>84995.74</v>
      </c>
      <c r="N36" s="278"/>
      <c r="P36" s="278"/>
      <c r="R36" s="278">
        <f t="shared" si="11"/>
        <v>7436875.0300000003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'202103 Bk Depr'!R37</f>
        <v>160988.60999999999</v>
      </c>
      <c r="G37" s="397"/>
      <c r="I37" s="397"/>
      <c r="J37" s="274"/>
      <c r="K37" s="397"/>
      <c r="L37" s="279">
        <f>'Cap&amp;OpEx 2021'!F34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'202103 Bk Depr'!R38</f>
        <v>5295344.5299999993</v>
      </c>
      <c r="J38" s="278"/>
      <c r="L38" s="280">
        <f>'Cap&amp;OpEx 2021'!F35</f>
        <v>243144.77</v>
      </c>
      <c r="N38" s="278"/>
      <c r="P38" s="278"/>
      <c r="R38" s="278">
        <f t="shared" si="11"/>
        <v>5538489.2999999989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14808434.639999999</v>
      </c>
      <c r="J39" s="276">
        <f>SUM(J33:J38)</f>
        <v>0</v>
      </c>
      <c r="L39" s="276">
        <f>SUM(L33:L38)</f>
        <v>470949.14</v>
      </c>
      <c r="N39" s="276">
        <f>SUM(N33:N38)</f>
        <v>0</v>
      </c>
      <c r="P39" s="276">
        <f>SUM(P33:P38)</f>
        <v>0</v>
      </c>
      <c r="R39" s="276">
        <f>SUM(R33:R38)</f>
        <v>15279383.779999999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197767.31724450013</v>
      </c>
    </row>
    <row r="43" spans="1:18">
      <c r="L43" s="383"/>
      <c r="M43" s="660"/>
      <c r="N43" s="383" t="s">
        <v>379</v>
      </c>
      <c r="O43" s="660"/>
      <c r="P43" s="661">
        <f>SUM(P14,P23)</f>
        <v>140595.26442416664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619B1-AFE0-4B08-BC15-A44AC44DD53C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'202104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2021'!G10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2020'!L18+'Cap&amp;OpEx 2021'!G18</f>
        <v>-215742.57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'202104 Bk Depr'!R14</f>
        <v>83333949.159999996</v>
      </c>
      <c r="H14" s="1">
        <f>2.05%/12</f>
        <v>1.7083333333333332E-3</v>
      </c>
      <c r="J14" s="278">
        <f t="shared" si="0"/>
        <v>142362.16314833332</v>
      </c>
      <c r="L14" s="279">
        <f>'Cap&amp;OpEx 2021'!G11-'2021 Capital Budget'!I17</f>
        <v>3406629.04</v>
      </c>
      <c r="N14" s="278">
        <f t="shared" si="1"/>
        <v>2909.8289716666663</v>
      </c>
      <c r="P14" s="278">
        <f t="shared" si="2"/>
        <v>145271.99211999998</v>
      </c>
      <c r="R14" s="278">
        <f t="shared" si="3"/>
        <v>86740578.200000003</v>
      </c>
      <c r="T14" s="488">
        <f>R14</f>
        <v>86740578.200000003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'202104 Bk Depr'!R15</f>
        <v>-15883.29000000007</v>
      </c>
      <c r="H15" s="1">
        <f>1.62%/12</f>
        <v>1.3500000000000003E-3</v>
      </c>
      <c r="J15" s="278">
        <f t="shared" si="0"/>
        <v>-21.442441500000101</v>
      </c>
      <c r="L15" s="279">
        <f>'2021 Capital Budget'!I29</f>
        <v>301.13</v>
      </c>
      <c r="N15" s="278">
        <f t="shared" si="1"/>
        <v>0.20326275000000005</v>
      </c>
      <c r="P15" s="278">
        <f t="shared" si="2"/>
        <v>-21.2391787500001</v>
      </c>
      <c r="R15" s="278">
        <f t="shared" si="3"/>
        <v>-15582.160000000071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'202104 Bk Depr'!R16</f>
        <v>11289098.740000004</v>
      </c>
      <c r="H16" s="1">
        <f t="shared" ref="H16:H18" si="5">3.24%/12</f>
        <v>2.7000000000000006E-3</v>
      </c>
      <c r="J16" s="278">
        <f t="shared" si="0"/>
        <v>30480.566598000016</v>
      </c>
      <c r="L16" s="279">
        <f>'Cap&amp;OpEx 2021'!G12-L15</f>
        <v>215211.67</v>
      </c>
      <c r="N16" s="278">
        <f t="shared" si="1"/>
        <v>290.53575450000005</v>
      </c>
      <c r="P16" s="278">
        <f t="shared" si="2"/>
        <v>30771.102352500016</v>
      </c>
      <c r="R16" s="278">
        <f t="shared" si="3"/>
        <v>11504310.410000004</v>
      </c>
      <c r="T16" s="488">
        <f>'Day 4 Report Dec 2020'!$D$15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'202104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2021'!G13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Budget'!E17:I17)</f>
        <v>9552666.7000000011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'202104 Bk Depr'!R18</f>
        <v>52344713.200000018</v>
      </c>
      <c r="H18" s="1">
        <f t="shared" si="5"/>
        <v>2.7000000000000006E-3</v>
      </c>
      <c r="J18" s="278">
        <f t="shared" si="0"/>
        <v>141330.72564000008</v>
      </c>
      <c r="L18" s="280">
        <f>'Cap&amp;OpEx 2021'!G14</f>
        <v>1241233.3500000001</v>
      </c>
      <c r="N18" s="278">
        <f t="shared" si="1"/>
        <v>1675.6650225000005</v>
      </c>
      <c r="P18" s="278">
        <f t="shared" si="2"/>
        <v>143006.39066250008</v>
      </c>
      <c r="R18" s="278">
        <f t="shared" si="3"/>
        <v>53585946.550000019</v>
      </c>
      <c r="T18" s="488">
        <f>SUM(T13:T17)</f>
        <v>114246931.82000002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161630771.64000002</v>
      </c>
      <c r="J19" s="276">
        <f>SUM(J13:J18)</f>
        <v>343711.98293933342</v>
      </c>
      <c r="L19" s="276">
        <f>SUM(L13:L18)</f>
        <v>4863375.1899999995</v>
      </c>
      <c r="N19" s="276">
        <f>SUM(N13:N18)</f>
        <v>4876.2330114166671</v>
      </c>
      <c r="P19" s="276">
        <f>SUM(P13:P18)</f>
        <v>348588.21595075005</v>
      </c>
      <c r="R19" s="276">
        <f>SUM(R13:R18)</f>
        <v>166494146.83000004</v>
      </c>
      <c r="T19" s="488">
        <f>'Rev Req 2021-Trans'!I11</f>
        <v>114246931.81999999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'202104 Bk Depr'!R22</f>
        <v>-87337.73</v>
      </c>
      <c r="H22" s="528">
        <f>1.62%/12</f>
        <v>1.3500000000000003E-3</v>
      </c>
      <c r="J22" s="278">
        <f t="shared" ref="J22:J27" si="6">F22*H22</f>
        <v>-117.90593550000003</v>
      </c>
      <c r="L22" s="279">
        <f>'Cap&amp;OpEx 2021'!G17</f>
        <v>0</v>
      </c>
      <c r="N22" s="486">
        <f>H22*L22*0.5</f>
        <v>0</v>
      </c>
      <c r="P22" s="278">
        <f t="shared" ref="P22:P27" si="7">J22+N22</f>
        <v>-117.90593550000003</v>
      </c>
      <c r="R22" s="27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'202104 Bk Depr'!R23</f>
        <v>-215742.57</v>
      </c>
      <c r="H23" s="528">
        <f>2.05%/12</f>
        <v>1.7083333333333332E-3</v>
      </c>
      <c r="J23" s="278">
        <f t="shared" si="6"/>
        <v>-368.56022374999998</v>
      </c>
      <c r="L23" s="279">
        <f>'Cap&amp;OpEx 2021'!G18</f>
        <v>0</v>
      </c>
      <c r="N23" s="486">
        <f t="shared" ref="N23:N27" si="10">H23*L23*0.5</f>
        <v>0</v>
      </c>
      <c r="P23" s="278">
        <f t="shared" si="7"/>
        <v>-368.56022374999998</v>
      </c>
      <c r="R23" s="27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'202104 Bk Depr'!R24</f>
        <v>-67.44</v>
      </c>
      <c r="H24" s="528">
        <f>1.62%/12</f>
        <v>1.3500000000000003E-3</v>
      </c>
      <c r="J24" s="278">
        <f t="shared" si="6"/>
        <v>-9.1044000000000014E-2</v>
      </c>
      <c r="L24" s="279">
        <v>0</v>
      </c>
      <c r="N24" s="486">
        <f t="shared" si="10"/>
        <v>0</v>
      </c>
      <c r="P24" s="278">
        <f t="shared" si="7"/>
        <v>-9.1044000000000014E-2</v>
      </c>
      <c r="R24" s="27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'202104 Bk Depr'!R25</f>
        <v>-492629.8199999996</v>
      </c>
      <c r="H25" s="528">
        <f>3.24%/12</f>
        <v>2.7000000000000006E-3</v>
      </c>
      <c r="J25" s="278">
        <f t="shared" si="6"/>
        <v>-1330.1005139999993</v>
      </c>
      <c r="L25" s="279">
        <f>'Cap&amp;OpEx 2021'!G19</f>
        <v>0</v>
      </c>
      <c r="N25" s="486">
        <f t="shared" si="10"/>
        <v>0</v>
      </c>
      <c r="P25" s="278">
        <f t="shared" si="7"/>
        <v>-1330.1005139999993</v>
      </c>
      <c r="R25" s="278">
        <f t="shared" si="8"/>
        <v>-492629.8199999996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'202104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2021'!G20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'202104 Bk Depr'!R27</f>
        <v>-63259.4</v>
      </c>
      <c r="H27" s="528">
        <f>3.24%/12</f>
        <v>2.7000000000000006E-3</v>
      </c>
      <c r="J27" s="278">
        <f t="shared" si="6"/>
        <v>-170.80038000000005</v>
      </c>
      <c r="L27" s="280">
        <f>'Cap&amp;OpEx 2021'!G21</f>
        <v>0</v>
      </c>
      <c r="N27" s="486">
        <f t="shared" si="10"/>
        <v>0</v>
      </c>
      <c r="P27" s="278">
        <f t="shared" si="7"/>
        <v>-170.80038000000005</v>
      </c>
      <c r="R27" s="27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-859036.95999999961</v>
      </c>
      <c r="J28" s="276">
        <f>SUM(J22:J27)</f>
        <v>-1987.4580972499994</v>
      </c>
      <c r="L28" s="276">
        <f>SUM(L22:L27)</f>
        <v>0</v>
      </c>
      <c r="N28" s="276">
        <f>SUM(N22:N27)</f>
        <v>0</v>
      </c>
      <c r="P28" s="276">
        <f>SUM(P22:P27)</f>
        <v>-1987.4580972499994</v>
      </c>
      <c r="R28" s="276">
        <f>SUM(R22:R27)</f>
        <v>-859036.95999999961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160771734.68000001</v>
      </c>
      <c r="G30" s="6"/>
      <c r="H30" s="4"/>
      <c r="I30" s="6"/>
      <c r="J30" s="277">
        <f>J19+J28</f>
        <v>341724.5248420834</v>
      </c>
      <c r="K30" s="6"/>
      <c r="L30" s="277">
        <f>L19+L28</f>
        <v>4863375.1899999995</v>
      </c>
      <c r="M30" s="6"/>
      <c r="N30" s="277">
        <f>N19+N28</f>
        <v>4876.2330114166671</v>
      </c>
      <c r="O30" s="6"/>
      <c r="P30" s="277">
        <f>P19+P28</f>
        <v>346600.75785350002</v>
      </c>
      <c r="Q30" s="6"/>
      <c r="R30" s="277">
        <f>R19+R28</f>
        <v>165635109.87000003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'202104 Bk Depr'!R33</f>
        <v>1927915.84</v>
      </c>
      <c r="J33" s="278"/>
      <c r="L33" s="279">
        <f>'Cap&amp;OpEx 2021'!G31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'202104 Bk Depr'!R34</f>
        <v>215115</v>
      </c>
      <c r="J34" s="278"/>
      <c r="L34" s="279">
        <f>'Cap&amp;OpEx 2021'!G32-'2021 Capital Budget'!I24</f>
        <v>415206.42</v>
      </c>
      <c r="N34" s="278"/>
      <c r="P34" s="278"/>
      <c r="R34" s="278">
        <f t="shared" si="11"/>
        <v>630321.41999999993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'202104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'202104 Bk Depr'!R36</f>
        <v>7436875.0300000003</v>
      </c>
      <c r="J36" s="278"/>
      <c r="L36" s="279">
        <f>'Cap&amp;OpEx 2021'!G33</f>
        <v>78872.98000000001</v>
      </c>
      <c r="N36" s="278"/>
      <c r="P36" s="278"/>
      <c r="R36" s="278">
        <f t="shared" si="11"/>
        <v>7515748.0100000007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'202104 Bk Depr'!R37</f>
        <v>160988.60999999999</v>
      </c>
      <c r="G37" s="397"/>
      <c r="I37" s="397"/>
      <c r="J37" s="274"/>
      <c r="K37" s="397"/>
      <c r="L37" s="279">
        <f>'Cap&amp;OpEx 2021'!G34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'202104 Bk Depr'!R38</f>
        <v>5538489.2999999989</v>
      </c>
      <c r="J38" s="278"/>
      <c r="L38" s="280">
        <f>'Cap&amp;OpEx 2021'!G35</f>
        <v>172816.67</v>
      </c>
      <c r="N38" s="278"/>
      <c r="P38" s="278"/>
      <c r="R38" s="278">
        <f t="shared" si="11"/>
        <v>5711305.9699999988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15279383.779999999</v>
      </c>
      <c r="J39" s="276">
        <f>SUM(J33:J38)</f>
        <v>0</v>
      </c>
      <c r="L39" s="276">
        <f>SUM(L33:L38)</f>
        <v>666896.07000000007</v>
      </c>
      <c r="N39" s="276">
        <f>SUM(N33:N38)</f>
        <v>0</v>
      </c>
      <c r="P39" s="276">
        <f>SUM(P33:P38)</f>
        <v>0</v>
      </c>
      <c r="R39" s="276">
        <f>SUM(R33:R38)</f>
        <v>15946279.849999998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201697.32595725011</v>
      </c>
    </row>
    <row r="43" spans="1:18">
      <c r="L43" s="383"/>
      <c r="M43" s="660"/>
      <c r="N43" s="383" t="s">
        <v>379</v>
      </c>
      <c r="O43" s="660"/>
      <c r="P43" s="661">
        <f>SUM(P14,P23)</f>
        <v>144903.43189624997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12EC1-1BB6-4138-A33B-22D1807600C9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'202105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2021'!H10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  <c r="T13" s="488">
        <f>'Cap&amp;OpEx 2020'!L18+'Cap&amp;OpEx 2021'!G18+'Cap&amp;OpEx 2021'!H18</f>
        <v>-215742.57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'202105 Bk Depr'!R14</f>
        <v>86740578.200000003</v>
      </c>
      <c r="H14" s="1">
        <f>2.05%/12</f>
        <v>1.7083333333333332E-3</v>
      </c>
      <c r="J14" s="278">
        <f t="shared" si="0"/>
        <v>148181.82109166667</v>
      </c>
      <c r="L14" s="279">
        <f>'Cap&amp;OpEx 2021'!H11-'2021 Capital Budget'!J17</f>
        <v>3381373.0100000002</v>
      </c>
      <c r="N14" s="278">
        <f t="shared" si="1"/>
        <v>2888.2561127083331</v>
      </c>
      <c r="P14" s="278">
        <f t="shared" si="2"/>
        <v>151070.077204375</v>
      </c>
      <c r="R14" s="278">
        <f t="shared" si="3"/>
        <v>90121951.210000008</v>
      </c>
      <c r="T14" s="488">
        <f>R14</f>
        <v>90121951.210000008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'202105 Bk Depr'!R15</f>
        <v>-15582.160000000071</v>
      </c>
      <c r="H15" s="1">
        <f>1.62%/12</f>
        <v>1.3500000000000003E-3</v>
      </c>
      <c r="J15" s="278">
        <f t="shared" si="0"/>
        <v>-21.0359160000001</v>
      </c>
      <c r="L15" s="279">
        <f>'2021 Capital Budget'!J29</f>
        <v>222.16</v>
      </c>
      <c r="N15" s="278">
        <f t="shared" si="1"/>
        <v>0.14995800000000004</v>
      </c>
      <c r="P15" s="278">
        <f t="shared" si="2"/>
        <v>-20.885958000000098</v>
      </c>
      <c r="R15" s="278">
        <f t="shared" si="3"/>
        <v>-15360.000000000071</v>
      </c>
      <c r="T15" s="488">
        <f>'Day 4 Report Dec 2020'!$B$13</f>
        <v>584511.54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'202105 Bk Depr'!R16</f>
        <v>11504310.410000004</v>
      </c>
      <c r="H16" s="1">
        <f t="shared" ref="H16:H18" si="5">3.24%/12</f>
        <v>2.7000000000000006E-3</v>
      </c>
      <c r="J16" s="278">
        <f t="shared" si="0"/>
        <v>31061.638107000017</v>
      </c>
      <c r="L16" s="279">
        <f>'Cap&amp;OpEx 2021'!H12-L15</f>
        <v>114737.63</v>
      </c>
      <c r="N16" s="278">
        <f t="shared" si="1"/>
        <v>154.89580050000004</v>
      </c>
      <c r="P16" s="278">
        <f t="shared" si="2"/>
        <v>31216.533907500016</v>
      </c>
      <c r="R16" s="278">
        <f t="shared" si="3"/>
        <v>11619048.040000005</v>
      </c>
      <c r="T16" s="488">
        <f>'Day 4 Report Dec 2020'!$D$15</f>
        <v>17584917.949999999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'202105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2021'!H13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  <c r="T17" s="488">
        <f>SUM('2021 Capital Budget'!E17:J17)</f>
        <v>10552839.770000001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'202105 Bk Depr'!R18</f>
        <v>53585946.550000019</v>
      </c>
      <c r="H18" s="1">
        <f t="shared" si="5"/>
        <v>2.7000000000000006E-3</v>
      </c>
      <c r="J18" s="278">
        <f t="shared" si="0"/>
        <v>144682.05568500009</v>
      </c>
      <c r="L18" s="280">
        <f>'Cap&amp;OpEx 2021'!H14</f>
        <v>1320367.0299999998</v>
      </c>
      <c r="N18" s="278">
        <f t="shared" si="1"/>
        <v>1782.4954905000002</v>
      </c>
      <c r="P18" s="278">
        <f t="shared" si="2"/>
        <v>146464.55117550009</v>
      </c>
      <c r="R18" s="278">
        <f t="shared" si="3"/>
        <v>54906313.580000021</v>
      </c>
      <c r="T18" s="488">
        <f>SUM(T13:T17)</f>
        <v>118628477.90000002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166494146.83000004</v>
      </c>
      <c r="J19" s="276">
        <f>SUM(J13:J18)</f>
        <v>353464.44896216679</v>
      </c>
      <c r="L19" s="276">
        <f>SUM(L13:L18)</f>
        <v>4816699.83</v>
      </c>
      <c r="N19" s="276">
        <f>SUM(N13:N18)</f>
        <v>4825.7973617083335</v>
      </c>
      <c r="P19" s="276">
        <f>SUM(P13:P18)</f>
        <v>358290.24632387509</v>
      </c>
      <c r="R19" s="276">
        <f>SUM(R13:R18)</f>
        <v>171310846.66000003</v>
      </c>
      <c r="T19" s="488">
        <f>'Rev Req 2021-Trans'!J11</f>
        <v>118628477.89999999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'202105 Bk Depr'!R22</f>
        <v>-87337.73</v>
      </c>
      <c r="H22" s="528">
        <f>1.62%/12</f>
        <v>1.3500000000000003E-3</v>
      </c>
      <c r="J22" s="278">
        <f t="shared" ref="J22:J27" si="6">F22*H22</f>
        <v>-117.90593550000003</v>
      </c>
      <c r="L22" s="279">
        <f>'Cap&amp;OpEx 2021'!H17</f>
        <v>0</v>
      </c>
      <c r="N22" s="486">
        <f>H22*L22*0.5</f>
        <v>0</v>
      </c>
      <c r="P22" s="278">
        <f t="shared" ref="P22:P27" si="7">J22+N22</f>
        <v>-117.90593550000003</v>
      </c>
      <c r="R22" s="27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'202105 Bk Depr'!R23</f>
        <v>-215742.57</v>
      </c>
      <c r="H23" s="528">
        <f>2.05%/12</f>
        <v>1.7083333333333332E-3</v>
      </c>
      <c r="J23" s="278">
        <f t="shared" si="6"/>
        <v>-368.56022374999998</v>
      </c>
      <c r="L23" s="279">
        <f>'Cap&amp;OpEx 2021'!H18</f>
        <v>0</v>
      </c>
      <c r="N23" s="486">
        <f t="shared" ref="N23:N27" si="10">H23*L23*0.5</f>
        <v>0</v>
      </c>
      <c r="P23" s="278">
        <f t="shared" si="7"/>
        <v>-368.56022374999998</v>
      </c>
      <c r="R23" s="27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'202105 Bk Depr'!R24</f>
        <v>-67.44</v>
      </c>
      <c r="H24" s="528">
        <f>1.62%/12</f>
        <v>1.3500000000000003E-3</v>
      </c>
      <c r="J24" s="278">
        <f t="shared" si="6"/>
        <v>-9.1044000000000014E-2</v>
      </c>
      <c r="L24" s="279">
        <v>0</v>
      </c>
      <c r="N24" s="486">
        <f t="shared" si="10"/>
        <v>0</v>
      </c>
      <c r="P24" s="278">
        <f t="shared" si="7"/>
        <v>-9.1044000000000014E-2</v>
      </c>
      <c r="R24" s="27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'202105 Bk Depr'!R25</f>
        <v>-492629.8199999996</v>
      </c>
      <c r="H25" s="528">
        <f>3.24%/12</f>
        <v>2.7000000000000006E-3</v>
      </c>
      <c r="J25" s="278">
        <f t="shared" si="6"/>
        <v>-1330.1005139999993</v>
      </c>
      <c r="L25" s="279">
        <f>'Cap&amp;OpEx 2021'!H19</f>
        <v>0</v>
      </c>
      <c r="N25" s="486">
        <f t="shared" si="10"/>
        <v>0</v>
      </c>
      <c r="P25" s="278">
        <f t="shared" si="7"/>
        <v>-1330.1005139999993</v>
      </c>
      <c r="R25" s="278">
        <f t="shared" si="8"/>
        <v>-492629.8199999996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'202105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2021'!H20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'202105 Bk Depr'!R27</f>
        <v>-63259.4</v>
      </c>
      <c r="H27" s="528">
        <f>3.24%/12</f>
        <v>2.7000000000000006E-3</v>
      </c>
      <c r="J27" s="278">
        <f t="shared" si="6"/>
        <v>-170.80038000000005</v>
      </c>
      <c r="L27" s="280">
        <f>'Cap&amp;OpEx 2021'!H21</f>
        <v>0</v>
      </c>
      <c r="N27" s="486">
        <f t="shared" si="10"/>
        <v>0</v>
      </c>
      <c r="P27" s="278">
        <f t="shared" si="7"/>
        <v>-170.80038000000005</v>
      </c>
      <c r="R27" s="27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-859036.95999999961</v>
      </c>
      <c r="J28" s="276">
        <f>SUM(J22:J27)</f>
        <v>-1987.4580972499994</v>
      </c>
      <c r="L28" s="276">
        <f>SUM(L22:L27)</f>
        <v>0</v>
      </c>
      <c r="N28" s="276">
        <f>SUM(N22:N27)</f>
        <v>0</v>
      </c>
      <c r="P28" s="276">
        <f>SUM(P22:P27)</f>
        <v>-1987.4580972499994</v>
      </c>
      <c r="R28" s="276">
        <f>SUM(R22:R27)</f>
        <v>-859036.95999999961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165635109.87000003</v>
      </c>
      <c r="G30" s="6"/>
      <c r="H30" s="4"/>
      <c r="I30" s="6"/>
      <c r="J30" s="277">
        <f>J19+J28</f>
        <v>351476.99086491676</v>
      </c>
      <c r="K30" s="6"/>
      <c r="L30" s="277">
        <f>L19+L28</f>
        <v>4816699.83</v>
      </c>
      <c r="M30" s="6"/>
      <c r="N30" s="277">
        <f>N19+N28</f>
        <v>4825.7973617083335</v>
      </c>
      <c r="O30" s="6"/>
      <c r="P30" s="277">
        <f>P19+P28</f>
        <v>356302.78822662507</v>
      </c>
      <c r="Q30" s="6"/>
      <c r="R30" s="277">
        <f>R19+R28</f>
        <v>170451809.70000002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'202105 Bk Depr'!R33</f>
        <v>1927915.84</v>
      </c>
      <c r="J33" s="278"/>
      <c r="L33" s="279">
        <f>'Cap&amp;OpEx 2021'!H31</f>
        <v>0</v>
      </c>
      <c r="N33" s="278"/>
      <c r="P33" s="278"/>
      <c r="R33" s="27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'202105 Bk Depr'!R34</f>
        <v>630321.41999999993</v>
      </c>
      <c r="J34" s="278"/>
      <c r="L34" s="279">
        <f>'Cap&amp;OpEx 2021'!H32-'2021 Capital Budget'!J24</f>
        <v>161468.46</v>
      </c>
      <c r="N34" s="278"/>
      <c r="P34" s="278"/>
      <c r="R34" s="278">
        <f t="shared" si="11"/>
        <v>791789.87999999989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'202105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'202105 Bk Depr'!R36</f>
        <v>7515748.0100000007</v>
      </c>
      <c r="J36" s="278"/>
      <c r="L36" s="279">
        <f>'Cap&amp;OpEx 2021'!H33</f>
        <v>83305.51999999999</v>
      </c>
      <c r="N36" s="278"/>
      <c r="P36" s="278"/>
      <c r="R36" s="278">
        <f t="shared" si="11"/>
        <v>7599053.5300000003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'202105 Bk Depr'!R37</f>
        <v>160988.60999999999</v>
      </c>
      <c r="G37" s="397"/>
      <c r="I37" s="397"/>
      <c r="J37" s="274"/>
      <c r="K37" s="397"/>
      <c r="L37" s="279">
        <f>'Cap&amp;OpEx 2021'!H34</f>
        <v>0</v>
      </c>
      <c r="M37" s="397"/>
      <c r="N37" s="274"/>
      <c r="O37" s="397"/>
      <c r="P37" s="274"/>
      <c r="Q37" s="397"/>
      <c r="R37" s="274">
        <f t="shared" si="11"/>
        <v>160988.60999999999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'202105 Bk Depr'!R38</f>
        <v>5711305.9699999988</v>
      </c>
      <c r="J38" s="278"/>
      <c r="L38" s="280">
        <f>'Cap&amp;OpEx 2021'!H35</f>
        <v>195975.6</v>
      </c>
      <c r="N38" s="278"/>
      <c r="P38" s="278"/>
      <c r="R38" s="278">
        <f t="shared" si="11"/>
        <v>5907281.5699999984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15946279.849999998</v>
      </c>
      <c r="J39" s="276">
        <f>SUM(J33:J38)</f>
        <v>0</v>
      </c>
      <c r="L39" s="276">
        <f>SUM(L33:L38)</f>
        <v>440749.57999999996</v>
      </c>
      <c r="N39" s="276">
        <f>SUM(N33:N38)</f>
        <v>0</v>
      </c>
      <c r="P39" s="276">
        <f>SUM(P33:P38)</f>
        <v>0</v>
      </c>
      <c r="R39" s="276">
        <f>SUM(R33:R38)</f>
        <v>16387029.429999998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205601.27124600013</v>
      </c>
    </row>
    <row r="43" spans="1:18">
      <c r="L43" s="383"/>
      <c r="M43" s="660"/>
      <c r="N43" s="383" t="s">
        <v>379</v>
      </c>
      <c r="O43" s="660"/>
      <c r="P43" s="661">
        <f>SUM(P14,P23)</f>
        <v>150701.51698062499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8AB4E-B178-49C1-90AF-16CE29274558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415">
        <v>0</v>
      </c>
      <c r="H13" s="1">
        <f>1.62%/12</f>
        <v>1.3500000000000003E-3</v>
      </c>
      <c r="J13" s="278">
        <f t="shared" ref="J13:J18" si="0">F13*H13</f>
        <v>0</v>
      </c>
      <c r="L13" s="279">
        <f>'Cap&amp;OpEx 2021'!I10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 t="shared" ref="R13:R18" si="3">L13+F13</f>
        <v>0</v>
      </c>
      <c r="T13" s="488">
        <v>0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415">
        <v>0</v>
      </c>
      <c r="H14" s="1">
        <f>2.05%/12</f>
        <v>1.7083333333333332E-3</v>
      </c>
      <c r="J14" s="278">
        <f t="shared" si="0"/>
        <v>0</v>
      </c>
      <c r="L14" s="279">
        <f>'Cap&amp;OpEx 2021'!I11-'2021 Capital Budget'!K17</f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  <c r="T14" s="488">
        <f>R14</f>
        <v>0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415">
        <v>0</v>
      </c>
      <c r="H15" s="1">
        <f>1.62%/12</f>
        <v>1.3500000000000003E-3</v>
      </c>
      <c r="J15" s="278">
        <f t="shared" si="0"/>
        <v>0</v>
      </c>
      <c r="L15" s="279">
        <f>'2021 Capital Budget'!K29</f>
        <v>0</v>
      </c>
      <c r="N15" s="278">
        <f t="shared" si="1"/>
        <v>0</v>
      </c>
      <c r="P15" s="278">
        <f t="shared" si="2"/>
        <v>0</v>
      </c>
      <c r="R15" s="278">
        <f t="shared" si="3"/>
        <v>0</v>
      </c>
      <c r="T15" s="488">
        <v>0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415">
        <v>10535909.270000005</v>
      </c>
      <c r="H16" s="1">
        <f t="shared" ref="H16:H18" si="5">3.24%/12</f>
        <v>2.7000000000000006E-3</v>
      </c>
      <c r="J16" s="278">
        <f t="shared" si="0"/>
        <v>28446.955029000019</v>
      </c>
      <c r="L16" s="279">
        <f>'Cap&amp;OpEx 2021'!I12-L15</f>
        <v>181480.95999999999</v>
      </c>
      <c r="N16" s="278">
        <f t="shared" si="1"/>
        <v>244.99929600000004</v>
      </c>
      <c r="P16" s="278">
        <f t="shared" si="2"/>
        <v>28691.954325000021</v>
      </c>
      <c r="R16" s="278">
        <f t="shared" si="3"/>
        <v>10717390.230000006</v>
      </c>
      <c r="T16" s="488">
        <v>0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415">
        <v>0</v>
      </c>
      <c r="H17" s="1">
        <f t="shared" si="5"/>
        <v>2.7000000000000006E-3</v>
      </c>
      <c r="J17" s="278">
        <f t="shared" si="0"/>
        <v>0</v>
      </c>
      <c r="L17" s="279">
        <f>'Cap&amp;OpEx 2021'!I13</f>
        <v>0</v>
      </c>
      <c r="N17" s="278">
        <f t="shared" si="1"/>
        <v>0</v>
      </c>
      <c r="P17" s="278">
        <f t="shared" si="2"/>
        <v>0</v>
      </c>
      <c r="R17" s="278">
        <f t="shared" si="3"/>
        <v>0</v>
      </c>
      <c r="T17" s="488">
        <v>0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415">
        <v>29542153.970000003</v>
      </c>
      <c r="H18" s="1">
        <f t="shared" si="5"/>
        <v>2.7000000000000006E-3</v>
      </c>
      <c r="J18" s="278">
        <f t="shared" si="0"/>
        <v>79763.81571900002</v>
      </c>
      <c r="L18" s="280">
        <f>'Cap&amp;OpEx 2021'!I14</f>
        <v>623766.94999999995</v>
      </c>
      <c r="N18" s="278">
        <f t="shared" si="1"/>
        <v>842.08538250000015</v>
      </c>
      <c r="P18" s="278">
        <f t="shared" si="2"/>
        <v>80605.901101500014</v>
      </c>
      <c r="R18" s="278">
        <f t="shared" si="3"/>
        <v>30165920.920000002</v>
      </c>
      <c r="T18" s="488">
        <f>SUM(T13:T17)</f>
        <v>0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40078063.24000001</v>
      </c>
      <c r="J19" s="276">
        <f>SUM(J13:J18)</f>
        <v>108210.77074800004</v>
      </c>
      <c r="L19" s="276">
        <f>SUM(L13:L18)</f>
        <v>805247.90999999992</v>
      </c>
      <c r="N19" s="276">
        <f>SUM(N13:N18)</f>
        <v>1087.0846785000001</v>
      </c>
      <c r="P19" s="276">
        <f>SUM(P13:P18)</f>
        <v>109297.85542650003</v>
      </c>
      <c r="R19" s="276">
        <f>SUM(R13:R18)</f>
        <v>40883311.150000006</v>
      </c>
      <c r="T19" s="488">
        <f>'Rev Req 2021-Trans'!M11</f>
        <v>0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415"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2021'!I17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415">
        <v>0</v>
      </c>
      <c r="H23" s="528">
        <f>2.05%/12</f>
        <v>1.7083333333333332E-3</v>
      </c>
      <c r="J23" s="278">
        <f t="shared" si="6"/>
        <v>0</v>
      </c>
      <c r="L23" s="279">
        <f>'Cap&amp;OpEx 2021'!I18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415"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9">
        <f>-SUM('Base Rate Retirements 2021'!G26,'Base Rate Retirements 2021'!G30,'Base Rate Retirements 2021'!G32)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2021'!I19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415"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2021'!I20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415">
        <v>0</v>
      </c>
      <c r="H27" s="528">
        <f>3.24%/12</f>
        <v>2.7000000000000006E-3</v>
      </c>
      <c r="J27" s="278">
        <f t="shared" si="6"/>
        <v>0</v>
      </c>
      <c r="L27" s="280">
        <f>'Cap&amp;OpEx 2021'!I21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39585393.56000001</v>
      </c>
      <c r="G30" s="6"/>
      <c r="H30" s="4"/>
      <c r="I30" s="6"/>
      <c r="J30" s="277">
        <f>J19+J28</f>
        <v>106880.56261200004</v>
      </c>
      <c r="K30" s="6"/>
      <c r="L30" s="277">
        <f>L19+L28</f>
        <v>805247.90999999992</v>
      </c>
      <c r="M30" s="6"/>
      <c r="N30" s="277">
        <f>N19+N28</f>
        <v>1087.0846785000001</v>
      </c>
      <c r="O30" s="6"/>
      <c r="P30" s="277">
        <f>P19+P28</f>
        <v>107967.64729050003</v>
      </c>
      <c r="Q30" s="6"/>
      <c r="R30" s="277">
        <f>R19+R28</f>
        <v>40390641.470000006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415">
        <v>0</v>
      </c>
      <c r="J33" s="278"/>
      <c r="L33" s="279">
        <f>'Cap&amp;OpEx 2021'!I31</f>
        <v>0</v>
      </c>
      <c r="N33" s="278"/>
      <c r="P33" s="278"/>
      <c r="R33" s="27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415">
        <v>0</v>
      </c>
      <c r="J34" s="278"/>
      <c r="L34" s="279">
        <f>'Cap&amp;OpEx 2021'!I32-'2021 Capital Budget'!K24</f>
        <v>0</v>
      </c>
      <c r="N34" s="278"/>
      <c r="P34" s="278"/>
      <c r="R34" s="27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415">
        <f>'202106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5">
        <v>3231007.5300000003</v>
      </c>
      <c r="J36" s="278"/>
      <c r="L36" s="279">
        <f>'Cap&amp;OpEx 2021'!I33</f>
        <v>64200.34</v>
      </c>
      <c r="N36" s="278"/>
      <c r="P36" s="278"/>
      <c r="R36" s="278">
        <f t="shared" si="11"/>
        <v>3295207.87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5">
        <v>0</v>
      </c>
      <c r="G37" s="397"/>
      <c r="I37" s="397"/>
      <c r="J37" s="274"/>
      <c r="K37" s="397"/>
      <c r="L37" s="279">
        <f>'Cap&amp;OpEx 2021'!I34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415">
        <v>2263.0500000000002</v>
      </c>
      <c r="J38" s="278"/>
      <c r="L38" s="280">
        <f>'Cap&amp;OpEx 2021'!I35</f>
        <v>1344.61</v>
      </c>
      <c r="N38" s="278"/>
      <c r="P38" s="278"/>
      <c r="R38" s="278">
        <f t="shared" si="11"/>
        <v>3607.66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3233270.58</v>
      </c>
      <c r="J39" s="276">
        <f>SUM(J33:J38)</f>
        <v>0</v>
      </c>
      <c r="L39" s="276">
        <f>SUM(L33:L38)</f>
        <v>65544.95</v>
      </c>
      <c r="N39" s="276">
        <f>SUM(N33:N38)</f>
        <v>0</v>
      </c>
      <c r="P39" s="276">
        <f>SUM(P33:P38)</f>
        <v>0</v>
      </c>
      <c r="R39" s="276">
        <f>SUM(R33:R38)</f>
        <v>3298815.5300000003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107967.64729050003</v>
      </c>
    </row>
    <row r="43" spans="1:18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125A6-51E1-4AF9-9B8F-9AFCE00943B6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'202107 Bk Depr'!R13</f>
        <v>0</v>
      </c>
      <c r="H13" s="1">
        <f>1.62%/12</f>
        <v>1.3500000000000003E-3</v>
      </c>
      <c r="J13" s="278">
        <f t="shared" ref="J13:J18" si="0">F13*H13</f>
        <v>0</v>
      </c>
      <c r="L13" s="279">
        <f>'Cap&amp;OpEx 2021'!J10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 t="shared" ref="R13:R18" si="3">L13+F13</f>
        <v>0</v>
      </c>
      <c r="T13" s="488">
        <v>0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'202107 Bk Depr'!R14</f>
        <v>0</v>
      </c>
      <c r="H14" s="1">
        <f>2.05%/12</f>
        <v>1.7083333333333332E-3</v>
      </c>
      <c r="J14" s="278">
        <f t="shared" si="0"/>
        <v>0</v>
      </c>
      <c r="L14" s="279">
        <f>'Cap&amp;OpEx 2021'!J11-'2021 Capital Budget'!L17</f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  <c r="T14" s="488">
        <f>R14</f>
        <v>0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'202107 Bk Depr'!R15</f>
        <v>0</v>
      </c>
      <c r="H15" s="1">
        <f>1.62%/12</f>
        <v>1.3500000000000003E-3</v>
      </c>
      <c r="J15" s="278">
        <f t="shared" si="0"/>
        <v>0</v>
      </c>
      <c r="L15" s="279">
        <f>'2021 Capital Budget'!L29</f>
        <v>0</v>
      </c>
      <c r="N15" s="278">
        <f t="shared" si="1"/>
        <v>0</v>
      </c>
      <c r="P15" s="278">
        <f t="shared" si="2"/>
        <v>0</v>
      </c>
      <c r="R15" s="278">
        <f t="shared" si="3"/>
        <v>0</v>
      </c>
      <c r="T15" s="488">
        <v>0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'202107 Bk Depr'!R16</f>
        <v>10717390.230000006</v>
      </c>
      <c r="H16" s="1">
        <f t="shared" ref="H16:H18" si="5">3.24%/12</f>
        <v>2.7000000000000006E-3</v>
      </c>
      <c r="J16" s="278">
        <f t="shared" si="0"/>
        <v>28936.953621000022</v>
      </c>
      <c r="L16" s="279">
        <f>'Cap&amp;OpEx 2021'!J12-L15</f>
        <v>117077.56</v>
      </c>
      <c r="N16" s="278">
        <f t="shared" si="1"/>
        <v>158.05470600000004</v>
      </c>
      <c r="P16" s="278">
        <f t="shared" si="2"/>
        <v>29095.008327000021</v>
      </c>
      <c r="R16" s="278">
        <f t="shared" si="3"/>
        <v>10834467.790000007</v>
      </c>
      <c r="T16" s="488">
        <v>0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'202107 Bk Depr'!R17</f>
        <v>0</v>
      </c>
      <c r="H17" s="1">
        <f t="shared" si="5"/>
        <v>2.7000000000000006E-3</v>
      </c>
      <c r="J17" s="278">
        <f t="shared" si="0"/>
        <v>0</v>
      </c>
      <c r="L17" s="279">
        <f>'Cap&amp;OpEx 2021'!J13</f>
        <v>0</v>
      </c>
      <c r="N17" s="278">
        <f t="shared" si="1"/>
        <v>0</v>
      </c>
      <c r="P17" s="278">
        <f t="shared" si="2"/>
        <v>0</v>
      </c>
      <c r="R17" s="278">
        <f t="shared" si="3"/>
        <v>0</v>
      </c>
      <c r="T17" s="488">
        <v>0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'202107 Bk Depr'!R18</f>
        <v>30165920.920000002</v>
      </c>
      <c r="H18" s="1">
        <f t="shared" si="5"/>
        <v>2.7000000000000006E-3</v>
      </c>
      <c r="J18" s="278">
        <f t="shared" si="0"/>
        <v>81447.986484000023</v>
      </c>
      <c r="L18" s="280">
        <f>'Cap&amp;OpEx 2021'!J14</f>
        <v>451295.17000000004</v>
      </c>
      <c r="N18" s="278">
        <f t="shared" si="1"/>
        <v>609.24847950000014</v>
      </c>
      <c r="P18" s="278">
        <f t="shared" si="2"/>
        <v>82057.234963500028</v>
      </c>
      <c r="R18" s="278">
        <f t="shared" si="3"/>
        <v>30617216.090000004</v>
      </c>
      <c r="T18" s="488">
        <f>SUM(T13:T17)</f>
        <v>0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40883311.150000006</v>
      </c>
      <c r="J19" s="276">
        <f>SUM(J13:J18)</f>
        <v>110384.94010500005</v>
      </c>
      <c r="L19" s="276">
        <f>SUM(L13:L18)</f>
        <v>568372.73</v>
      </c>
      <c r="N19" s="276">
        <f>SUM(N13:N18)</f>
        <v>767.30318550000015</v>
      </c>
      <c r="P19" s="276">
        <f>SUM(P13:P18)</f>
        <v>111152.24329050005</v>
      </c>
      <c r="R19" s="276">
        <f>SUM(R13:R18)</f>
        <v>41451683.88000001</v>
      </c>
      <c r="T19" s="488">
        <f>'Rev Req 2021-Trans'!N11</f>
        <v>0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'202107 Bk Depr'!R22</f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2021'!J17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'202107 Bk Depr'!R23</f>
        <v>0</v>
      </c>
      <c r="H23" s="528">
        <f>2.05%/12</f>
        <v>1.7083333333333332E-3</v>
      </c>
      <c r="J23" s="278">
        <f t="shared" si="6"/>
        <v>0</v>
      </c>
      <c r="L23" s="279">
        <f>'Cap&amp;OpEx 2021'!J18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'202107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'202107 Bk Depr'!R25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2021'!J19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'202107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2021'!J20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'202107 Bk Depr'!R27</f>
        <v>0</v>
      </c>
      <c r="H27" s="528">
        <f>3.24%/12</f>
        <v>2.7000000000000006E-3</v>
      </c>
      <c r="J27" s="278">
        <f t="shared" si="6"/>
        <v>0</v>
      </c>
      <c r="L27" s="280">
        <f>'Cap&amp;OpEx 2021'!J21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40390641.470000006</v>
      </c>
      <c r="G30" s="6"/>
      <c r="H30" s="4"/>
      <c r="I30" s="6"/>
      <c r="J30" s="277">
        <f>J19+J28</f>
        <v>109054.73196900004</v>
      </c>
      <c r="K30" s="6"/>
      <c r="L30" s="277">
        <f>L19+L28</f>
        <v>568372.73</v>
      </c>
      <c r="M30" s="6"/>
      <c r="N30" s="277">
        <f>N19+N28</f>
        <v>767.30318550000015</v>
      </c>
      <c r="O30" s="6"/>
      <c r="P30" s="277">
        <f>P19+P28</f>
        <v>109822.03515450004</v>
      </c>
      <c r="Q30" s="6"/>
      <c r="R30" s="277">
        <f>R19+R28</f>
        <v>40959014.20000001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'202107 Bk Depr'!R33</f>
        <v>0</v>
      </c>
      <c r="J33" s="278"/>
      <c r="L33" s="279">
        <f>'Cap&amp;OpEx 2021'!J31</f>
        <v>0</v>
      </c>
      <c r="N33" s="278"/>
      <c r="P33" s="278"/>
      <c r="R33" s="27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'202107 Bk Depr'!R34</f>
        <v>0</v>
      </c>
      <c r="J34" s="278"/>
      <c r="L34" s="279">
        <f>'Cap&amp;OpEx 2021'!J32-'2021 Capital Budget'!L24</f>
        <v>0</v>
      </c>
      <c r="N34" s="278"/>
      <c r="P34" s="278"/>
      <c r="R34" s="27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'202107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'202107 Bk Depr'!R36</f>
        <v>3295207.87</v>
      </c>
      <c r="J36" s="278"/>
      <c r="L36" s="279">
        <f>'Cap&amp;OpEx 2021'!J33</f>
        <v>37946.370000000003</v>
      </c>
      <c r="N36" s="278"/>
      <c r="P36" s="278"/>
      <c r="R36" s="278">
        <f t="shared" si="11"/>
        <v>3333154.24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'202107 Bk Depr'!R37</f>
        <v>0</v>
      </c>
      <c r="G37" s="397"/>
      <c r="I37" s="397"/>
      <c r="J37" s="274"/>
      <c r="K37" s="397"/>
      <c r="L37" s="279">
        <f>'Cap&amp;OpEx 2021'!J34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'202107 Bk Depr'!R38</f>
        <v>3607.66</v>
      </c>
      <c r="J38" s="278"/>
      <c r="L38" s="280">
        <f>'Cap&amp;OpEx 2021'!J35</f>
        <v>1164.17</v>
      </c>
      <c r="N38" s="278"/>
      <c r="P38" s="278"/>
      <c r="R38" s="278">
        <f t="shared" si="11"/>
        <v>4771.83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3298815.5300000003</v>
      </c>
      <c r="J39" s="276">
        <f>SUM(J33:J38)</f>
        <v>0</v>
      </c>
      <c r="L39" s="276">
        <f>SUM(L33:L38)</f>
        <v>39110.54</v>
      </c>
      <c r="N39" s="276">
        <f>SUM(N33:N38)</f>
        <v>0</v>
      </c>
      <c r="P39" s="276">
        <f>SUM(P33:P38)</f>
        <v>0</v>
      </c>
      <c r="R39" s="276">
        <f>SUM(R33:R38)</f>
        <v>3337926.0700000003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109822.03515450004</v>
      </c>
    </row>
    <row r="43" spans="1:18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C875C-964B-481E-B197-23572B04DBEE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'202108 Bk Depr'!R13</f>
        <v>0</v>
      </c>
      <c r="H13" s="1">
        <f>1.62%/12</f>
        <v>1.3500000000000003E-3</v>
      </c>
      <c r="J13" s="278">
        <f t="shared" ref="J13:J17" si="0">F13*H13</f>
        <v>0</v>
      </c>
      <c r="L13" s="279">
        <f>'Cap&amp;OpEx 2021'!K10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 t="shared" ref="R13:R18" si="3">L13+F13</f>
        <v>0</v>
      </c>
      <c r="T13" s="488">
        <v>0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'202108 Bk Depr'!R14</f>
        <v>0</v>
      </c>
      <c r="H14" s="1">
        <f>2.05%/12</f>
        <v>1.7083333333333332E-3</v>
      </c>
      <c r="J14" s="278">
        <f t="shared" si="0"/>
        <v>0</v>
      </c>
      <c r="L14" s="279">
        <f>'Cap&amp;OpEx 2021'!K11-'2021 Capital Budget'!M17</f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  <c r="T14" s="488">
        <f>R14</f>
        <v>0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'202108 Bk Depr'!R15</f>
        <v>0</v>
      </c>
      <c r="H15" s="1">
        <f>1.62%/12</f>
        <v>1.3500000000000003E-3</v>
      </c>
      <c r="J15" s="278">
        <f t="shared" si="0"/>
        <v>0</v>
      </c>
      <c r="L15" s="279">
        <f>'2021 Capital Budget'!M29</f>
        <v>0</v>
      </c>
      <c r="N15" s="278">
        <f t="shared" si="1"/>
        <v>0</v>
      </c>
      <c r="P15" s="278">
        <f t="shared" si="2"/>
        <v>0</v>
      </c>
      <c r="R15" s="278">
        <f t="shared" si="3"/>
        <v>0</v>
      </c>
      <c r="T15" s="488">
        <v>0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'202108 Bk Depr'!R16</f>
        <v>10834467.790000007</v>
      </c>
      <c r="H16" s="1">
        <f t="shared" ref="H16:H18" si="5">3.24%/12</f>
        <v>2.7000000000000006E-3</v>
      </c>
      <c r="J16" s="278">
        <f t="shared" si="0"/>
        <v>29253.063033000024</v>
      </c>
      <c r="L16" s="279">
        <f>'Cap&amp;OpEx 2021'!K12-L15</f>
        <v>88111.06</v>
      </c>
      <c r="N16" s="278">
        <f t="shared" si="1"/>
        <v>118.94993100000002</v>
      </c>
      <c r="P16" s="278">
        <f t="shared" si="2"/>
        <v>29372.012964000023</v>
      </c>
      <c r="R16" s="278">
        <f t="shared" si="3"/>
        <v>10922578.850000007</v>
      </c>
      <c r="T16" s="488">
        <v>0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'202108 Bk Depr'!R17</f>
        <v>0</v>
      </c>
      <c r="H17" s="1">
        <f t="shared" si="5"/>
        <v>2.7000000000000006E-3</v>
      </c>
      <c r="J17" s="278">
        <f t="shared" si="0"/>
        <v>0</v>
      </c>
      <c r="L17" s="279">
        <f>'Cap&amp;OpEx 2021'!K13</f>
        <v>0</v>
      </c>
      <c r="N17" s="278">
        <f t="shared" si="1"/>
        <v>0</v>
      </c>
      <c r="P17" s="278">
        <f t="shared" si="2"/>
        <v>0</v>
      </c>
      <c r="R17" s="278">
        <f t="shared" si="3"/>
        <v>0</v>
      </c>
      <c r="T17" s="488">
        <v>0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'202108 Bk Depr'!R18</f>
        <v>30617216.090000004</v>
      </c>
      <c r="H18" s="1">
        <f t="shared" si="5"/>
        <v>2.7000000000000006E-3</v>
      </c>
      <c r="J18" s="278">
        <f>F18*H18+5.38</f>
        <v>82671.863443000038</v>
      </c>
      <c r="L18" s="280">
        <f>'Cap&amp;OpEx 2021'!K14</f>
        <v>553136.23</v>
      </c>
      <c r="N18" s="278">
        <f t="shared" si="1"/>
        <v>746.73391050000009</v>
      </c>
      <c r="P18" s="278">
        <f t="shared" si="2"/>
        <v>83418.597353500038</v>
      </c>
      <c r="R18" s="278">
        <f t="shared" si="3"/>
        <v>31170352.320000004</v>
      </c>
      <c r="T18" s="488">
        <f>SUM(T13:T17)</f>
        <v>0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41451683.88000001</v>
      </c>
      <c r="J19" s="276">
        <f>SUM(J13:J18)</f>
        <v>111924.92647600007</v>
      </c>
      <c r="L19" s="276">
        <f>SUM(L13:L18)</f>
        <v>641247.29</v>
      </c>
      <c r="N19" s="276">
        <f>SUM(N13:N18)</f>
        <v>865.68384150000009</v>
      </c>
      <c r="P19" s="276">
        <f>SUM(P13:P18)</f>
        <v>112790.61031750006</v>
      </c>
      <c r="R19" s="276">
        <f>SUM(R13:R18)</f>
        <v>42092931.170000009</v>
      </c>
      <c r="T19" s="488">
        <f>'Rev Req 2021-Trans'!O11</f>
        <v>0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'202108 Bk Depr'!R22</f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2021'!K17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'202108 Bk Depr'!R23</f>
        <v>0</v>
      </c>
      <c r="H23" s="528">
        <f>2.05%/12</f>
        <v>1.7083333333333332E-3</v>
      </c>
      <c r="J23" s="278">
        <f t="shared" si="6"/>
        <v>0</v>
      </c>
      <c r="L23" s="279">
        <f>'Cap&amp;OpEx 2021'!K18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'202108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'202108 Bk Depr'!R25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2021'!K19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'202108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2021'!K20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'202108 Bk Depr'!R27</f>
        <v>0</v>
      </c>
      <c r="H27" s="528">
        <f>3.24%/12</f>
        <v>2.7000000000000006E-3</v>
      </c>
      <c r="J27" s="278">
        <f t="shared" si="6"/>
        <v>0</v>
      </c>
      <c r="L27" s="280">
        <f>'Cap&amp;OpEx 2021'!K21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40959014.20000001</v>
      </c>
      <c r="G30" s="6"/>
      <c r="H30" s="4"/>
      <c r="I30" s="6"/>
      <c r="J30" s="277">
        <f>J19+J28</f>
        <v>110594.71834000006</v>
      </c>
      <c r="K30" s="6"/>
      <c r="L30" s="277">
        <f>L19+L28</f>
        <v>641247.29</v>
      </c>
      <c r="M30" s="6"/>
      <c r="N30" s="277">
        <f>N19+N28</f>
        <v>865.68384150000009</v>
      </c>
      <c r="O30" s="6"/>
      <c r="P30" s="277">
        <f>P19+P28</f>
        <v>111460.40218150006</v>
      </c>
      <c r="Q30" s="6"/>
      <c r="R30" s="277">
        <f>R19+R28</f>
        <v>41600261.49000001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'202108 Bk Depr'!R33</f>
        <v>0</v>
      </c>
      <c r="J33" s="278"/>
      <c r="L33" s="279">
        <f>'Cap&amp;OpEx 2021'!K31</f>
        <v>0</v>
      </c>
      <c r="N33" s="278"/>
      <c r="P33" s="278"/>
      <c r="R33" s="27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'202108 Bk Depr'!R34</f>
        <v>0</v>
      </c>
      <c r="J34" s="278"/>
      <c r="L34" s="279">
        <f>'Cap&amp;OpEx 2021'!K32-'2021 Capital Budget'!M24</f>
        <v>0</v>
      </c>
      <c r="N34" s="278"/>
      <c r="P34" s="278"/>
      <c r="R34" s="27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'202108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'202108 Bk Depr'!R36</f>
        <v>3333154.24</v>
      </c>
      <c r="J36" s="278"/>
      <c r="L36" s="279">
        <f>'Cap&amp;OpEx 2021'!K33</f>
        <v>59572.08</v>
      </c>
      <c r="N36" s="278"/>
      <c r="P36" s="278"/>
      <c r="R36" s="278">
        <f t="shared" si="11"/>
        <v>3392726.3200000003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'202108 Bk Depr'!R37</f>
        <v>0</v>
      </c>
      <c r="G37" s="397"/>
      <c r="I37" s="397"/>
      <c r="J37" s="274"/>
      <c r="K37" s="397"/>
      <c r="L37" s="279">
        <f>'Cap&amp;OpEx 2021'!K34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'202108 Bk Depr'!R38</f>
        <v>4771.83</v>
      </c>
      <c r="J38" s="278"/>
      <c r="L38" s="280">
        <f>'Cap&amp;OpEx 2021'!K35</f>
        <v>1630.37</v>
      </c>
      <c r="N38" s="278"/>
      <c r="P38" s="278"/>
      <c r="R38" s="27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3337926.0700000003</v>
      </c>
      <c r="J39" s="276">
        <f>SUM(J33:J38)</f>
        <v>0</v>
      </c>
      <c r="L39" s="276">
        <f>SUM(L33:L38)</f>
        <v>61202.450000000004</v>
      </c>
      <c r="N39" s="276">
        <f>SUM(N33:N38)</f>
        <v>0</v>
      </c>
      <c r="P39" s="276">
        <f>SUM(P33:P38)</f>
        <v>0</v>
      </c>
      <c r="R39" s="276">
        <f>SUM(R33:R38)</f>
        <v>3399128.5200000005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111460.40218150006</v>
      </c>
    </row>
    <row r="43" spans="1:18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F1D0-210F-46F2-B315-4407E72C59DB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'202109 Bk Depr'!R13</f>
        <v>0</v>
      </c>
      <c r="H13" s="1">
        <f>1.62%/12</f>
        <v>1.3500000000000003E-3</v>
      </c>
      <c r="J13" s="278">
        <f t="shared" ref="J13:J17" si="0">F13*H13</f>
        <v>0</v>
      </c>
      <c r="L13" s="279">
        <f>'Cap&amp;OpEx 2021'!L10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 t="shared" ref="R13:R18" si="3">L13+F13</f>
        <v>0</v>
      </c>
      <c r="T13" s="488">
        <v>0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'202109 Bk Depr'!R14</f>
        <v>0</v>
      </c>
      <c r="H14" s="1">
        <f>2.05%/12</f>
        <v>1.7083333333333332E-3</v>
      </c>
      <c r="J14" s="278">
        <f t="shared" si="0"/>
        <v>0</v>
      </c>
      <c r="L14" s="279">
        <f>'Cap&amp;OpEx 2021'!L11</f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  <c r="T14" s="488">
        <f>R14</f>
        <v>0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'202109 Bk Depr'!R15</f>
        <v>0</v>
      </c>
      <c r="H15" s="1">
        <f>1.62%/12</f>
        <v>1.3500000000000003E-3</v>
      </c>
      <c r="J15" s="278">
        <f t="shared" si="0"/>
        <v>0</v>
      </c>
      <c r="L15" s="279">
        <f>'2021 Capital Budget'!N29</f>
        <v>0</v>
      </c>
      <c r="N15" s="278">
        <f t="shared" si="1"/>
        <v>0</v>
      </c>
      <c r="P15" s="278">
        <f t="shared" si="2"/>
        <v>0</v>
      </c>
      <c r="R15" s="278">
        <f t="shared" si="3"/>
        <v>0</v>
      </c>
      <c r="T15" s="488">
        <v>0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'202109 Bk Depr'!R16</f>
        <v>10922578.850000007</v>
      </c>
      <c r="H16" s="1">
        <f t="shared" ref="H16:H18" si="5">3.24%/12</f>
        <v>2.7000000000000006E-3</v>
      </c>
      <c r="J16" s="278">
        <f t="shared" si="0"/>
        <v>29490.962895000026</v>
      </c>
      <c r="L16" s="279">
        <f>'Cap&amp;OpEx 2021'!L12-L15</f>
        <v>108590.36</v>
      </c>
      <c r="N16" s="278">
        <f t="shared" si="1"/>
        <v>146.59698600000004</v>
      </c>
      <c r="P16" s="278">
        <f t="shared" si="2"/>
        <v>29637.559881000027</v>
      </c>
      <c r="R16" s="278">
        <f t="shared" si="3"/>
        <v>11031169.210000006</v>
      </c>
      <c r="T16" s="488">
        <v>0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'202109 Bk Depr'!R17</f>
        <v>0</v>
      </c>
      <c r="H17" s="1">
        <f t="shared" si="5"/>
        <v>2.7000000000000006E-3</v>
      </c>
      <c r="J17" s="278">
        <f t="shared" si="0"/>
        <v>0</v>
      </c>
      <c r="L17" s="279">
        <f>'Cap&amp;OpEx 2021'!L13</f>
        <v>0</v>
      </c>
      <c r="N17" s="278">
        <f t="shared" si="1"/>
        <v>0</v>
      </c>
      <c r="P17" s="278">
        <f t="shared" si="2"/>
        <v>0</v>
      </c>
      <c r="R17" s="278">
        <f t="shared" si="3"/>
        <v>0</v>
      </c>
      <c r="T17" s="488">
        <v>0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'202109 Bk Depr'!R18</f>
        <v>31170352.320000004</v>
      </c>
      <c r="H18" s="1">
        <f t="shared" si="5"/>
        <v>2.7000000000000006E-3</v>
      </c>
      <c r="J18" s="486">
        <f>F18*H18+5.37-34.96</f>
        <v>84130.361264000021</v>
      </c>
      <c r="L18" s="280">
        <f>'Cap&amp;OpEx 2021'!L14</f>
        <v>524569.63</v>
      </c>
      <c r="N18" s="278">
        <f t="shared" si="1"/>
        <v>708.16900050000015</v>
      </c>
      <c r="P18" s="278">
        <f t="shared" si="2"/>
        <v>84838.530264500019</v>
      </c>
      <c r="R18" s="278">
        <f t="shared" si="3"/>
        <v>31694921.950000003</v>
      </c>
      <c r="T18" s="488">
        <f>SUM(T13:T17)</f>
        <v>0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42092931.170000009</v>
      </c>
      <c r="J19" s="276">
        <f>SUM(J13:J18)</f>
        <v>113621.32415900004</v>
      </c>
      <c r="L19" s="276">
        <f>SUM(L13:L18)</f>
        <v>633159.99</v>
      </c>
      <c r="N19" s="276">
        <f>SUM(N13:N18)</f>
        <v>854.76598650000017</v>
      </c>
      <c r="P19" s="276">
        <f>SUM(P13:P18)</f>
        <v>114476.09014550004</v>
      </c>
      <c r="R19" s="276">
        <f>SUM(R13:R18)</f>
        <v>42726091.160000011</v>
      </c>
      <c r="T19" s="488">
        <f>'Rev Req 2021-Trans'!P11</f>
        <v>0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'202109 Bk Depr'!R22</f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2021'!L17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'202109 Bk Depr'!R23</f>
        <v>0</v>
      </c>
      <c r="H23" s="528">
        <f>2.05%/12</f>
        <v>1.7083333333333332E-3</v>
      </c>
      <c r="J23" s="278">
        <f t="shared" si="6"/>
        <v>0</v>
      </c>
      <c r="L23" s="279">
        <f>'Cap&amp;OpEx 2021'!L18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'202109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'202109 Bk Depr'!R25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2021'!L19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'202109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2021'!L20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 t="shared" si="9"/>
        <v>13</v>
      </c>
      <c r="B27" s="4"/>
      <c r="C27" s="9" t="s">
        <v>160</v>
      </c>
      <c r="D27" s="6">
        <v>380</v>
      </c>
      <c r="F27" s="274">
        <f>'202109 Bk Depr'!R27</f>
        <v>0</v>
      </c>
      <c r="H27" s="528">
        <f>3.24%/12</f>
        <v>2.7000000000000006E-3</v>
      </c>
      <c r="J27" s="278">
        <f t="shared" si="6"/>
        <v>0</v>
      </c>
      <c r="L27" s="280">
        <f>'Cap&amp;OpEx 2021'!L21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41600261.49000001</v>
      </c>
      <c r="G30" s="6"/>
      <c r="H30" s="4"/>
      <c r="I30" s="6"/>
      <c r="J30" s="277">
        <f>J19+J28</f>
        <v>112291.11602300004</v>
      </c>
      <c r="K30" s="6"/>
      <c r="L30" s="277">
        <f>L19+L28</f>
        <v>633159.99</v>
      </c>
      <c r="M30" s="6"/>
      <c r="N30" s="277">
        <f>N19+N28</f>
        <v>854.76598650000017</v>
      </c>
      <c r="O30" s="6"/>
      <c r="P30" s="277">
        <f>P19+P28</f>
        <v>113145.88200950004</v>
      </c>
      <c r="Q30" s="6"/>
      <c r="R30" s="277">
        <f>R19+R28</f>
        <v>42233421.480000012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'202109 Bk Depr'!R33</f>
        <v>0</v>
      </c>
      <c r="J33" s="278"/>
      <c r="L33" s="279">
        <f>'Cap&amp;OpEx 2021'!L31</f>
        <v>0</v>
      </c>
      <c r="N33" s="278"/>
      <c r="P33" s="278"/>
      <c r="R33" s="27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'202109 Bk Depr'!R34</f>
        <v>0</v>
      </c>
      <c r="J34" s="278"/>
      <c r="L34" s="279">
        <f>'Cap&amp;OpEx 2021'!L32</f>
        <v>0</v>
      </c>
      <c r="N34" s="278"/>
      <c r="P34" s="278"/>
      <c r="R34" s="27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'202109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'202109 Bk Depr'!R36</f>
        <v>3392726.3200000003</v>
      </c>
      <c r="J36" s="278"/>
      <c r="L36" s="279">
        <f>'Cap&amp;OpEx 2021'!L33</f>
        <v>129487.40000000001</v>
      </c>
      <c r="N36" s="278"/>
      <c r="P36" s="278"/>
      <c r="R36" s="278">
        <f t="shared" si="11"/>
        <v>3522213.72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'202109 Bk Depr'!R37</f>
        <v>0</v>
      </c>
      <c r="G37" s="397"/>
      <c r="I37" s="397"/>
      <c r="J37" s="274"/>
      <c r="K37" s="397"/>
      <c r="L37" s="279">
        <f>'Cap&amp;OpEx 2021'!L34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'202109 Bk Depr'!R38</f>
        <v>6402.2</v>
      </c>
      <c r="J38" s="278"/>
      <c r="L38" s="280">
        <f>'Cap&amp;OpEx 2021'!L35</f>
        <v>0</v>
      </c>
      <c r="N38" s="278"/>
      <c r="P38" s="278"/>
      <c r="R38" s="27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3399128.5200000005</v>
      </c>
      <c r="J39" s="276">
        <f>SUM(J33:J38)</f>
        <v>0</v>
      </c>
      <c r="L39" s="276">
        <f>SUM(L33:L38)</f>
        <v>129487.40000000001</v>
      </c>
      <c r="N39" s="276">
        <f>SUM(N33:N38)</f>
        <v>0</v>
      </c>
      <c r="P39" s="276">
        <f>SUM(P33:P38)</f>
        <v>0</v>
      </c>
      <c r="R39" s="276">
        <f>SUM(R33:R38)</f>
        <v>3528615.9200000004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113145.88200950004</v>
      </c>
    </row>
    <row r="43" spans="1:18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93A0-F886-42E2-9634-9FD31DB2B277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'202110 Bk Depr'!R13</f>
        <v>0</v>
      </c>
      <c r="H13" s="1">
        <f>1.62%/12</f>
        <v>1.3500000000000003E-3</v>
      </c>
      <c r="J13" s="278">
        <f t="shared" ref="J13:J18" si="0">F13*H13</f>
        <v>0</v>
      </c>
      <c r="L13" s="279">
        <f>'Cap&amp;OpEx 2021'!M10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 t="shared" ref="R13:R18" si="3">L13+F13</f>
        <v>0</v>
      </c>
      <c r="T13" s="488">
        <v>0</v>
      </c>
      <c r="U13" s="390" t="s">
        <v>682</v>
      </c>
    </row>
    <row r="14" spans="1:21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'202110 Bk Depr'!R14</f>
        <v>0</v>
      </c>
      <c r="H14" s="1">
        <f>2.05%/12</f>
        <v>1.7083333333333332E-3</v>
      </c>
      <c r="J14" s="278">
        <f t="shared" si="0"/>
        <v>0</v>
      </c>
      <c r="L14" s="279">
        <f>'Cap&amp;OpEx 2021'!M11</f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  <c r="T14" s="488">
        <f>R14</f>
        <v>0</v>
      </c>
      <c r="U14" s="390" t="s">
        <v>664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274">
        <f>'202110 Bk Depr'!R15</f>
        <v>0</v>
      </c>
      <c r="H15" s="1">
        <f>1.62%/12</f>
        <v>1.3500000000000003E-3</v>
      </c>
      <c r="J15" s="278">
        <f t="shared" si="0"/>
        <v>0</v>
      </c>
      <c r="L15" s="279">
        <f>'2021 Capital Budget'!O29</f>
        <v>0</v>
      </c>
      <c r="N15" s="278">
        <f t="shared" si="1"/>
        <v>0</v>
      </c>
      <c r="P15" s="278">
        <f t="shared" si="2"/>
        <v>0</v>
      </c>
      <c r="R15" s="278">
        <f t="shared" si="3"/>
        <v>0</v>
      </c>
      <c r="T15" s="488">
        <v>0</v>
      </c>
      <c r="U15" s="390" t="s">
        <v>665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274">
        <f>'202110 Bk Depr'!R16</f>
        <v>11031169.210000006</v>
      </c>
      <c r="H16" s="1">
        <f t="shared" ref="H16:H18" si="5">3.24%/12</f>
        <v>2.7000000000000006E-3</v>
      </c>
      <c r="J16" s="278">
        <f t="shared" si="0"/>
        <v>29784.156867000023</v>
      </c>
      <c r="L16" s="279">
        <f>'Cap&amp;OpEx 2021'!M12-L15</f>
        <v>175215.94</v>
      </c>
      <c r="N16" s="278">
        <f t="shared" si="1"/>
        <v>236.54151900000005</v>
      </c>
      <c r="P16" s="278">
        <f t="shared" si="2"/>
        <v>30020.698386000022</v>
      </c>
      <c r="R16" s="278">
        <f t="shared" si="3"/>
        <v>11206385.150000006</v>
      </c>
      <c r="T16" s="488">
        <v>0</v>
      </c>
      <c r="U16" s="390" t="s">
        <v>667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274">
        <f>'202110 Bk Depr'!R17</f>
        <v>0</v>
      </c>
      <c r="H17" s="1">
        <f t="shared" si="5"/>
        <v>2.7000000000000006E-3</v>
      </c>
      <c r="J17" s="278">
        <f t="shared" si="0"/>
        <v>0</v>
      </c>
      <c r="L17" s="279">
        <f>'Cap&amp;OpEx 2021'!M13</f>
        <v>0</v>
      </c>
      <c r="N17" s="278">
        <f t="shared" si="1"/>
        <v>0</v>
      </c>
      <c r="P17" s="278">
        <f t="shared" si="2"/>
        <v>0</v>
      </c>
      <c r="R17" s="278">
        <f t="shared" si="3"/>
        <v>0</v>
      </c>
      <c r="T17" s="488">
        <v>0</v>
      </c>
      <c r="U17" s="390" t="s">
        <v>668</v>
      </c>
    </row>
    <row r="18" spans="1:21">
      <c r="A18" s="6">
        <f t="shared" si="4"/>
        <v>6</v>
      </c>
      <c r="B18" s="4"/>
      <c r="C18" s="4" t="s">
        <v>160</v>
      </c>
      <c r="D18" s="6">
        <v>380</v>
      </c>
      <c r="F18" s="274">
        <f>'202110 Bk Depr'!R18</f>
        <v>31694921.950000003</v>
      </c>
      <c r="H18" s="1">
        <f t="shared" si="5"/>
        <v>2.7000000000000006E-3</v>
      </c>
      <c r="J18" s="278">
        <f t="shared" si="0"/>
        <v>85576.289265000029</v>
      </c>
      <c r="L18" s="280">
        <f>'Cap&amp;OpEx 2021'!M14</f>
        <v>632820.75</v>
      </c>
      <c r="N18" s="278">
        <f t="shared" si="1"/>
        <v>854.30801250000013</v>
      </c>
      <c r="P18" s="278">
        <f t="shared" si="2"/>
        <v>86430.597277500026</v>
      </c>
      <c r="R18" s="278">
        <f t="shared" si="3"/>
        <v>32327742.700000003</v>
      </c>
      <c r="T18" s="488">
        <f>SUM(T13:T17)</f>
        <v>0</v>
      </c>
      <c r="U18" s="390" t="s">
        <v>3</v>
      </c>
    </row>
    <row r="19" spans="1:21">
      <c r="A19" s="6">
        <f t="shared" si="4"/>
        <v>7</v>
      </c>
      <c r="B19" s="4"/>
      <c r="C19" s="4" t="s">
        <v>21</v>
      </c>
      <c r="F19" s="276">
        <f>SUM(F13:F18)</f>
        <v>42726091.160000011</v>
      </c>
      <c r="J19" s="276">
        <f>SUM(J13:J18)</f>
        <v>115360.44613200006</v>
      </c>
      <c r="L19" s="276">
        <f>SUM(L13:L18)</f>
        <v>808036.69</v>
      </c>
      <c r="N19" s="276">
        <f>SUM(N13:N18)</f>
        <v>1090.8495315000002</v>
      </c>
      <c r="P19" s="276">
        <f>SUM(P13:P18)</f>
        <v>116451.29566350004</v>
      </c>
      <c r="R19" s="276">
        <f>SUM(R13:R18)</f>
        <v>43534127.850000009</v>
      </c>
      <c r="T19" s="488">
        <f>'Rev Req 2021-Trans'!Q11</f>
        <v>0</v>
      </c>
      <c r="U19" s="390" t="s">
        <v>666</v>
      </c>
    </row>
    <row r="20" spans="1:21">
      <c r="B20" s="4"/>
      <c r="T20" s="489">
        <f>T18-T19</f>
        <v>0</v>
      </c>
      <c r="U20" s="390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413</v>
      </c>
      <c r="D22" s="6">
        <v>376</v>
      </c>
      <c r="F22" s="274">
        <f>'202110 Bk Depr'!R22</f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2021'!M17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'202110 Bk Depr'!R23</f>
        <v>0</v>
      </c>
      <c r="H23" s="528">
        <f>2.05%/12</f>
        <v>1.7083333333333332E-3</v>
      </c>
      <c r="J23" s="278">
        <f t="shared" si="6"/>
        <v>0</v>
      </c>
      <c r="L23" s="279">
        <f>'Cap&amp;OpEx 2021'!M18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274">
        <f>'202110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274">
        <f>'202110 Bk Depr'!R25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2021'!M19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1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'202110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2021'!M20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1">
      <c r="A27" s="6">
        <f>A26+1</f>
        <v>13</v>
      </c>
      <c r="B27" s="4"/>
      <c r="C27" s="9" t="s">
        <v>160</v>
      </c>
      <c r="D27" s="6">
        <v>380</v>
      </c>
      <c r="F27" s="274">
        <f>'202110 Bk Depr'!R27</f>
        <v>0</v>
      </c>
      <c r="H27" s="528">
        <f>3.24%/12</f>
        <v>2.7000000000000006E-3</v>
      </c>
      <c r="J27" s="278">
        <f t="shared" si="6"/>
        <v>0</v>
      </c>
      <c r="L27" s="280">
        <f>'Cap&amp;OpEx 2021'!M21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1">
      <c r="B29" s="4"/>
    </row>
    <row r="30" spans="1:21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42233421.480000012</v>
      </c>
      <c r="G30" s="6"/>
      <c r="H30" s="4"/>
      <c r="I30" s="6"/>
      <c r="J30" s="277">
        <f>J19+J28</f>
        <v>114030.23799600005</v>
      </c>
      <c r="K30" s="6"/>
      <c r="L30" s="277">
        <f>L19+L28</f>
        <v>808036.69</v>
      </c>
      <c r="M30" s="6"/>
      <c r="N30" s="277">
        <f>N19+N28</f>
        <v>1090.8495315000002</v>
      </c>
      <c r="O30" s="6"/>
      <c r="P30" s="277">
        <f>P19+P28</f>
        <v>115121.08752750004</v>
      </c>
      <c r="Q30" s="6"/>
      <c r="R30" s="277">
        <f>R19+R28</f>
        <v>43041458.170000009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'202110 Bk Depr'!R33</f>
        <v>0</v>
      </c>
      <c r="J33" s="278"/>
      <c r="L33" s="279">
        <f>'Cap&amp;OpEx 2021'!M31</f>
        <v>0</v>
      </c>
      <c r="N33" s="278"/>
      <c r="P33" s="278"/>
      <c r="R33" s="27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'202110 Bk Depr'!R34</f>
        <v>0</v>
      </c>
      <c r="J34" s="278"/>
      <c r="L34" s="279">
        <f>'Cap&amp;OpEx 2021'!M32</f>
        <v>0</v>
      </c>
      <c r="N34" s="278"/>
      <c r="P34" s="278"/>
      <c r="R34" s="27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274">
        <f>'202110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274">
        <f>'202110 Bk Depr'!R36</f>
        <v>3522213.72</v>
      </c>
      <c r="J36" s="278"/>
      <c r="L36" s="279">
        <f>'Cap&amp;OpEx 2021'!M33</f>
        <v>39510.61</v>
      </c>
      <c r="N36" s="278"/>
      <c r="P36" s="278"/>
      <c r="R36" s="278">
        <f t="shared" si="11"/>
        <v>3561724.33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'202110 Bk Depr'!R37</f>
        <v>0</v>
      </c>
      <c r="G37" s="397"/>
      <c r="I37" s="397"/>
      <c r="J37" s="274"/>
      <c r="K37" s="397"/>
      <c r="L37" s="279">
        <f>'Cap&amp;OpEx 2021'!M34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18">
      <c r="A38" s="6">
        <f t="shared" si="12"/>
        <v>21</v>
      </c>
      <c r="B38" s="4"/>
      <c r="C38" s="9" t="s">
        <v>160</v>
      </c>
      <c r="D38" s="6">
        <v>380</v>
      </c>
      <c r="F38" s="274">
        <f>'202110 Bk Depr'!R38</f>
        <v>6402.2</v>
      </c>
      <c r="J38" s="278"/>
      <c r="L38" s="280">
        <f>'Cap&amp;OpEx 2021'!M35</f>
        <v>0</v>
      </c>
      <c r="N38" s="278"/>
      <c r="P38" s="278"/>
      <c r="R38" s="27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276">
        <f>SUM(F33:F38)</f>
        <v>3528615.9200000004</v>
      </c>
      <c r="J39" s="276">
        <f>SUM(J33:J38)</f>
        <v>0</v>
      </c>
      <c r="L39" s="276">
        <f>SUM(L33:L38)</f>
        <v>39510.61</v>
      </c>
      <c r="N39" s="276">
        <f>SUM(N33:N38)</f>
        <v>0</v>
      </c>
      <c r="P39" s="276">
        <f>SUM(P33:P38)</f>
        <v>0</v>
      </c>
      <c r="R39" s="276">
        <f>SUM(R33:R38)</f>
        <v>3568126.5300000003</v>
      </c>
    </row>
    <row r="42" spans="1:18">
      <c r="L42" s="383" t="s">
        <v>638</v>
      </c>
      <c r="M42" s="660"/>
      <c r="N42" s="383" t="s">
        <v>366</v>
      </c>
      <c r="O42" s="660"/>
      <c r="P42" s="661">
        <f>SUM(P13,P15:P18,P22,P24:P27)</f>
        <v>115121.08752750004</v>
      </c>
    </row>
    <row r="43" spans="1:18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autoPageBreaks="0"/>
  </sheetPr>
  <dimension ref="A1:AK57"/>
  <sheetViews>
    <sheetView showGridLines="0" view="pageBreakPreview" zoomScale="90" zoomScaleNormal="100" zoomScaleSheetLayoutView="90" workbookViewId="0"/>
  </sheetViews>
  <sheetFormatPr defaultColWidth="9.140625" defaultRowHeight="15"/>
  <cols>
    <col min="1" max="1" width="22.5703125" style="269" customWidth="1"/>
    <col min="2" max="8" width="18.5703125" style="270" customWidth="1"/>
    <col min="9" max="9" width="20" style="270" customWidth="1"/>
    <col min="10" max="10" width="3.7109375" style="269" customWidth="1"/>
    <col min="11" max="19" width="8.7109375" style="1144" customWidth="1"/>
    <col min="20" max="20" width="9.85546875" style="1144" bestFit="1" customWidth="1"/>
    <col min="21" max="21" width="8.7109375" style="1144" customWidth="1"/>
    <col min="22" max="22" width="9.5703125" style="1144" bestFit="1" customWidth="1"/>
    <col min="23" max="23" width="7.42578125" style="1144" bestFit="1" customWidth="1"/>
    <col min="24" max="24" width="10.28515625" style="1144" bestFit="1" customWidth="1"/>
    <col min="25" max="25" width="2.7109375" style="1144" bestFit="1" customWidth="1"/>
    <col min="26" max="26" width="10.140625" style="1144" customWidth="1"/>
    <col min="27" max="27" width="8.28515625" style="1144" bestFit="1" customWidth="1"/>
    <col min="28" max="28" width="8.7109375" style="1144" customWidth="1"/>
    <col min="29" max="29" width="7.85546875" style="1144" customWidth="1"/>
    <col min="30" max="30" width="9.140625" style="1144" customWidth="1"/>
    <col min="31" max="31" width="8.28515625" style="1144" bestFit="1" customWidth="1"/>
    <col min="32" max="32" width="8.42578125" style="1144" customWidth="1"/>
    <col min="33" max="33" width="6.5703125" style="1144" bestFit="1" customWidth="1"/>
    <col min="34" max="34" width="11.140625" style="1144" bestFit="1" customWidth="1"/>
    <col min="35" max="35" width="9" style="1144" bestFit="1" customWidth="1"/>
    <col min="36" max="36" width="9.140625" style="269"/>
    <col min="37" max="37" width="10.5703125" style="269" bestFit="1" customWidth="1"/>
    <col min="38" max="16384" width="9.140625" style="269"/>
  </cols>
  <sheetData>
    <row r="1" spans="1:37" ht="20.25" customHeight="1">
      <c r="A1" s="1289" t="s">
        <v>669</v>
      </c>
      <c r="B1" s="1290"/>
      <c r="C1" s="1290"/>
      <c r="D1" s="1290"/>
      <c r="E1" s="1290"/>
      <c r="F1" s="1290"/>
      <c r="G1" s="1290"/>
      <c r="H1" s="1290"/>
      <c r="I1" s="1290"/>
    </row>
    <row r="2" spans="1:37" ht="15.75" customHeight="1">
      <c r="A2" s="1291" t="s">
        <v>395</v>
      </c>
      <c r="B2" s="1292"/>
      <c r="C2" s="1291"/>
      <c r="D2" s="1291"/>
      <c r="E2" s="1291"/>
      <c r="F2" s="1291"/>
      <c r="G2" s="1291"/>
      <c r="H2" s="1291"/>
      <c r="I2" s="1291"/>
    </row>
    <row r="3" spans="1:37" ht="15.75" customHeight="1">
      <c r="A3" s="1293" t="s">
        <v>966</v>
      </c>
      <c r="B3" s="1292"/>
      <c r="C3" s="1293"/>
      <c r="D3" s="1293"/>
      <c r="E3" s="1293"/>
      <c r="F3" s="1293"/>
      <c r="G3" s="1293"/>
      <c r="H3" s="1293"/>
      <c r="I3" s="1293"/>
    </row>
    <row r="4" spans="1:37" s="256" customFormat="1" ht="12.75">
      <c r="A4" s="1294"/>
      <c r="B4" s="1126"/>
      <c r="C4" s="1295"/>
      <c r="D4" s="1126"/>
      <c r="E4" s="1126"/>
      <c r="F4" s="1126"/>
      <c r="G4" s="1126"/>
      <c r="H4" s="1126"/>
      <c r="I4" s="1126"/>
      <c r="K4" s="1144"/>
      <c r="L4" s="1144"/>
      <c r="M4" s="1144"/>
      <c r="N4" s="1144"/>
      <c r="O4" s="1144"/>
      <c r="P4" s="1144"/>
      <c r="Q4" s="1144"/>
      <c r="R4" s="1144"/>
      <c r="S4" s="1144"/>
      <c r="T4" s="116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</row>
    <row r="5" spans="1:37" s="265" customFormat="1" ht="12.75">
      <c r="A5" s="1296"/>
      <c r="B5" s="1297"/>
      <c r="C5" s="1295"/>
      <c r="D5" s="1297"/>
      <c r="E5" s="1297"/>
      <c r="F5" s="1297"/>
      <c r="G5" s="1297"/>
      <c r="H5" s="1297"/>
      <c r="I5" s="1297"/>
      <c r="K5" s="1298"/>
      <c r="L5" s="1298"/>
      <c r="M5" s="1298"/>
      <c r="N5" s="1298"/>
      <c r="O5" s="1298"/>
      <c r="P5" s="1298"/>
      <c r="Q5" s="1298"/>
      <c r="R5" s="1298"/>
      <c r="S5" s="1298"/>
      <c r="T5" s="1154"/>
      <c r="U5" s="1298"/>
      <c r="V5" s="1299"/>
      <c r="W5" s="1299"/>
      <c r="X5" s="1299"/>
      <c r="Y5" s="1299"/>
      <c r="Z5" s="1299"/>
      <c r="AA5" s="1299"/>
      <c r="AB5" s="1299"/>
      <c r="AC5" s="1299"/>
      <c r="AD5" s="1299"/>
      <c r="AE5" s="1299"/>
      <c r="AF5" s="1299"/>
      <c r="AG5" s="1299"/>
      <c r="AH5" s="1299"/>
      <c r="AI5" s="1299"/>
    </row>
    <row r="6" spans="1:37" s="260" customFormat="1" ht="15.75" customHeight="1">
      <c r="A6" s="1300" t="s">
        <v>366</v>
      </c>
      <c r="B6" s="1301" t="s">
        <v>367</v>
      </c>
      <c r="C6" s="1301" t="s">
        <v>368</v>
      </c>
      <c r="D6" s="1301" t="s">
        <v>369</v>
      </c>
      <c r="E6" s="1301" t="s">
        <v>370</v>
      </c>
      <c r="F6" s="1301" t="s">
        <v>371</v>
      </c>
      <c r="G6" s="1301" t="s">
        <v>372</v>
      </c>
      <c r="H6" s="1301" t="s">
        <v>380</v>
      </c>
      <c r="I6" s="1301" t="s">
        <v>381</v>
      </c>
      <c r="K6" s="1298"/>
      <c r="L6" s="1298"/>
      <c r="M6" s="1298"/>
      <c r="N6" s="1298"/>
      <c r="O6" s="1298"/>
      <c r="P6" s="1298"/>
      <c r="Q6" s="1298"/>
      <c r="R6" s="1298"/>
      <c r="S6" s="1298"/>
      <c r="T6" s="1164"/>
      <c r="U6" s="1298"/>
      <c r="V6" s="1302"/>
      <c r="W6" s="1303"/>
      <c r="X6" s="1302"/>
      <c r="Y6" s="1303"/>
      <c r="Z6" s="1302"/>
      <c r="AA6" s="1303"/>
      <c r="AB6" s="1302"/>
      <c r="AC6" s="1303"/>
      <c r="AD6" s="1302"/>
      <c r="AE6" s="1303"/>
      <c r="AF6" s="1302"/>
      <c r="AG6" s="1303"/>
      <c r="AH6" s="1302"/>
      <c r="AI6" s="1303"/>
    </row>
    <row r="7" spans="1:37" s="266" customFormat="1" ht="18.75" customHeight="1">
      <c r="A7" s="1304"/>
      <c r="B7" s="1305"/>
      <c r="C7" s="1305"/>
      <c r="D7" s="1305" t="s">
        <v>996</v>
      </c>
      <c r="E7" s="1305" t="s">
        <v>40</v>
      </c>
      <c r="F7" s="1305" t="s">
        <v>12</v>
      </c>
      <c r="G7" s="1305" t="s">
        <v>41</v>
      </c>
      <c r="H7" s="1305" t="s">
        <v>40</v>
      </c>
      <c r="I7" s="1305" t="s">
        <v>915</v>
      </c>
      <c r="J7" s="272"/>
      <c r="K7" s="1144"/>
      <c r="L7" s="1144"/>
      <c r="M7" s="1144"/>
      <c r="N7" s="1144"/>
      <c r="O7" s="1144"/>
      <c r="P7" s="1144"/>
      <c r="Q7" s="1144"/>
      <c r="R7" s="1144"/>
      <c r="S7" s="1144"/>
      <c r="T7" s="1143"/>
      <c r="U7" s="1144"/>
      <c r="V7" s="1144"/>
      <c r="W7" s="1144"/>
      <c r="X7" s="1144"/>
      <c r="Y7" s="1144"/>
      <c r="Z7" s="1144"/>
      <c r="AA7" s="1144"/>
      <c r="AB7" s="1144"/>
      <c r="AC7" s="1144"/>
      <c r="AD7" s="1144"/>
      <c r="AE7" s="1144"/>
      <c r="AF7" s="1144"/>
      <c r="AG7" s="1144"/>
      <c r="AH7" s="1144"/>
      <c r="AI7" s="1144"/>
    </row>
    <row r="8" spans="1:37" s="266" customFormat="1" ht="18.75" customHeight="1">
      <c r="A8" s="1306" t="s">
        <v>105</v>
      </c>
      <c r="B8" s="1305" t="s">
        <v>51</v>
      </c>
      <c r="C8" s="1305" t="s">
        <v>41</v>
      </c>
      <c r="D8" s="1305" t="s">
        <v>37</v>
      </c>
      <c r="E8" s="1305" t="s">
        <v>979</v>
      </c>
      <c r="F8" s="1305" t="s">
        <v>995</v>
      </c>
      <c r="G8" s="1305" t="s">
        <v>0</v>
      </c>
      <c r="H8" s="1305" t="s">
        <v>979</v>
      </c>
      <c r="I8" s="1305" t="s">
        <v>994</v>
      </c>
      <c r="J8" s="272"/>
      <c r="K8" s="1308"/>
      <c r="L8" s="1308"/>
      <c r="M8" s="1308"/>
      <c r="N8" s="1308"/>
      <c r="O8" s="1308"/>
      <c r="P8" s="1308"/>
      <c r="Q8" s="1308"/>
      <c r="R8" s="1308"/>
      <c r="S8" s="1308"/>
      <c r="T8" s="1307"/>
      <c r="U8" s="1308"/>
      <c r="V8" s="1308"/>
      <c r="W8" s="1308"/>
      <c r="X8" s="1308"/>
      <c r="Y8" s="1308"/>
      <c r="Z8" s="1309"/>
      <c r="AA8" s="1308"/>
      <c r="AB8" s="1308"/>
      <c r="AC8" s="1308"/>
      <c r="AD8" s="1309"/>
      <c r="AE8" s="1308"/>
      <c r="AF8" s="1308"/>
      <c r="AG8" s="1308"/>
      <c r="AH8" s="1308"/>
      <c r="AI8" s="1308"/>
    </row>
    <row r="9" spans="1:37" s="266" customFormat="1" ht="18.75" customHeight="1">
      <c r="A9" s="1310" t="s">
        <v>14</v>
      </c>
      <c r="B9" s="1311" t="s">
        <v>397</v>
      </c>
      <c r="C9" s="1312" t="s">
        <v>0</v>
      </c>
      <c r="D9" s="1312" t="s">
        <v>398</v>
      </c>
      <c r="E9" s="1312" t="s">
        <v>827</v>
      </c>
      <c r="F9" s="1312" t="s">
        <v>399</v>
      </c>
      <c r="G9" s="1312" t="s">
        <v>400</v>
      </c>
      <c r="H9" s="1312" t="s">
        <v>12</v>
      </c>
      <c r="I9" s="1312" t="s">
        <v>401</v>
      </c>
      <c r="J9" s="272"/>
      <c r="K9" s="1313"/>
      <c r="L9" s="1313"/>
      <c r="M9" s="1313"/>
      <c r="N9" s="1313"/>
      <c r="O9" s="1313"/>
      <c r="P9" s="1313"/>
      <c r="Q9" s="1313"/>
      <c r="R9" s="1313"/>
      <c r="S9" s="1313"/>
      <c r="T9" s="1143"/>
      <c r="U9" s="1313"/>
      <c r="V9" s="1314"/>
      <c r="W9" s="1314"/>
      <c r="X9" s="1314"/>
      <c r="Y9" s="1314"/>
      <c r="Z9" s="1314"/>
      <c r="AA9" s="1314"/>
      <c r="AB9" s="1314"/>
      <c r="AC9" s="1314"/>
      <c r="AD9" s="1314"/>
      <c r="AE9" s="1314"/>
      <c r="AF9" s="1314"/>
      <c r="AG9" s="1314"/>
      <c r="AH9" s="1314"/>
      <c r="AI9" s="1314"/>
    </row>
    <row r="10" spans="1:37" s="266" customFormat="1" ht="15.75" customHeight="1">
      <c r="A10" s="1315"/>
      <c r="B10" s="1301"/>
      <c r="C10" s="1301"/>
      <c r="D10" s="1301"/>
      <c r="E10" s="1301"/>
      <c r="F10" s="1301"/>
      <c r="G10" s="1301"/>
      <c r="H10" s="1316"/>
      <c r="I10" s="1317" t="s">
        <v>402</v>
      </c>
      <c r="K10" s="1143"/>
      <c r="L10" s="1143"/>
      <c r="M10" s="1143"/>
      <c r="N10" s="1143"/>
      <c r="O10" s="1143"/>
      <c r="P10" s="1143"/>
      <c r="Q10" s="1143"/>
      <c r="R10" s="1143"/>
      <c r="S10" s="1143"/>
      <c r="T10" s="1144"/>
      <c r="U10" s="1143"/>
      <c r="V10" s="1143"/>
      <c r="W10" s="1318"/>
      <c r="X10" s="1144"/>
      <c r="Y10" s="1318"/>
      <c r="Z10" s="1319"/>
      <c r="AA10" s="1319"/>
      <c r="AB10" s="1148"/>
      <c r="AC10" s="1143"/>
      <c r="AD10" s="1319"/>
      <c r="AE10" s="1319"/>
      <c r="AF10" s="1319"/>
      <c r="AG10" s="1319"/>
      <c r="AH10" s="1319"/>
      <c r="AI10" s="1319"/>
      <c r="AK10" s="1320"/>
    </row>
    <row r="11" spans="1:37" s="266" customFormat="1" ht="24.75" customHeight="1">
      <c r="A11" s="1321">
        <v>44896</v>
      </c>
      <c r="B11" s="1322">
        <f>'Day 4 Report -Dec 2022'!B28</f>
        <v>58554155.900000006</v>
      </c>
      <c r="C11" s="1322">
        <f>-'Day 4 Report -Dec 2022'!C28</f>
        <v>-4457653.5599999996</v>
      </c>
      <c r="D11" s="1323"/>
      <c r="E11" s="1324">
        <v>-9470542.6199999992</v>
      </c>
      <c r="F11" s="1323"/>
      <c r="G11" s="1323"/>
      <c r="H11" s="1323"/>
      <c r="I11" s="1324">
        <f>ROUND(B11+C11+D12+E11-F12-G12-H12,2)</f>
        <v>48709634.619999997</v>
      </c>
      <c r="K11" s="1325"/>
      <c r="L11" s="1325"/>
      <c r="M11" s="1325"/>
      <c r="N11" s="1325"/>
      <c r="O11" s="1325"/>
      <c r="P11" s="1325"/>
      <c r="Q11" s="1325"/>
      <c r="R11" s="1325"/>
      <c r="S11" s="1325"/>
      <c r="T11" s="1325"/>
      <c r="U11" s="1325"/>
      <c r="V11" s="1325"/>
      <c r="W11" s="1325"/>
      <c r="X11" s="1325"/>
      <c r="Y11" s="1325"/>
      <c r="Z11" s="1325"/>
      <c r="AA11" s="1325"/>
      <c r="AB11" s="1325"/>
      <c r="AC11" s="1325"/>
      <c r="AD11" s="1325"/>
      <c r="AE11" s="1325"/>
      <c r="AF11" s="1325"/>
      <c r="AG11" s="1325"/>
      <c r="AH11" s="1325"/>
      <c r="AI11" s="1325"/>
      <c r="AK11" s="1320"/>
    </row>
    <row r="12" spans="1:37" s="1172" customFormat="1" ht="21" customHeight="1">
      <c r="A12" s="667" t="s">
        <v>1048</v>
      </c>
      <c r="B12" s="1326">
        <f>'202212 Bk Depr'!R19</f>
        <v>59068220.280000001</v>
      </c>
      <c r="C12" s="1326">
        <f>-4147459.44-'202211 Bk Depr'!P19-'202212 Bk Depr'!P19</f>
        <v>-4459018.7683544997</v>
      </c>
      <c r="D12" s="1326">
        <f>'202212 Bk Depr'!R39</f>
        <v>4230199.2300000004</v>
      </c>
      <c r="E12" s="1326">
        <f>-('Tax Depr 2022 - Dist'!X28-'Tax Depr 2021-Dist'!U49-'Tax Depr 2022 - Dist'!W44)</f>
        <v>-9598460.8189946264</v>
      </c>
      <c r="F12" s="1326">
        <f>-'202212 Bk Depr'!R28</f>
        <v>556482.17999999959</v>
      </c>
      <c r="G12" s="1326">
        <f>'Base Rate Retirements 2021'!H26+'Base Rate Retirements 2021'!H30+'Base Rate Retirements 2021'!H32+'Base Rate Retirements 2022'!L31+'Base Rate Retirements 2022'!L47</f>
        <v>-361274.87740760011</v>
      </c>
      <c r="H12" s="1326">
        <f>'Tax Depr 2021-Dist'!U49+'Tax Depr 2022 - Dist'!W44</f>
        <v>-48682.973224097026</v>
      </c>
      <c r="I12" s="1327">
        <f t="shared" ref="I12:I25" si="0">B12+C12+D12+E12-F12-G12-H12</f>
        <v>49094415.593282573</v>
      </c>
      <c r="J12" s="1171"/>
      <c r="K12" s="1328"/>
      <c r="L12" s="1328"/>
      <c r="M12" s="1328"/>
      <c r="N12" s="1328"/>
      <c r="O12" s="1328"/>
      <c r="P12" s="1328"/>
      <c r="Q12" s="1328"/>
      <c r="R12" s="1328"/>
      <c r="S12" s="1328"/>
      <c r="T12" s="1328"/>
      <c r="U12" s="1328"/>
      <c r="V12" s="1328"/>
      <c r="W12" s="1328"/>
      <c r="X12" s="1328"/>
      <c r="Y12" s="1328"/>
      <c r="Z12" s="1328"/>
      <c r="AA12" s="1328"/>
      <c r="AB12" s="1328"/>
      <c r="AC12" s="1328"/>
      <c r="AD12" s="1328"/>
      <c r="AE12" s="1328"/>
      <c r="AF12" s="1328"/>
      <c r="AG12" s="1328"/>
      <c r="AH12" s="1328"/>
      <c r="AI12" s="1328"/>
      <c r="AK12" s="1329"/>
    </row>
    <row r="13" spans="1:37" s="266" customFormat="1" ht="6.75" customHeight="1">
      <c r="A13" s="267"/>
      <c r="B13" s="264"/>
      <c r="C13" s="264"/>
      <c r="D13" s="1330"/>
      <c r="E13" s="1330"/>
      <c r="F13" s="264"/>
      <c r="G13" s="264"/>
      <c r="H13" s="1331"/>
      <c r="I13" s="264"/>
      <c r="J13" s="260"/>
      <c r="K13" s="1149"/>
      <c r="L13" s="1149"/>
      <c r="M13" s="1149"/>
      <c r="N13" s="1149"/>
      <c r="O13" s="1149"/>
      <c r="P13" s="1149"/>
      <c r="Q13" s="1149"/>
      <c r="R13" s="1149"/>
      <c r="S13" s="1149"/>
      <c r="T13" s="1149"/>
      <c r="U13" s="1149"/>
      <c r="V13" s="1149"/>
      <c r="W13" s="1149"/>
      <c r="X13" s="1149"/>
      <c r="Y13" s="1149"/>
      <c r="Z13" s="1149"/>
      <c r="AA13" s="1149"/>
      <c r="AB13" s="1149"/>
      <c r="AC13" s="1149"/>
      <c r="AD13" s="1149"/>
      <c r="AE13" s="1149"/>
      <c r="AF13" s="1149"/>
      <c r="AG13" s="1149"/>
      <c r="AH13" s="1149"/>
      <c r="AI13" s="1149"/>
      <c r="AK13" s="1332"/>
    </row>
    <row r="14" spans="1:37" s="776" customFormat="1" ht="21" customHeight="1">
      <c r="A14" s="1321">
        <f>DATE(YEAR(A11+45),MONTH(A11+45),1)</f>
        <v>44927</v>
      </c>
      <c r="B14" s="1333">
        <f>'202301 Bk Depr'!R18</f>
        <v>60473747.68</v>
      </c>
      <c r="C14" s="1333">
        <f>C12-'202301 Bk Depr'!P18</f>
        <v>-4620400.4251004998</v>
      </c>
      <c r="D14" s="1333">
        <f>D12+'202301 Bk Depr'!L36</f>
        <v>4324321.6300000008</v>
      </c>
      <c r="E14" s="1333">
        <f>-'Tax Depr 2023'!Y17+H14</f>
        <v>-9635274.7141264137</v>
      </c>
      <c r="F14" s="1333">
        <f>F12-'Cap&amp;OpEx 2023'!C19</f>
        <v>556482.17999999959</v>
      </c>
      <c r="G14" s="1333">
        <f>G12-'Cap&amp;OpEx 2023'!C25</f>
        <v>-361274.87740760011</v>
      </c>
      <c r="H14" s="1322">
        <f>H12+'Tax Depr 2023'!X17</f>
        <v>-48682.973224097026</v>
      </c>
      <c r="I14" s="1334">
        <f t="shared" si="0"/>
        <v>50395869.841404788</v>
      </c>
      <c r="J14" s="669"/>
      <c r="K14" s="1335"/>
      <c r="L14" s="1335"/>
      <c r="M14" s="1335"/>
      <c r="N14" s="1335"/>
      <c r="O14" s="1335"/>
      <c r="P14" s="1335"/>
      <c r="Q14" s="1335"/>
      <c r="R14" s="1335"/>
      <c r="S14" s="1335"/>
      <c r="T14" s="1335"/>
      <c r="U14" s="1335"/>
      <c r="V14" s="1335"/>
      <c r="W14" s="1335"/>
      <c r="X14" s="1335"/>
      <c r="Y14" s="1335"/>
      <c r="Z14" s="1335"/>
      <c r="AA14" s="1335"/>
      <c r="AB14" s="1335"/>
      <c r="AC14" s="1335"/>
      <c r="AD14" s="1335"/>
      <c r="AE14" s="1335"/>
      <c r="AF14" s="1335"/>
      <c r="AG14" s="1335"/>
      <c r="AH14" s="1335"/>
      <c r="AI14" s="1335"/>
      <c r="AK14" s="1332"/>
    </row>
    <row r="15" spans="1:37" s="776" customFormat="1" ht="21" customHeight="1">
      <c r="A15" s="1321">
        <f t="shared" ref="A15:A25" si="1">DATE(YEAR(A14+45),MONTH(A14+45),1)</f>
        <v>44958</v>
      </c>
      <c r="B15" s="1333">
        <f>'202302 Bk Depr'!R18</f>
        <v>61978681.649999999</v>
      </c>
      <c r="C15" s="1333">
        <f>C14-'202302 Bk Depr'!P18</f>
        <v>-4785711.2046959996</v>
      </c>
      <c r="D15" s="1333">
        <f>D14+'202302 Bk Depr'!L36</f>
        <v>4413530.040000001</v>
      </c>
      <c r="E15" s="1333">
        <f>-'Tax Depr 2023'!Y18+H15</f>
        <v>-9713846.1614307072</v>
      </c>
      <c r="F15" s="1333">
        <f>F14-'Cap&amp;OpEx 2023'!D19</f>
        <v>556482.17999999959</v>
      </c>
      <c r="G15" s="1333">
        <f>G14-'Cap&amp;OpEx 2023'!D25</f>
        <v>-361274.87740760011</v>
      </c>
      <c r="H15" s="1322">
        <f>H14+'Tax Depr 2023'!X18</f>
        <v>-48682.973224097026</v>
      </c>
      <c r="I15" s="1334">
        <f t="shared" si="0"/>
        <v>51746129.994504988</v>
      </c>
      <c r="J15" s="669"/>
      <c r="K15" s="1335"/>
      <c r="L15" s="1335"/>
      <c r="M15" s="1335"/>
      <c r="N15" s="1335"/>
      <c r="O15" s="1335"/>
      <c r="P15" s="1335"/>
      <c r="Q15" s="1335"/>
      <c r="R15" s="1335"/>
      <c r="S15" s="1335"/>
      <c r="T15" s="1335"/>
      <c r="U15" s="1335"/>
      <c r="V15" s="1335"/>
      <c r="W15" s="1335"/>
      <c r="X15" s="1335"/>
      <c r="Y15" s="1335"/>
      <c r="Z15" s="1335"/>
      <c r="AA15" s="1335"/>
      <c r="AB15" s="1335"/>
      <c r="AC15" s="1335"/>
      <c r="AD15" s="1335"/>
      <c r="AE15" s="1335"/>
      <c r="AF15" s="1335"/>
      <c r="AG15" s="1335"/>
      <c r="AH15" s="1335"/>
      <c r="AI15" s="1335"/>
      <c r="AK15" s="1332"/>
    </row>
    <row r="16" spans="1:37" s="776" customFormat="1" ht="21" customHeight="1">
      <c r="A16" s="1321">
        <f t="shared" si="1"/>
        <v>44986</v>
      </c>
      <c r="B16" s="1333">
        <f>'202303 Bk Depr'!R18</f>
        <v>63467846.539999999</v>
      </c>
      <c r="C16" s="1333">
        <f>C15-'202303 Bk Depr'!P18</f>
        <v>-4955064.0177524993</v>
      </c>
      <c r="D16" s="1333">
        <f>D15+'202303 Bk Depr'!L36</f>
        <v>4506803.5000000009</v>
      </c>
      <c r="E16" s="1333">
        <f>-'Tax Depr 2023'!Y19+H16</f>
        <v>-9835282.1324762981</v>
      </c>
      <c r="F16" s="1333">
        <f>F15-'Cap&amp;OpEx 2023'!E19</f>
        <v>557516.65999999957</v>
      </c>
      <c r="G16" s="1333">
        <f>G15-'Cap&amp;OpEx 2023'!E25</f>
        <v>-362307.58665848011</v>
      </c>
      <c r="H16" s="1322">
        <f>H15+'Tax Depr 2023'!X19</f>
        <v>-48683.363224097026</v>
      </c>
      <c r="I16" s="1334">
        <f t="shared" si="0"/>
        <v>53037778.179653779</v>
      </c>
      <c r="J16" s="669"/>
      <c r="K16" s="1335"/>
      <c r="L16" s="1335"/>
      <c r="M16" s="1335"/>
      <c r="N16" s="1335"/>
      <c r="O16" s="1335"/>
      <c r="P16" s="1335"/>
      <c r="Q16" s="1335"/>
      <c r="R16" s="1335"/>
      <c r="S16" s="1335"/>
      <c r="T16" s="1335"/>
      <c r="U16" s="1335"/>
      <c r="V16" s="1335"/>
      <c r="W16" s="1335"/>
      <c r="X16" s="1335"/>
      <c r="Y16" s="1335"/>
      <c r="Z16" s="1335"/>
      <c r="AA16" s="1335"/>
      <c r="AB16" s="1335"/>
      <c r="AC16" s="1335"/>
      <c r="AD16" s="1335"/>
      <c r="AE16" s="1335"/>
      <c r="AF16" s="1335"/>
      <c r="AG16" s="1335"/>
      <c r="AH16" s="1335"/>
      <c r="AI16" s="1335"/>
      <c r="AK16" s="1332"/>
    </row>
    <row r="17" spans="1:37" s="776" customFormat="1" ht="21" customHeight="1">
      <c r="A17" s="1321">
        <f t="shared" si="1"/>
        <v>45017</v>
      </c>
      <c r="B17" s="1333">
        <f>'202304 Bk Depr'!R18</f>
        <v>65068766.579999998</v>
      </c>
      <c r="C17" s="1333">
        <f>C16-'202304 Bk Depr'!P18</f>
        <v>-5128588.4454644993</v>
      </c>
      <c r="D17" s="1333">
        <f>D16+'202304 Bk Depr'!L36</f>
        <v>4578399.0600000005</v>
      </c>
      <c r="E17" s="1333">
        <f>-'Tax Depr 2023'!Y20+H17</f>
        <v>-10009319.059771083</v>
      </c>
      <c r="F17" s="1333">
        <f>F16-'Cap&amp;OpEx 2023'!F19</f>
        <v>557516.65999999957</v>
      </c>
      <c r="G17" s="1333">
        <f>G16-'Cap&amp;OpEx 2023'!F25</f>
        <v>-362307.58665848011</v>
      </c>
      <c r="H17" s="1322">
        <f>H16+'Tax Depr 2023'!X20</f>
        <v>-48683.363224097026</v>
      </c>
      <c r="I17" s="1334">
        <f t="shared" si="0"/>
        <v>54362732.424646996</v>
      </c>
      <c r="J17" s="669"/>
      <c r="K17" s="1335"/>
      <c r="L17" s="1335"/>
      <c r="M17" s="1335"/>
      <c r="N17" s="1335"/>
      <c r="O17" s="1335"/>
      <c r="P17" s="1335"/>
      <c r="Q17" s="1335"/>
      <c r="R17" s="1335"/>
      <c r="S17" s="1335"/>
      <c r="T17" s="1335"/>
      <c r="U17" s="1335"/>
      <c r="V17" s="1335"/>
      <c r="W17" s="1335"/>
      <c r="X17" s="1335"/>
      <c r="Y17" s="1335"/>
      <c r="Z17" s="1335"/>
      <c r="AA17" s="1335"/>
      <c r="AB17" s="1335"/>
      <c r="AC17" s="1335"/>
      <c r="AD17" s="1335"/>
      <c r="AE17" s="1335"/>
      <c r="AF17" s="1335"/>
      <c r="AG17" s="1335"/>
      <c r="AH17" s="1335"/>
      <c r="AI17" s="1335"/>
      <c r="AK17" s="1332"/>
    </row>
    <row r="18" spans="1:37" s="776" customFormat="1" ht="21" customHeight="1">
      <c r="A18" s="1321">
        <f t="shared" si="1"/>
        <v>45047</v>
      </c>
      <c r="B18" s="1333">
        <f>'202305 Bk Depr'!R18</f>
        <v>66818066.019999996</v>
      </c>
      <c r="C18" s="1333">
        <f>C17-'202305 Bk Depr'!P18</f>
        <v>-5306635.6694744993</v>
      </c>
      <c r="D18" s="1333">
        <f>D17+'202305 Bk Depr'!L36</f>
        <v>4663848.03</v>
      </c>
      <c r="E18" s="1333">
        <f>-'Tax Depr 2023'!Y21+H18</f>
        <v>-10241886.652576314</v>
      </c>
      <c r="F18" s="1333">
        <f>F17-'Cap&amp;OpEx 2023'!G19</f>
        <v>557516.65999999957</v>
      </c>
      <c r="G18" s="1333">
        <f>G17-'Cap&amp;OpEx 2023'!G25</f>
        <v>-362307.58665848011</v>
      </c>
      <c r="H18" s="1322">
        <f>H17+'Tax Depr 2023'!X21</f>
        <v>-48683.363224097026</v>
      </c>
      <c r="I18" s="1334">
        <f t="shared" si="0"/>
        <v>55786866.017831765</v>
      </c>
      <c r="J18" s="669"/>
      <c r="K18" s="1335"/>
      <c r="L18" s="1335"/>
      <c r="M18" s="1335"/>
      <c r="N18" s="1335"/>
      <c r="O18" s="1335"/>
      <c r="P18" s="1335"/>
      <c r="Q18" s="1335"/>
      <c r="R18" s="1335"/>
      <c r="S18" s="1335"/>
      <c r="T18" s="1335"/>
      <c r="U18" s="1335"/>
      <c r="V18" s="1335"/>
      <c r="W18" s="1335"/>
      <c r="X18" s="1335"/>
      <c r="Y18" s="1335"/>
      <c r="Z18" s="1335"/>
      <c r="AA18" s="1335"/>
      <c r="AB18" s="1335"/>
      <c r="AC18" s="1335"/>
      <c r="AD18" s="1335"/>
      <c r="AE18" s="1335"/>
      <c r="AF18" s="1335"/>
      <c r="AG18" s="1335"/>
      <c r="AH18" s="1335"/>
      <c r="AI18" s="1335"/>
      <c r="AK18" s="1332"/>
    </row>
    <row r="19" spans="1:37" s="776" customFormat="1" ht="21" customHeight="1">
      <c r="A19" s="1321">
        <f t="shared" si="1"/>
        <v>45078</v>
      </c>
      <c r="B19" s="1333">
        <f>'202306 Bk Depr'!R18</f>
        <v>68897336.530000001</v>
      </c>
      <c r="C19" s="1333">
        <f>C18-'202306 Bk Depr'!P18</f>
        <v>-5489851.4629169991</v>
      </c>
      <c r="D19" s="1333">
        <f>D18+'202306 Bk Depr'!L36</f>
        <v>4780273.49</v>
      </c>
      <c r="E19" s="1333">
        <f>-'Tax Depr 2023'!Y22+H19</f>
        <v>-10563809.457976729</v>
      </c>
      <c r="F19" s="1333">
        <f>F18-'Cap&amp;OpEx 2023'!H19</f>
        <v>557516.65999999957</v>
      </c>
      <c r="G19" s="1333">
        <f>G18-'Cap&amp;OpEx 2023'!H25</f>
        <v>-362307.58665848011</v>
      </c>
      <c r="H19" s="1322">
        <f>H18+'Tax Depr 2023'!X22</f>
        <v>-48683.363224097026</v>
      </c>
      <c r="I19" s="1334">
        <f t="shared" si="0"/>
        <v>57477423.388988845</v>
      </c>
      <c r="J19" s="669"/>
      <c r="K19" s="1335"/>
      <c r="L19" s="1335"/>
      <c r="M19" s="1335"/>
      <c r="N19" s="1335"/>
      <c r="O19" s="1335"/>
      <c r="P19" s="1335"/>
      <c r="Q19" s="1335"/>
      <c r="R19" s="1335"/>
      <c r="S19" s="1335"/>
      <c r="T19" s="1335"/>
      <c r="U19" s="1335"/>
      <c r="V19" s="1335"/>
      <c r="W19" s="1335"/>
      <c r="X19" s="1335"/>
      <c r="Y19" s="1335"/>
      <c r="Z19" s="1335"/>
      <c r="AA19" s="1335"/>
      <c r="AB19" s="1335"/>
      <c r="AC19" s="1335"/>
      <c r="AD19" s="1335"/>
      <c r="AE19" s="1335"/>
      <c r="AF19" s="1335"/>
      <c r="AG19" s="1335"/>
      <c r="AH19" s="1335"/>
      <c r="AI19" s="1335"/>
      <c r="AK19" s="1332"/>
    </row>
    <row r="20" spans="1:37" s="776" customFormat="1" ht="21" customHeight="1">
      <c r="A20" s="1321">
        <f>DATE(YEAR(A19+45),MONTH(A19+45),1)</f>
        <v>45108</v>
      </c>
      <c r="B20" s="1333">
        <f>'202307 Bk Depr'!R18</f>
        <v>70497959.839999989</v>
      </c>
      <c r="C20" s="1333">
        <f>C19-'202307 Bk Depr'!P18</f>
        <v>-5678035.1130164992</v>
      </c>
      <c r="D20" s="1333">
        <f>D19+'202307 Bk Depr'!L36</f>
        <v>4998556.2700000005</v>
      </c>
      <c r="E20" s="1333">
        <f>-'Tax Depr 2023'!Y23+H20</f>
        <v>-10932007.515398359</v>
      </c>
      <c r="F20" s="1333">
        <f>F19-'Cap&amp;OpEx 2023'!I19</f>
        <v>557516.65999999957</v>
      </c>
      <c r="G20" s="1333">
        <f>G19-'Cap&amp;OpEx 2023'!I25</f>
        <v>-362307.58665848011</v>
      </c>
      <c r="H20" s="1322">
        <f>H19+'Tax Depr 2023'!X23</f>
        <v>-48683.363224097026</v>
      </c>
      <c r="I20" s="1334">
        <f t="shared" si="0"/>
        <v>58739947.771467701</v>
      </c>
      <c r="J20" s="669"/>
      <c r="K20" s="1335"/>
      <c r="L20" s="1335"/>
      <c r="M20" s="1335"/>
      <c r="N20" s="1335"/>
      <c r="O20" s="1335"/>
      <c r="P20" s="1335"/>
      <c r="Q20" s="1335"/>
      <c r="R20" s="1335"/>
      <c r="S20" s="1335"/>
      <c r="T20" s="1335"/>
      <c r="U20" s="1335"/>
      <c r="V20" s="1335"/>
      <c r="W20" s="1335"/>
      <c r="X20" s="1335"/>
      <c r="Y20" s="1335"/>
      <c r="Z20" s="1335"/>
      <c r="AA20" s="1335"/>
      <c r="AB20" s="1335"/>
      <c r="AC20" s="1335"/>
      <c r="AD20" s="1335"/>
      <c r="AE20" s="1335"/>
      <c r="AF20" s="1335"/>
      <c r="AG20" s="1335"/>
      <c r="AH20" s="1335"/>
      <c r="AI20" s="1335"/>
      <c r="AK20" s="1332"/>
    </row>
    <row r="21" spans="1:37" s="776" customFormat="1" ht="21" customHeight="1">
      <c r="A21" s="1321">
        <f t="shared" si="1"/>
        <v>45139</v>
      </c>
      <c r="B21" s="1333">
        <f>'202308 Bk Depr'!R18</f>
        <v>72249883.50999999</v>
      </c>
      <c r="C21" s="1333">
        <f>C20-'202308 Bk Depr'!P18</f>
        <v>-5870744.7015389996</v>
      </c>
      <c r="D21" s="1333">
        <f>D20+'202308 Bk Depr'!L36</f>
        <v>5091874.5000000009</v>
      </c>
      <c r="E21" s="1333">
        <f>-'Tax Depr 2023'!Y24+H21</f>
        <v>-11336374.919371521</v>
      </c>
      <c r="F21" s="1333">
        <f>F20-'Cap&amp;OpEx 2023'!J19</f>
        <v>557516.65999999957</v>
      </c>
      <c r="G21" s="1333">
        <f>G20-'Cap&amp;OpEx 2023'!J25</f>
        <v>-362307.58665848011</v>
      </c>
      <c r="H21" s="1322">
        <f>H20+'Tax Depr 2023'!X24</f>
        <v>-48683.363224097026</v>
      </c>
      <c r="I21" s="1334">
        <f t="shared" si="0"/>
        <v>59988112.678972051</v>
      </c>
      <c r="J21" s="777"/>
      <c r="K21" s="1335"/>
      <c r="L21" s="1335"/>
      <c r="M21" s="1335"/>
      <c r="N21" s="1335"/>
      <c r="O21" s="1335"/>
      <c r="P21" s="1335"/>
      <c r="Q21" s="1335"/>
      <c r="R21" s="1335"/>
      <c r="S21" s="1335"/>
      <c r="T21" s="1335"/>
      <c r="U21" s="1335"/>
      <c r="V21" s="1335"/>
      <c r="W21" s="1335"/>
      <c r="X21" s="1335"/>
      <c r="Y21" s="1335"/>
      <c r="Z21" s="1335"/>
      <c r="AA21" s="1335"/>
      <c r="AB21" s="1335"/>
      <c r="AC21" s="1335"/>
      <c r="AD21" s="1335"/>
      <c r="AE21" s="1335"/>
      <c r="AF21" s="1335"/>
      <c r="AG21" s="1335"/>
      <c r="AH21" s="1335"/>
      <c r="AI21" s="1335"/>
      <c r="AK21" s="1332"/>
    </row>
    <row r="22" spans="1:37" s="776" customFormat="1" ht="21" customHeight="1">
      <c r="A22" s="1321">
        <f t="shared" si="1"/>
        <v>45170</v>
      </c>
      <c r="B22" s="1333">
        <f>'202309 Bk Depr'!R18</f>
        <v>73853229.639999986</v>
      </c>
      <c r="C22" s="1333">
        <f>C21-'202309 Bk Depr'!P18</f>
        <v>-6067983.9042914994</v>
      </c>
      <c r="D22" s="1333">
        <f>D21+'202309 Bk Depr'!L36</f>
        <v>5192344.5700000012</v>
      </c>
      <c r="E22" s="1333">
        <f>-'Tax Depr 2023'!Y25+H22</f>
        <v>-11769552.322198749</v>
      </c>
      <c r="F22" s="1333">
        <f>F21-'Cap&amp;OpEx 2023'!K19</f>
        <v>557516.65999999957</v>
      </c>
      <c r="G22" s="1333">
        <f>G21-'Cap&amp;OpEx 2023'!K25</f>
        <v>-362307.58665848011</v>
      </c>
      <c r="H22" s="1322">
        <f>H21+'Tax Depr 2023'!X25</f>
        <v>-48683.363224097026</v>
      </c>
      <c r="I22" s="1334">
        <f t="shared" si="0"/>
        <v>61061512.273392327</v>
      </c>
      <c r="J22" s="778"/>
      <c r="K22" s="1335"/>
      <c r="L22" s="1335"/>
      <c r="M22" s="1335"/>
      <c r="N22" s="1335"/>
      <c r="O22" s="1335"/>
      <c r="P22" s="1335"/>
      <c r="Q22" s="1335"/>
      <c r="R22" s="1335"/>
      <c r="S22" s="1335"/>
      <c r="T22" s="1335"/>
      <c r="U22" s="1335"/>
      <c r="V22" s="1335"/>
      <c r="W22" s="1335"/>
      <c r="X22" s="1335"/>
      <c r="Y22" s="1335"/>
      <c r="Z22" s="1335"/>
      <c r="AA22" s="1335"/>
      <c r="AB22" s="1335"/>
      <c r="AC22" s="1335"/>
      <c r="AD22" s="1335"/>
      <c r="AE22" s="1335"/>
      <c r="AF22" s="1335"/>
      <c r="AG22" s="1335"/>
      <c r="AH22" s="1335"/>
      <c r="AI22" s="1335"/>
      <c r="AK22" s="1332"/>
    </row>
    <row r="23" spans="1:37" s="776" customFormat="1" ht="21" customHeight="1">
      <c r="A23" s="1321">
        <f t="shared" si="1"/>
        <v>45200</v>
      </c>
      <c r="B23" s="1333">
        <f>'202310 Bk Depr'!R18</f>
        <v>75649507.459999993</v>
      </c>
      <c r="C23" s="1333">
        <f>C22-'202310 Bk Depr'!P18</f>
        <v>-6269812.5993764997</v>
      </c>
      <c r="D23" s="1333">
        <f>D22+'202310 Bk Depr'!L36</f>
        <v>5288771.8600000013</v>
      </c>
      <c r="E23" s="1333">
        <f>-'Tax Depr 2023'!Y26+H23</f>
        <v>-12250463.849011162</v>
      </c>
      <c r="F23" s="1333">
        <f>F22-'Cap&amp;OpEx 2023'!L19</f>
        <v>557516.65999999957</v>
      </c>
      <c r="G23" s="1333">
        <f>G22-'Cap&amp;OpEx 2023'!L25</f>
        <v>-362307.58665848011</v>
      </c>
      <c r="H23" s="1322">
        <f>H22+'Tax Depr 2023'!X26</f>
        <v>-48683.363224097026</v>
      </c>
      <c r="I23" s="1334">
        <f t="shared" si="0"/>
        <v>62271477.161494911</v>
      </c>
      <c r="J23" s="778"/>
      <c r="K23" s="1335"/>
      <c r="L23" s="1335"/>
      <c r="M23" s="1335"/>
      <c r="N23" s="1335"/>
      <c r="O23" s="1335"/>
      <c r="P23" s="1335"/>
      <c r="Q23" s="1335"/>
      <c r="R23" s="1335"/>
      <c r="S23" s="1335"/>
      <c r="T23" s="1335"/>
      <c r="U23" s="1335"/>
      <c r="V23" s="1335"/>
      <c r="W23" s="1335"/>
      <c r="X23" s="1335"/>
      <c r="Y23" s="1335"/>
      <c r="Z23" s="1335"/>
      <c r="AA23" s="1335"/>
      <c r="AB23" s="1335"/>
      <c r="AC23" s="1335"/>
      <c r="AD23" s="1335"/>
      <c r="AE23" s="1335"/>
      <c r="AF23" s="1335"/>
      <c r="AG23" s="1335"/>
      <c r="AH23" s="1335"/>
      <c r="AI23" s="1335"/>
      <c r="AK23" s="1332"/>
    </row>
    <row r="24" spans="1:37" s="776" customFormat="1" ht="21" customHeight="1">
      <c r="A24" s="1321">
        <f t="shared" si="1"/>
        <v>45231</v>
      </c>
      <c r="B24" s="1333">
        <f>'202311 Bk Depr'!R18</f>
        <v>77797590.879999995</v>
      </c>
      <c r="C24" s="1333">
        <f>C23-'202311 Bk Depr'!P18</f>
        <v>-6476966.1821355</v>
      </c>
      <c r="D24" s="1333">
        <f>D23+'202311 Bk Depr'!L36</f>
        <v>5347211.0700000012</v>
      </c>
      <c r="E24" s="1333">
        <f>-'Tax Depr 2023'!Y27+H24</f>
        <v>-12861993.968648532</v>
      </c>
      <c r="F24" s="1333">
        <f>F23-'Cap&amp;OpEx 2023'!M19</f>
        <v>1118407.4499999997</v>
      </c>
      <c r="G24" s="1333">
        <f>G23-'Cap&amp;OpEx 2023'!M25</f>
        <v>-794159.17427760013</v>
      </c>
      <c r="H24" s="1322">
        <f>H23+'Tax Depr 2023'!X27</f>
        <v>-80878.123224097028</v>
      </c>
      <c r="I24" s="1334">
        <f t="shared" si="0"/>
        <v>63562471.646717675</v>
      </c>
      <c r="J24" s="778"/>
      <c r="K24" s="1335"/>
      <c r="L24" s="1335"/>
      <c r="M24" s="1335"/>
      <c r="N24" s="1335"/>
      <c r="O24" s="1335"/>
      <c r="P24" s="1335"/>
      <c r="Q24" s="1335"/>
      <c r="R24" s="1335"/>
      <c r="S24" s="1335"/>
      <c r="T24" s="1335"/>
      <c r="U24" s="1335"/>
      <c r="V24" s="1335"/>
      <c r="W24" s="1335"/>
      <c r="X24" s="1335"/>
      <c r="Y24" s="1335"/>
      <c r="Z24" s="1335"/>
      <c r="AA24" s="1335"/>
      <c r="AB24" s="1335"/>
      <c r="AC24" s="1335"/>
      <c r="AD24" s="1335"/>
      <c r="AE24" s="1335"/>
      <c r="AF24" s="1335"/>
      <c r="AG24" s="1335"/>
      <c r="AH24" s="1335"/>
      <c r="AI24" s="1335"/>
      <c r="AK24" s="1332"/>
    </row>
    <row r="25" spans="1:37" s="776" customFormat="1" ht="21" customHeight="1">
      <c r="A25" s="1321">
        <f t="shared" si="1"/>
        <v>45261</v>
      </c>
      <c r="B25" s="1322">
        <f>'202312 Bk Depr'!R18</f>
        <v>79348345.159999996</v>
      </c>
      <c r="C25" s="1322">
        <f>C24-'202312 Bk Depr'!P18</f>
        <v>-6689113.1957895001</v>
      </c>
      <c r="D25" s="1322">
        <f>D24+'202312 Bk Depr'!L36</f>
        <v>5383791.0100000016</v>
      </c>
      <c r="E25" s="1322">
        <f>-'Tax Depr 2023'!Y28+H25</f>
        <v>-13383165.933845673</v>
      </c>
      <c r="F25" s="1322">
        <f>F24-'Cap&amp;OpEx 2023'!N19</f>
        <v>1118407.4499999997</v>
      </c>
      <c r="G25" s="1322">
        <f>G24-'Cap&amp;OpEx 2023'!N25</f>
        <v>-794159.17427760013</v>
      </c>
      <c r="H25" s="1322">
        <f>H24+'Tax Depr 2023'!X28</f>
        <v>-80878.123224097028</v>
      </c>
      <c r="I25" s="1336">
        <f t="shared" si="0"/>
        <v>64416486.887866527</v>
      </c>
      <c r="J25" s="778"/>
      <c r="K25" s="1335"/>
      <c r="L25" s="1335"/>
      <c r="M25" s="1335"/>
      <c r="N25" s="1335"/>
      <c r="O25" s="1335"/>
      <c r="P25" s="1335"/>
      <c r="Q25" s="1335"/>
      <c r="R25" s="1335"/>
      <c r="S25" s="1335"/>
      <c r="T25" s="1335"/>
      <c r="U25" s="1335"/>
      <c r="V25" s="1335"/>
      <c r="W25" s="1335"/>
      <c r="X25" s="1335"/>
      <c r="Y25" s="1335"/>
      <c r="Z25" s="1335"/>
      <c r="AA25" s="1335"/>
      <c r="AB25" s="1335"/>
      <c r="AC25" s="1335"/>
      <c r="AD25" s="1335"/>
      <c r="AE25" s="1335"/>
      <c r="AF25" s="1335"/>
      <c r="AG25" s="1335"/>
      <c r="AH25" s="1335"/>
      <c r="AI25" s="1335"/>
      <c r="AK25" s="1332"/>
    </row>
    <row r="26" spans="1:37" s="266" customFormat="1" ht="15.75" customHeight="1">
      <c r="A26" s="667"/>
      <c r="B26" s="260"/>
      <c r="C26" s="260"/>
      <c r="D26" s="260"/>
      <c r="E26" s="260"/>
      <c r="F26" s="497"/>
      <c r="G26" s="260"/>
      <c r="H26" s="260"/>
      <c r="I26" s="260"/>
      <c r="J26" s="260"/>
      <c r="K26" s="1144"/>
      <c r="L26" s="1144"/>
      <c r="M26" s="1144"/>
      <c r="N26" s="1144"/>
      <c r="O26" s="1144"/>
      <c r="P26" s="1144"/>
      <c r="Q26" s="1144"/>
      <c r="R26" s="1144"/>
      <c r="S26" s="1144"/>
      <c r="T26" s="1144"/>
      <c r="U26" s="1144"/>
      <c r="V26" s="1144"/>
      <c r="W26" s="1144"/>
      <c r="X26" s="1144"/>
      <c r="Y26" s="1144"/>
      <c r="Z26" s="1144"/>
      <c r="AA26" s="1144"/>
      <c r="AB26" s="1144"/>
      <c r="AC26" s="1144"/>
      <c r="AD26" s="1144"/>
      <c r="AE26" s="1144"/>
      <c r="AF26" s="1144"/>
      <c r="AG26" s="1144"/>
      <c r="AH26" s="1144"/>
      <c r="AI26" s="1144"/>
    </row>
    <row r="27" spans="1:37" ht="15.75" customHeight="1">
      <c r="F27" s="1337"/>
      <c r="Z27" s="1338"/>
      <c r="AD27" s="1338"/>
    </row>
    <row r="28" spans="1:37" ht="15.75" customHeight="1">
      <c r="A28" s="1339" t="s">
        <v>1032</v>
      </c>
      <c r="F28" s="497"/>
      <c r="G28" s="792"/>
      <c r="Y28" s="1340"/>
      <c r="Z28" s="1338"/>
      <c r="AC28" s="1340"/>
      <c r="AD28" s="1338"/>
    </row>
    <row r="29" spans="1:37" ht="15.75" customHeight="1">
      <c r="A29" s="946"/>
      <c r="F29" s="497"/>
      <c r="Y29" s="1340"/>
      <c r="Z29" s="1338"/>
      <c r="AC29" s="1340"/>
      <c r="AD29" s="1338"/>
    </row>
    <row r="30" spans="1:37" ht="15.75" customHeight="1">
      <c r="C30" s="259"/>
      <c r="F30" s="497"/>
      <c r="G30" s="826"/>
      <c r="Y30" s="1340"/>
      <c r="Z30" s="1338"/>
      <c r="AC30" s="1340"/>
      <c r="AD30" s="1338"/>
    </row>
    <row r="31" spans="1:37" s="1142" customFormat="1">
      <c r="A31" s="1124"/>
      <c r="B31" s="1168"/>
      <c r="C31" s="1168"/>
      <c r="D31" s="1168"/>
      <c r="E31" s="1168"/>
      <c r="F31" s="1169"/>
      <c r="G31" s="1170"/>
      <c r="H31" s="792"/>
      <c r="I31" s="1168"/>
      <c r="K31" s="1144"/>
      <c r="L31" s="1144"/>
      <c r="M31" s="1144"/>
      <c r="N31" s="1144"/>
      <c r="O31" s="1144"/>
      <c r="P31" s="1144"/>
      <c r="Q31" s="1144"/>
      <c r="R31" s="1144"/>
      <c r="S31" s="1144"/>
      <c r="T31" s="1144"/>
      <c r="U31" s="1144"/>
      <c r="V31" s="1144"/>
      <c r="W31" s="1144"/>
      <c r="X31" s="1144"/>
      <c r="Y31" s="1144"/>
      <c r="Z31" s="1144"/>
      <c r="AA31" s="1144"/>
      <c r="AB31" s="1144"/>
      <c r="AC31" s="1144"/>
      <c r="AD31" s="1144"/>
      <c r="AE31" s="1144"/>
      <c r="AF31" s="1144"/>
      <c r="AG31" s="1144"/>
      <c r="AH31" s="1144"/>
      <c r="AI31" s="1144"/>
    </row>
    <row r="32" spans="1:37" s="1142" customFormat="1">
      <c r="A32" s="1124"/>
      <c r="B32" s="1168"/>
      <c r="C32" s="1168"/>
      <c r="D32" s="1168"/>
      <c r="E32" s="616"/>
      <c r="F32" s="1125"/>
      <c r="G32" s="792"/>
      <c r="H32" s="792"/>
      <c r="I32" s="792"/>
      <c r="K32" s="1144"/>
      <c r="L32" s="1144"/>
      <c r="M32" s="1144"/>
      <c r="N32" s="1144"/>
      <c r="O32" s="1144"/>
      <c r="P32" s="1144"/>
      <c r="Q32" s="1144"/>
      <c r="R32" s="1144"/>
      <c r="S32" s="1144"/>
      <c r="T32" s="1144"/>
      <c r="U32" s="1144"/>
      <c r="V32" s="1144"/>
      <c r="W32" s="1144"/>
      <c r="X32" s="1144"/>
      <c r="Y32" s="1144"/>
      <c r="Z32" s="1144"/>
      <c r="AA32" s="1144"/>
      <c r="AB32" s="1144"/>
      <c r="AC32" s="1144"/>
      <c r="AD32" s="1144"/>
      <c r="AE32" s="1144"/>
      <c r="AF32" s="1144"/>
      <c r="AG32" s="1144"/>
      <c r="AH32" s="1144"/>
      <c r="AI32" s="1144"/>
    </row>
    <row r="33" spans="1:35" s="1142" customFormat="1">
      <c r="A33" s="1124"/>
      <c r="B33" s="1168"/>
      <c r="C33" s="1168"/>
      <c r="D33" s="1168"/>
      <c r="E33" s="616"/>
      <c r="F33" s="1125"/>
      <c r="G33" s="792"/>
      <c r="H33" s="792"/>
      <c r="I33" s="792"/>
      <c r="K33" s="1144"/>
      <c r="L33" s="1144"/>
      <c r="M33" s="1144"/>
      <c r="N33" s="1144"/>
      <c r="O33" s="1144"/>
      <c r="P33" s="1144"/>
      <c r="Q33" s="1144"/>
      <c r="R33" s="1144"/>
      <c r="S33" s="1144"/>
      <c r="T33" s="1144"/>
      <c r="U33" s="1144"/>
      <c r="V33" s="1144"/>
      <c r="W33" s="1144"/>
      <c r="X33" s="1144"/>
      <c r="Y33" s="1144"/>
      <c r="Z33" s="1144"/>
      <c r="AA33" s="1144"/>
      <c r="AB33" s="1144"/>
      <c r="AC33" s="1144"/>
      <c r="AD33" s="1144"/>
      <c r="AE33" s="1144"/>
      <c r="AF33" s="1144"/>
      <c r="AG33" s="1144"/>
      <c r="AH33" s="1144"/>
      <c r="AI33" s="1144"/>
    </row>
    <row r="34" spans="1:35" s="1142" customFormat="1">
      <c r="A34" s="1124"/>
      <c r="B34" s="1168"/>
      <c r="C34" s="1168"/>
      <c r="D34" s="1168"/>
      <c r="E34" s="616"/>
      <c r="F34" s="1125"/>
      <c r="G34" s="792"/>
      <c r="H34" s="792"/>
      <c r="I34" s="1168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144"/>
      <c r="V34" s="1144"/>
      <c r="W34" s="1144"/>
      <c r="X34" s="1144"/>
      <c r="Y34" s="1144"/>
      <c r="Z34" s="1144"/>
      <c r="AA34" s="1144"/>
      <c r="AB34" s="1144"/>
      <c r="AC34" s="1144"/>
      <c r="AD34" s="1144"/>
      <c r="AE34" s="1144"/>
      <c r="AF34" s="1144"/>
      <c r="AG34" s="1144"/>
      <c r="AH34" s="1144"/>
      <c r="AI34" s="1144"/>
    </row>
    <row r="35" spans="1:35" s="1142" customFormat="1">
      <c r="A35" s="1124"/>
      <c r="B35" s="1168"/>
      <c r="C35" s="1168"/>
      <c r="D35" s="1168"/>
      <c r="E35" s="1168"/>
      <c r="F35" s="1125"/>
      <c r="G35" s="792"/>
      <c r="H35" s="792"/>
      <c r="I35" s="1168"/>
      <c r="K35" s="1144"/>
      <c r="L35" s="1144"/>
      <c r="M35" s="1144"/>
      <c r="N35" s="1144"/>
      <c r="O35" s="1144"/>
      <c r="P35" s="1144"/>
      <c r="Q35" s="1144"/>
      <c r="R35" s="1144"/>
      <c r="S35" s="1144"/>
      <c r="T35" s="1144"/>
      <c r="U35" s="1144"/>
      <c r="V35" s="1144"/>
      <c r="W35" s="1144"/>
      <c r="X35" s="1144"/>
      <c r="Y35" s="1144"/>
      <c r="Z35" s="1144"/>
      <c r="AA35" s="1144"/>
      <c r="AB35" s="1144"/>
      <c r="AC35" s="1144"/>
      <c r="AD35" s="1144"/>
      <c r="AE35" s="1144"/>
      <c r="AF35" s="1144"/>
      <c r="AG35" s="1144"/>
      <c r="AH35" s="1144"/>
      <c r="AI35" s="1144"/>
    </row>
    <row r="36" spans="1:35" s="1142" customFormat="1">
      <c r="A36" s="1124"/>
      <c r="B36" s="1168"/>
      <c r="C36" s="1168"/>
      <c r="D36" s="1168"/>
      <c r="E36" s="1168"/>
      <c r="F36" s="1125"/>
      <c r="G36" s="792"/>
      <c r="H36" s="792"/>
      <c r="I36" s="1168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144"/>
      <c r="V36" s="1144"/>
      <c r="W36" s="1144"/>
      <c r="X36" s="1144"/>
      <c r="Y36" s="1144"/>
      <c r="Z36" s="1144"/>
      <c r="AA36" s="1144"/>
      <c r="AB36" s="1144"/>
      <c r="AC36" s="1144"/>
      <c r="AD36" s="1144"/>
      <c r="AE36" s="1144"/>
      <c r="AF36" s="1144"/>
      <c r="AG36" s="1144"/>
      <c r="AH36" s="1144"/>
      <c r="AI36" s="1144"/>
    </row>
    <row r="37" spans="1:35" s="1142" customFormat="1">
      <c r="A37" s="1124"/>
      <c r="B37" s="1168"/>
      <c r="C37" s="1168"/>
      <c r="D37" s="1168"/>
      <c r="E37" s="1168"/>
      <c r="F37" s="1125"/>
      <c r="G37" s="792"/>
      <c r="H37" s="792"/>
      <c r="I37" s="1168"/>
      <c r="K37" s="1144"/>
      <c r="L37" s="1144"/>
      <c r="M37" s="1144"/>
      <c r="N37" s="1144"/>
      <c r="O37" s="1144"/>
      <c r="P37" s="1144"/>
      <c r="Q37" s="1144"/>
      <c r="R37" s="1144"/>
      <c r="S37" s="1144"/>
      <c r="T37" s="1144"/>
      <c r="U37" s="1144"/>
      <c r="V37" s="1144"/>
      <c r="W37" s="1144"/>
      <c r="X37" s="1144"/>
      <c r="Y37" s="1144"/>
      <c r="Z37" s="1144"/>
      <c r="AA37" s="1144"/>
      <c r="AB37" s="1144"/>
      <c r="AC37" s="1144"/>
      <c r="AD37" s="1144"/>
      <c r="AE37" s="1144"/>
      <c r="AF37" s="1144"/>
      <c r="AG37" s="1144"/>
      <c r="AH37" s="1144"/>
      <c r="AI37" s="1144"/>
    </row>
    <row r="38" spans="1:35" s="1142" customFormat="1">
      <c r="A38" s="1124"/>
      <c r="B38" s="1168"/>
      <c r="C38" s="1168"/>
      <c r="D38" s="1168"/>
      <c r="E38" s="1168"/>
      <c r="F38" s="1125"/>
      <c r="G38" s="792"/>
      <c r="H38" s="792"/>
      <c r="I38" s="1168"/>
      <c r="K38" s="1144"/>
      <c r="L38" s="1144"/>
      <c r="M38" s="1144"/>
      <c r="N38" s="1144"/>
      <c r="O38" s="1144"/>
      <c r="P38" s="1144"/>
      <c r="Q38" s="1144"/>
      <c r="R38" s="1144"/>
      <c r="S38" s="1144"/>
      <c r="T38" s="1144"/>
      <c r="U38" s="1144"/>
      <c r="V38" s="1144"/>
      <c r="W38" s="1144"/>
      <c r="X38" s="1144"/>
      <c r="Y38" s="1144"/>
      <c r="Z38" s="1144"/>
      <c r="AA38" s="1144"/>
      <c r="AB38" s="1144"/>
      <c r="AC38" s="1144"/>
      <c r="AD38" s="1144"/>
      <c r="AE38" s="1144"/>
      <c r="AF38" s="1144"/>
      <c r="AG38" s="1144"/>
      <c r="AH38" s="1144"/>
      <c r="AI38" s="1144"/>
    </row>
    <row r="39" spans="1:35" s="1142" customFormat="1">
      <c r="A39" s="1124"/>
      <c r="B39" s="1168"/>
      <c r="C39" s="1168"/>
      <c r="D39" s="1168"/>
      <c r="E39" s="1168"/>
      <c r="F39" s="1125"/>
      <c r="G39" s="792"/>
      <c r="H39" s="792"/>
      <c r="I39" s="1168"/>
      <c r="K39" s="1144"/>
      <c r="L39" s="1144"/>
      <c r="M39" s="1144"/>
      <c r="N39" s="1144"/>
      <c r="O39" s="1144"/>
      <c r="P39" s="1144"/>
      <c r="Q39" s="1144"/>
      <c r="R39" s="1144"/>
      <c r="S39" s="1144"/>
      <c r="T39" s="1144"/>
      <c r="U39" s="1144"/>
      <c r="V39" s="1144"/>
      <c r="W39" s="1144"/>
      <c r="X39" s="1144"/>
      <c r="Y39" s="1144"/>
      <c r="Z39" s="1144"/>
      <c r="AA39" s="1144"/>
      <c r="AB39" s="1144"/>
      <c r="AC39" s="1144"/>
      <c r="AD39" s="1144"/>
      <c r="AE39" s="1144"/>
      <c r="AF39" s="1144"/>
      <c r="AG39" s="1144"/>
      <c r="AH39" s="1144"/>
      <c r="AI39" s="1144"/>
    </row>
    <row r="40" spans="1:35" s="1142" customFormat="1">
      <c r="A40" s="1124"/>
      <c r="B40" s="1168"/>
      <c r="C40" s="1168"/>
      <c r="D40" s="1168"/>
      <c r="E40" s="1168"/>
      <c r="F40" s="1125"/>
      <c r="G40" s="792"/>
      <c r="H40" s="792"/>
      <c r="I40" s="1168"/>
      <c r="K40" s="1144"/>
      <c r="L40" s="1144"/>
      <c r="M40" s="1144"/>
      <c r="N40" s="1144"/>
      <c r="O40" s="1144"/>
      <c r="P40" s="1144"/>
      <c r="Q40" s="1144"/>
      <c r="R40" s="1144"/>
      <c r="S40" s="1144"/>
      <c r="T40" s="1144"/>
      <c r="U40" s="1144"/>
      <c r="V40" s="1144"/>
      <c r="W40" s="1144"/>
      <c r="X40" s="1144"/>
      <c r="Y40" s="1144"/>
      <c r="Z40" s="1144"/>
      <c r="AA40" s="1144"/>
      <c r="AB40" s="1144"/>
      <c r="AC40" s="1144"/>
      <c r="AD40" s="1144"/>
      <c r="AE40" s="1144"/>
      <c r="AF40" s="1144"/>
      <c r="AG40" s="1144"/>
      <c r="AH40" s="1144"/>
      <c r="AI40" s="1144"/>
    </row>
    <row r="41" spans="1:35" s="1142" customFormat="1">
      <c r="A41" s="1124"/>
      <c r="B41" s="1168"/>
      <c r="C41" s="1168"/>
      <c r="D41" s="1168"/>
      <c r="E41" s="1168"/>
      <c r="F41" s="1125"/>
      <c r="G41" s="792"/>
      <c r="H41" s="792"/>
      <c r="I41" s="1168"/>
      <c r="K41" s="1144"/>
      <c r="L41" s="1144"/>
      <c r="M41" s="1144"/>
      <c r="N41" s="1144"/>
      <c r="O41" s="1144"/>
      <c r="P41" s="1144"/>
      <c r="Q41" s="1144"/>
      <c r="R41" s="1144"/>
      <c r="S41" s="1144"/>
      <c r="T41" s="1144"/>
      <c r="U41" s="1144"/>
      <c r="V41" s="1144"/>
      <c r="W41" s="1144"/>
      <c r="X41" s="1144"/>
      <c r="Y41" s="1144"/>
      <c r="Z41" s="1144"/>
      <c r="AA41" s="1144"/>
      <c r="AB41" s="1144"/>
      <c r="AC41" s="1144"/>
      <c r="AD41" s="1144"/>
      <c r="AE41" s="1144"/>
      <c r="AF41" s="1144"/>
      <c r="AG41" s="1144"/>
      <c r="AH41" s="1144"/>
      <c r="AI41" s="1144"/>
    </row>
    <row r="42" spans="1:35" s="1142" customFormat="1">
      <c r="A42" s="1124"/>
      <c r="B42" s="1168"/>
      <c r="C42" s="1168"/>
      <c r="D42" s="1168"/>
      <c r="E42" s="1168"/>
      <c r="F42" s="1125"/>
      <c r="G42" s="792"/>
      <c r="H42" s="792"/>
      <c r="I42" s="1168"/>
      <c r="K42" s="1144"/>
      <c r="L42" s="1144"/>
      <c r="M42" s="1144"/>
      <c r="N42" s="1144"/>
      <c r="O42" s="1144"/>
      <c r="P42" s="1144"/>
      <c r="Q42" s="1144"/>
      <c r="R42" s="1144"/>
      <c r="S42" s="1144"/>
      <c r="T42" s="1144"/>
      <c r="U42" s="1144"/>
      <c r="V42" s="1144"/>
      <c r="W42" s="1144"/>
      <c r="X42" s="1144"/>
      <c r="Y42" s="1144"/>
      <c r="Z42" s="1144"/>
      <c r="AA42" s="1144"/>
      <c r="AB42" s="1144"/>
      <c r="AC42" s="1144"/>
      <c r="AD42" s="1144"/>
      <c r="AE42" s="1144"/>
      <c r="AF42" s="1144"/>
      <c r="AG42" s="1144"/>
      <c r="AH42" s="1144"/>
      <c r="AI42" s="1144"/>
    </row>
    <row r="43" spans="1:35" s="1142" customFormat="1">
      <c r="A43" s="1124"/>
      <c r="B43" s="1168"/>
      <c r="C43" s="1168"/>
      <c r="D43" s="1168"/>
      <c r="E43" s="1168"/>
      <c r="F43" s="1125"/>
      <c r="G43" s="792"/>
      <c r="H43" s="792"/>
      <c r="I43" s="792"/>
      <c r="K43" s="1144"/>
      <c r="L43" s="1144"/>
      <c r="M43" s="1144"/>
      <c r="N43" s="1144"/>
      <c r="O43" s="1144"/>
      <c r="P43" s="1144"/>
      <c r="Q43" s="1144"/>
      <c r="R43" s="1144"/>
      <c r="S43" s="1144"/>
      <c r="T43" s="1144"/>
      <c r="U43" s="1144"/>
      <c r="V43" s="1144"/>
      <c r="W43" s="1144"/>
      <c r="X43" s="1144"/>
      <c r="Y43" s="1144"/>
      <c r="Z43" s="1144"/>
      <c r="AA43" s="1144"/>
      <c r="AB43" s="1144"/>
      <c r="AC43" s="1144"/>
      <c r="AD43" s="1144"/>
      <c r="AE43" s="1144"/>
      <c r="AF43" s="1144"/>
      <c r="AG43" s="1144"/>
      <c r="AH43" s="1144"/>
      <c r="AI43" s="1144"/>
    </row>
    <row r="44" spans="1:35" s="1142" customFormat="1">
      <c r="B44" s="1125"/>
      <c r="C44" s="1125"/>
      <c r="D44" s="1125"/>
      <c r="E44" s="1125"/>
      <c r="F44" s="792"/>
      <c r="G44" s="792"/>
      <c r="H44" s="792"/>
      <c r="I44" s="792"/>
      <c r="K44" s="1144"/>
      <c r="L44" s="1144"/>
      <c r="M44" s="1144"/>
      <c r="N44" s="1144"/>
      <c r="O44" s="1144"/>
      <c r="P44" s="1144"/>
      <c r="Q44" s="1144"/>
      <c r="R44" s="1144"/>
      <c r="S44" s="1144"/>
      <c r="T44" s="1144"/>
      <c r="U44" s="1144"/>
      <c r="V44" s="1144"/>
      <c r="W44" s="1144"/>
      <c r="X44" s="1144"/>
      <c r="Y44" s="1144"/>
      <c r="Z44" s="1144"/>
      <c r="AA44" s="1144"/>
      <c r="AB44" s="1144"/>
      <c r="AC44" s="1144"/>
      <c r="AD44" s="1144"/>
      <c r="AE44" s="1144"/>
      <c r="AF44" s="1144"/>
      <c r="AG44" s="1144"/>
      <c r="AH44" s="1144"/>
      <c r="AI44" s="1144"/>
    </row>
    <row r="45" spans="1:35" s="1142" customFormat="1">
      <c r="B45" s="792"/>
      <c r="C45" s="792"/>
      <c r="D45" s="792"/>
      <c r="E45" s="792"/>
      <c r="F45" s="792"/>
      <c r="G45" s="792"/>
      <c r="H45" s="792"/>
      <c r="I45" s="792"/>
      <c r="K45" s="1144"/>
      <c r="L45" s="1144"/>
      <c r="M45" s="1144"/>
      <c r="N45" s="1144"/>
      <c r="O45" s="1144"/>
      <c r="P45" s="1144"/>
      <c r="Q45" s="1144"/>
      <c r="R45" s="1144"/>
      <c r="S45" s="1144"/>
      <c r="T45" s="1144"/>
      <c r="U45" s="1144"/>
      <c r="V45" s="1144"/>
      <c r="W45" s="1144"/>
      <c r="X45" s="1144"/>
      <c r="Y45" s="1144"/>
      <c r="Z45" s="1144"/>
      <c r="AA45" s="1144"/>
      <c r="AB45" s="1144"/>
      <c r="AC45" s="1144"/>
      <c r="AD45" s="1144"/>
      <c r="AE45" s="1144"/>
      <c r="AF45" s="1144"/>
      <c r="AG45" s="1144"/>
      <c r="AH45" s="1144"/>
      <c r="AI45" s="1144"/>
    </row>
    <row r="46" spans="1:35" s="1142" customFormat="1">
      <c r="B46" s="792"/>
      <c r="C46" s="792"/>
      <c r="D46" s="792"/>
      <c r="E46" s="1126"/>
      <c r="F46" s="792"/>
      <c r="G46" s="792"/>
      <c r="H46" s="792"/>
      <c r="I46" s="1168"/>
      <c r="K46" s="1144"/>
      <c r="L46" s="1144"/>
      <c r="M46" s="1144"/>
      <c r="N46" s="1144"/>
      <c r="O46" s="1144"/>
      <c r="P46" s="1144"/>
      <c r="Q46" s="1144"/>
      <c r="R46" s="1144"/>
      <c r="S46" s="1144"/>
      <c r="T46" s="1144"/>
      <c r="U46" s="1144"/>
      <c r="V46" s="1144"/>
      <c r="W46" s="1144"/>
      <c r="X46" s="1144"/>
      <c r="Y46" s="1144"/>
      <c r="Z46" s="1144"/>
      <c r="AA46" s="1144"/>
      <c r="AB46" s="1144"/>
      <c r="AC46" s="1144"/>
      <c r="AD46" s="1144"/>
      <c r="AE46" s="1144"/>
      <c r="AF46" s="1144"/>
      <c r="AG46" s="1144"/>
      <c r="AH46" s="1144"/>
      <c r="AI46" s="1144"/>
    </row>
    <row r="47" spans="1:35" s="1142" customFormat="1">
      <c r="B47" s="792"/>
      <c r="C47" s="792"/>
      <c r="D47" s="792"/>
      <c r="E47" s="1126"/>
      <c r="F47" s="792"/>
      <c r="G47" s="792"/>
      <c r="H47" s="792"/>
      <c r="I47" s="1168"/>
      <c r="K47" s="1144"/>
      <c r="L47" s="1144"/>
      <c r="M47" s="1144"/>
      <c r="N47" s="1144"/>
      <c r="O47" s="1144"/>
      <c r="P47" s="1144"/>
      <c r="Q47" s="1144"/>
      <c r="R47" s="1144"/>
      <c r="S47" s="1144"/>
      <c r="T47" s="1144"/>
      <c r="U47" s="1144"/>
      <c r="V47" s="1144"/>
      <c r="W47" s="1144"/>
      <c r="X47" s="1144"/>
      <c r="Y47" s="1144"/>
      <c r="Z47" s="1144"/>
      <c r="AA47" s="1144"/>
      <c r="AB47" s="1144"/>
      <c r="AC47" s="1144"/>
      <c r="AD47" s="1144"/>
      <c r="AE47" s="1144"/>
      <c r="AF47" s="1144"/>
      <c r="AG47" s="1144"/>
      <c r="AH47" s="1144"/>
      <c r="AI47" s="1144"/>
    </row>
    <row r="48" spans="1:35">
      <c r="E48" s="259"/>
    </row>
    <row r="49" spans="5:9">
      <c r="E49" s="259"/>
    </row>
    <row r="50" spans="5:9">
      <c r="E50" s="259"/>
    </row>
    <row r="51" spans="5:9">
      <c r="E51" s="259"/>
    </row>
    <row r="52" spans="5:9">
      <c r="E52" s="259"/>
    </row>
    <row r="53" spans="5:9">
      <c r="E53" s="259"/>
    </row>
    <row r="54" spans="5:9">
      <c r="E54" s="259"/>
    </row>
    <row r="55" spans="5:9">
      <c r="E55" s="259"/>
    </row>
    <row r="56" spans="5:9">
      <c r="E56" s="259"/>
    </row>
    <row r="57" spans="5:9">
      <c r="E57" s="259"/>
      <c r="I57" s="1129"/>
    </row>
  </sheetData>
  <phoneticPr fontId="50" type="noConversion"/>
  <printOptions horizontalCentered="1"/>
  <pageMargins left="0.5" right="0.5" top="0.75" bottom="0.75" header="0.3" footer="0.3"/>
  <pageSetup scale="65" orientation="landscape" blackAndWhite="1" r:id="rId1"/>
  <headerFooter scaleWithDoc="0" alignWithMargins="0">
    <oddFooter xml:space="preserve">&amp;R&amp;"Times New Roman,Bold"Exhibit 3
Page 3 of 4
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3C43E-6C30-4731-BCB0-B8AFF205248A}">
  <sheetPr>
    <tabColor theme="5" tint="0.39997558519241921"/>
    <pageSetUpPr fitToPage="1"/>
  </sheetPr>
  <dimension ref="A1:V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12.140625" style="4" bestFit="1" customWidth="1"/>
    <col min="20" max="20" width="13.28515625" style="4" bestFit="1" customWidth="1"/>
    <col min="21" max="21" width="15.140625" style="4" bestFit="1" customWidth="1"/>
    <col min="22" max="16384" width="9.140625" style="4"/>
  </cols>
  <sheetData>
    <row r="1" spans="1:21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579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1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413</v>
      </c>
      <c r="D13" s="6">
        <v>376</v>
      </c>
      <c r="F13" s="274">
        <f>'202111 Bk Depr'!R13</f>
        <v>0</v>
      </c>
      <c r="H13" s="1">
        <f>1.62%/12</f>
        <v>1.3500000000000003E-3</v>
      </c>
      <c r="J13" s="278">
        <f t="shared" ref="J13:J18" si="0">F13*H13</f>
        <v>0</v>
      </c>
      <c r="L13" s="279">
        <f>'Cap&amp;OpEx 2021'!N10</f>
        <v>0</v>
      </c>
      <c r="N13" s="278">
        <f t="shared" ref="N13:N18" si="1">H13*L13*0.5</f>
        <v>0</v>
      </c>
      <c r="P13" s="278">
        <f t="shared" ref="P13:P18" si="2">J13+N13</f>
        <v>0</v>
      </c>
      <c r="R13" s="278">
        <f>L13+F13</f>
        <v>0</v>
      </c>
      <c r="T13" s="488">
        <v>0</v>
      </c>
      <c r="U13" s="390" t="s">
        <v>682</v>
      </c>
    </row>
    <row r="14" spans="1:21">
      <c r="A14" s="6">
        <f t="shared" ref="A14:A19" si="3">A13+1</f>
        <v>2</v>
      </c>
      <c r="B14" s="4"/>
      <c r="C14" s="4" t="s">
        <v>535</v>
      </c>
      <c r="D14" s="6">
        <v>367</v>
      </c>
      <c r="F14" s="274">
        <f>'202111 Bk Depr'!R14</f>
        <v>0</v>
      </c>
      <c r="H14" s="1">
        <f>2.05%/12</f>
        <v>1.7083333333333332E-3</v>
      </c>
      <c r="J14" s="278">
        <f t="shared" si="0"/>
        <v>0</v>
      </c>
      <c r="L14" s="279">
        <f>'Cap&amp;OpEx 2021'!N11</f>
        <v>0</v>
      </c>
      <c r="N14" s="278">
        <f t="shared" si="1"/>
        <v>0</v>
      </c>
      <c r="P14" s="278">
        <f t="shared" si="2"/>
        <v>0</v>
      </c>
      <c r="R14" s="278">
        <f t="shared" ref="R14:R18" si="4">L14+F14</f>
        <v>0</v>
      </c>
      <c r="S14" s="367"/>
      <c r="T14" s="488">
        <f>R14</f>
        <v>0</v>
      </c>
      <c r="U14" s="390" t="s">
        <v>664</v>
      </c>
    </row>
    <row r="15" spans="1:21">
      <c r="A15" s="6">
        <f t="shared" si="3"/>
        <v>3</v>
      </c>
      <c r="B15" s="4"/>
      <c r="C15" s="9" t="s">
        <v>62</v>
      </c>
      <c r="D15" s="6">
        <v>376</v>
      </c>
      <c r="F15" s="274">
        <f>'202111 Bk Depr'!R15</f>
        <v>0</v>
      </c>
      <c r="H15" s="1">
        <f>1.62%/12</f>
        <v>1.3500000000000003E-3</v>
      </c>
      <c r="J15" s="278">
        <f t="shared" si="0"/>
        <v>0</v>
      </c>
      <c r="L15" s="279">
        <f>'2021 Capital Budget'!P29</f>
        <v>0</v>
      </c>
      <c r="N15" s="278">
        <f t="shared" si="1"/>
        <v>0</v>
      </c>
      <c r="P15" s="278">
        <f t="shared" si="2"/>
        <v>0</v>
      </c>
      <c r="R15" s="278">
        <f t="shared" si="4"/>
        <v>0</v>
      </c>
      <c r="S15" s="367"/>
      <c r="T15" s="488">
        <v>0</v>
      </c>
      <c r="U15" s="390" t="s">
        <v>665</v>
      </c>
    </row>
    <row r="16" spans="1:21">
      <c r="A16" s="6">
        <f t="shared" si="3"/>
        <v>4</v>
      </c>
      <c r="B16" s="4"/>
      <c r="C16" s="9" t="s">
        <v>62</v>
      </c>
      <c r="D16" s="6">
        <v>380</v>
      </c>
      <c r="F16" s="274">
        <f>'202111 Bk Depr'!R16</f>
        <v>11206385.150000006</v>
      </c>
      <c r="H16" s="1">
        <f t="shared" ref="H16:H18" si="5">3.24%/12</f>
        <v>2.7000000000000006E-3</v>
      </c>
      <c r="J16" s="278">
        <f t="shared" si="0"/>
        <v>30257.239905000024</v>
      </c>
      <c r="L16" s="279">
        <f>'Cap&amp;OpEx 2021'!N12-L15</f>
        <v>155527.32999999999</v>
      </c>
      <c r="N16" s="278">
        <f t="shared" si="1"/>
        <v>209.96189550000003</v>
      </c>
      <c r="P16" s="278">
        <f t="shared" si="2"/>
        <v>30467.201800500025</v>
      </c>
      <c r="R16" s="278">
        <f t="shared" si="4"/>
        <v>11361912.480000006</v>
      </c>
      <c r="T16" s="488">
        <v>0</v>
      </c>
      <c r="U16" s="390" t="s">
        <v>667</v>
      </c>
    </row>
    <row r="17" spans="1:22">
      <c r="A17" s="6">
        <f t="shared" si="3"/>
        <v>5</v>
      </c>
      <c r="B17" s="4"/>
      <c r="C17" s="9" t="s">
        <v>63</v>
      </c>
      <c r="D17" s="6">
        <v>380</v>
      </c>
      <c r="F17" s="274">
        <f>'202111 Bk Depr'!R17</f>
        <v>0</v>
      </c>
      <c r="H17" s="1">
        <f t="shared" si="5"/>
        <v>2.7000000000000006E-3</v>
      </c>
      <c r="J17" s="278">
        <f t="shared" si="0"/>
        <v>0</v>
      </c>
      <c r="L17" s="279">
        <f>'Cap&amp;OpEx 2021'!N13</f>
        <v>0</v>
      </c>
      <c r="N17" s="278">
        <f t="shared" si="1"/>
        <v>0</v>
      </c>
      <c r="P17" s="278">
        <f t="shared" si="2"/>
        <v>0</v>
      </c>
      <c r="R17" s="278">
        <f t="shared" si="4"/>
        <v>0</v>
      </c>
      <c r="T17" s="488">
        <v>0</v>
      </c>
      <c r="U17" s="390" t="s">
        <v>668</v>
      </c>
    </row>
    <row r="18" spans="1:22">
      <c r="A18" s="6">
        <f t="shared" si="3"/>
        <v>6</v>
      </c>
      <c r="B18" s="4"/>
      <c r="C18" s="4" t="s">
        <v>160</v>
      </c>
      <c r="D18" s="6">
        <v>380</v>
      </c>
      <c r="F18" s="274">
        <f>'202111 Bk Depr'!R18</f>
        <v>32327742.700000003</v>
      </c>
      <c r="H18" s="1">
        <f t="shared" si="5"/>
        <v>2.7000000000000006E-3</v>
      </c>
      <c r="J18" s="278">
        <f t="shared" si="0"/>
        <v>87284.905290000024</v>
      </c>
      <c r="L18" s="280">
        <f>'Cap&amp;OpEx 2021'!N14</f>
        <v>684801.70000000007</v>
      </c>
      <c r="N18" s="278">
        <f t="shared" si="1"/>
        <v>924.48229500000025</v>
      </c>
      <c r="P18" s="278">
        <f t="shared" si="2"/>
        <v>88209.387585000019</v>
      </c>
      <c r="R18" s="278">
        <f t="shared" si="4"/>
        <v>33012544.400000002</v>
      </c>
      <c r="T18" s="488">
        <f>SUM(T13:T17)</f>
        <v>0</v>
      </c>
      <c r="U18" s="390" t="s">
        <v>3</v>
      </c>
    </row>
    <row r="19" spans="1:22">
      <c r="A19" s="6">
        <f t="shared" si="3"/>
        <v>7</v>
      </c>
      <c r="B19" s="4"/>
      <c r="C19" s="4" t="s">
        <v>21</v>
      </c>
      <c r="F19" s="276">
        <f>SUM(F13:F18)</f>
        <v>43534127.850000009</v>
      </c>
      <c r="J19" s="276">
        <f>SUM(J13:J18)</f>
        <v>117542.14519500005</v>
      </c>
      <c r="L19" s="276">
        <f>SUM(L13:L18)</f>
        <v>840329.03</v>
      </c>
      <c r="N19" s="276">
        <f>SUM(N13:N18)</f>
        <v>1134.4441905000003</v>
      </c>
      <c r="P19" s="276">
        <f>SUM(P13:P18)</f>
        <v>118676.58938550005</v>
      </c>
      <c r="R19" s="276">
        <f>SUM(R13:R18)</f>
        <v>44374456.88000001</v>
      </c>
      <c r="T19" s="488">
        <f>'Rev Req 2021-Trans'!R11</f>
        <v>0</v>
      </c>
      <c r="U19" s="390" t="s">
        <v>666</v>
      </c>
    </row>
    <row r="20" spans="1:22">
      <c r="B20" s="4"/>
      <c r="T20" s="489">
        <f>T18-T19</f>
        <v>0</v>
      </c>
      <c r="U20" s="390" t="s">
        <v>39</v>
      </c>
    </row>
    <row r="21" spans="1:22">
      <c r="B21" s="10" t="s">
        <v>12</v>
      </c>
      <c r="C21" s="10"/>
    </row>
    <row r="22" spans="1:22">
      <c r="A22" s="6">
        <f>A19+1</f>
        <v>8</v>
      </c>
      <c r="B22" s="4"/>
      <c r="C22" s="4" t="s">
        <v>413</v>
      </c>
      <c r="D22" s="6">
        <v>376</v>
      </c>
      <c r="F22" s="274">
        <f>'202111 Bk Depr'!R22</f>
        <v>0</v>
      </c>
      <c r="H22" s="528">
        <f>1.62%/12</f>
        <v>1.3500000000000003E-3</v>
      </c>
      <c r="J22" s="278">
        <f t="shared" ref="J22:J27" si="6">F22*H22</f>
        <v>0</v>
      </c>
      <c r="L22" s="279">
        <f>'Cap&amp;OpEx 2021'!N17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22">
      <c r="A23" s="6">
        <f t="shared" ref="A23:A28" si="9">A22+1</f>
        <v>9</v>
      </c>
      <c r="B23" s="4"/>
      <c r="C23" s="4" t="s">
        <v>535</v>
      </c>
      <c r="D23" s="6">
        <v>367</v>
      </c>
      <c r="F23" s="274">
        <f>'202111 Bk Depr'!R23</f>
        <v>0</v>
      </c>
      <c r="H23" s="528">
        <f>2.05%/12</f>
        <v>1.7083333333333332E-3</v>
      </c>
      <c r="J23" s="278">
        <f t="shared" si="6"/>
        <v>0</v>
      </c>
      <c r="L23" s="279">
        <f>'Cap&amp;OpEx 2021'!N18</f>
        <v>0</v>
      </c>
      <c r="N23" s="486">
        <f t="shared" ref="N23:N27" si="10">H23*L23*0.5</f>
        <v>0</v>
      </c>
      <c r="P23" s="278">
        <f t="shared" si="7"/>
        <v>0</v>
      </c>
      <c r="R23" s="278">
        <f t="shared" si="8"/>
        <v>0</v>
      </c>
    </row>
    <row r="24" spans="1:22">
      <c r="A24" s="6">
        <f t="shared" si="9"/>
        <v>10</v>
      </c>
      <c r="B24" s="4"/>
      <c r="C24" s="9" t="s">
        <v>62</v>
      </c>
      <c r="D24" s="6">
        <v>376</v>
      </c>
      <c r="F24" s="274">
        <f>'202111 Bk Depr'!R24</f>
        <v>0</v>
      </c>
      <c r="H24" s="528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22">
      <c r="A25" s="6">
        <f t="shared" si="9"/>
        <v>11</v>
      </c>
      <c r="B25" s="4"/>
      <c r="C25" s="9" t="s">
        <v>62</v>
      </c>
      <c r="D25" s="6">
        <v>380</v>
      </c>
      <c r="F25" s="274">
        <f>'202111 Bk Depr'!R25</f>
        <v>-492669.67999999959</v>
      </c>
      <c r="H25" s="528">
        <f>3.24%/12</f>
        <v>2.7000000000000006E-3</v>
      </c>
      <c r="J25" s="278">
        <f t="shared" si="6"/>
        <v>-1330.2081359999991</v>
      </c>
      <c r="L25" s="279">
        <f>'Cap&amp;OpEx 2021'!N19</f>
        <v>0</v>
      </c>
      <c r="N25" s="486">
        <f t="shared" si="10"/>
        <v>0</v>
      </c>
      <c r="P25" s="278">
        <f t="shared" si="7"/>
        <v>-1330.2081359999991</v>
      </c>
      <c r="R25" s="278">
        <f t="shared" si="8"/>
        <v>-492669.67999999959</v>
      </c>
    </row>
    <row r="26" spans="1:22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'202111 Bk Depr'!R26</f>
        <v>0</v>
      </c>
      <c r="G26" s="397"/>
      <c r="H26" s="529">
        <f>3.24%/12</f>
        <v>2.7000000000000006E-3</v>
      </c>
      <c r="I26" s="397"/>
      <c r="J26" s="274">
        <f t="shared" si="6"/>
        <v>0</v>
      </c>
      <c r="K26" s="397"/>
      <c r="L26" s="279">
        <f>'Cap&amp;OpEx 2021'!N20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22">
      <c r="A27" s="6">
        <f t="shared" si="9"/>
        <v>13</v>
      </c>
      <c r="B27" s="4"/>
      <c r="C27" s="9" t="s">
        <v>160</v>
      </c>
      <c r="D27" s="6">
        <v>380</v>
      </c>
      <c r="F27" s="274">
        <f>'202111 Bk Depr'!R27</f>
        <v>0</v>
      </c>
      <c r="H27" s="528">
        <f>3.24%/12</f>
        <v>2.7000000000000006E-3</v>
      </c>
      <c r="J27" s="278">
        <f t="shared" si="6"/>
        <v>0</v>
      </c>
      <c r="L27" s="280">
        <f>'Cap&amp;OpEx 2021'!N21</f>
        <v>0</v>
      </c>
      <c r="N27" s="486">
        <f t="shared" si="10"/>
        <v>0</v>
      </c>
      <c r="P27" s="278">
        <f t="shared" si="7"/>
        <v>0</v>
      </c>
      <c r="R27" s="278">
        <f t="shared" si="8"/>
        <v>0</v>
      </c>
    </row>
    <row r="28" spans="1:22">
      <c r="A28" s="6">
        <f t="shared" si="9"/>
        <v>14</v>
      </c>
      <c r="B28" s="4"/>
      <c r="C28" s="4" t="s">
        <v>22</v>
      </c>
      <c r="F28" s="276">
        <f>SUM(F22:F27)</f>
        <v>-492669.67999999959</v>
      </c>
      <c r="J28" s="276">
        <f>SUM(J22:J27)</f>
        <v>-1330.2081359999991</v>
      </c>
      <c r="L28" s="276">
        <f>SUM(L22:L27)</f>
        <v>0</v>
      </c>
      <c r="N28" s="276">
        <f>SUM(N22:N27)</f>
        <v>0</v>
      </c>
      <c r="P28" s="276">
        <f>SUM(P22:P27)</f>
        <v>-1330.2081359999991</v>
      </c>
      <c r="R28" s="276">
        <f>SUM(R22:R27)</f>
        <v>-492669.67999999959</v>
      </c>
    </row>
    <row r="29" spans="1:22">
      <c r="B29" s="4"/>
    </row>
    <row r="30" spans="1:22" s="414" customFormat="1" ht="16.5" thickBot="1">
      <c r="A30" s="6">
        <f>A28+1</f>
        <v>15</v>
      </c>
      <c r="B30" s="11" t="s">
        <v>18</v>
      </c>
      <c r="C30" s="11"/>
      <c r="D30" s="6"/>
      <c r="E30" s="6"/>
      <c r="F30" s="277">
        <f>F19+F28</f>
        <v>43041458.170000009</v>
      </c>
      <c r="G30" s="6"/>
      <c r="H30" s="4"/>
      <c r="I30" s="6"/>
      <c r="J30" s="277">
        <f>J19+J28</f>
        <v>116211.93705900005</v>
      </c>
      <c r="K30" s="6"/>
      <c r="L30" s="277">
        <f>L19+L28</f>
        <v>840329.03</v>
      </c>
      <c r="M30" s="6"/>
      <c r="N30" s="277">
        <f>N19+N28</f>
        <v>1134.4441905000003</v>
      </c>
      <c r="O30" s="6"/>
      <c r="P30" s="277">
        <f>P19+P28</f>
        <v>117346.38124950005</v>
      </c>
      <c r="Q30" s="6"/>
      <c r="R30" s="277">
        <f>R19+R28</f>
        <v>43881787.20000001</v>
      </c>
      <c r="U30" s="477">
        <f>'202112 Bk Depr'!R30-'202101 Bk Depr'!F30</f>
        <v>-104529315.85999998</v>
      </c>
      <c r="V30" s="414" t="s">
        <v>653</v>
      </c>
    </row>
    <row r="31" spans="1:22" ht="16.5" thickTop="1">
      <c r="B31" s="4"/>
      <c r="U31" s="478">
        <f>SUM('2021 Capital Budget'!E17:M17)</f>
        <v>10552839.770000001</v>
      </c>
      <c r="V31" s="4" t="s">
        <v>652</v>
      </c>
    </row>
    <row r="32" spans="1:22">
      <c r="B32" s="11" t="s">
        <v>19</v>
      </c>
      <c r="C32" s="11"/>
      <c r="U32" s="367">
        <f>SUM(U30:U31)</f>
        <v>-93976476.089999989</v>
      </c>
      <c r="V32" s="4" t="s">
        <v>3</v>
      </c>
    </row>
    <row r="33" spans="1:22">
      <c r="A33" s="6">
        <f>A30+1</f>
        <v>16</v>
      </c>
      <c r="B33" s="4"/>
      <c r="C33" s="4" t="s">
        <v>413</v>
      </c>
      <c r="D33" s="6">
        <v>376</v>
      </c>
      <c r="F33" s="274">
        <f>'202111 Bk Depr'!R33</f>
        <v>0</v>
      </c>
      <c r="J33" s="278"/>
      <c r="L33" s="279">
        <f>'Cap&amp;OpEx 2021'!N31</f>
        <v>0</v>
      </c>
      <c r="N33" s="278"/>
      <c r="P33" s="278"/>
      <c r="R33" s="278">
        <f t="shared" ref="R33:R38" si="11">L33+F33</f>
        <v>0</v>
      </c>
      <c r="U33" s="479">
        <f>SUM('Cap&amp;OpEx 2021'!O15,'Cap&amp;OpEx 2021'!O22)</f>
        <v>36889940.049999997</v>
      </c>
      <c r="V33" s="4" t="s">
        <v>651</v>
      </c>
    </row>
    <row r="34" spans="1:22">
      <c r="A34" s="6">
        <f t="shared" ref="A34:A39" si="12">A33+1</f>
        <v>17</v>
      </c>
      <c r="B34" s="4"/>
      <c r="C34" s="4" t="s">
        <v>535</v>
      </c>
      <c r="D34" s="6">
        <v>367</v>
      </c>
      <c r="F34" s="274">
        <f>'202111 Bk Depr'!R34</f>
        <v>0</v>
      </c>
      <c r="J34" s="278"/>
      <c r="L34" s="279">
        <f>'Cap&amp;OpEx 2021'!N32</f>
        <v>0</v>
      </c>
      <c r="N34" s="278"/>
      <c r="P34" s="278"/>
      <c r="R34" s="278">
        <f t="shared" si="11"/>
        <v>0</v>
      </c>
    </row>
    <row r="35" spans="1:22">
      <c r="A35" s="6">
        <f t="shared" si="12"/>
        <v>18</v>
      </c>
      <c r="B35" s="4"/>
      <c r="C35" s="9" t="s">
        <v>62</v>
      </c>
      <c r="D35" s="6">
        <v>376</v>
      </c>
      <c r="F35" s="274">
        <f>'202111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22">
      <c r="A36" s="6">
        <f t="shared" si="12"/>
        <v>19</v>
      </c>
      <c r="B36" s="4"/>
      <c r="C36" s="9" t="s">
        <v>62</v>
      </c>
      <c r="D36" s="6">
        <v>380</v>
      </c>
      <c r="F36" s="274">
        <f>'202111 Bk Depr'!R36</f>
        <v>3561724.33</v>
      </c>
      <c r="J36" s="278"/>
      <c r="L36" s="279">
        <f>'Cap&amp;OpEx 2021'!N33</f>
        <v>35715.370000000003</v>
      </c>
      <c r="N36" s="278"/>
      <c r="P36" s="278"/>
      <c r="R36" s="278">
        <f t="shared" si="11"/>
        <v>3597439.7</v>
      </c>
    </row>
    <row r="37" spans="1:22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'202111 Bk Depr'!R37</f>
        <v>0</v>
      </c>
      <c r="G37" s="397"/>
      <c r="I37" s="397"/>
      <c r="J37" s="274"/>
      <c r="K37" s="397"/>
      <c r="L37" s="279">
        <f>'Cap&amp;OpEx 2021'!N34</f>
        <v>0</v>
      </c>
      <c r="M37" s="397"/>
      <c r="N37" s="274"/>
      <c r="O37" s="397"/>
      <c r="P37" s="274"/>
      <c r="Q37" s="397"/>
      <c r="R37" s="274">
        <f t="shared" si="11"/>
        <v>0</v>
      </c>
    </row>
    <row r="38" spans="1:22">
      <c r="A38" s="6">
        <f t="shared" si="12"/>
        <v>21</v>
      </c>
      <c r="B38" s="4"/>
      <c r="C38" s="9" t="s">
        <v>160</v>
      </c>
      <c r="D38" s="6">
        <v>380</v>
      </c>
      <c r="F38" s="274">
        <f>'202111 Bk Depr'!R38</f>
        <v>6402.2</v>
      </c>
      <c r="J38" s="278"/>
      <c r="L38" s="280">
        <f>'Cap&amp;OpEx 2021'!N35</f>
        <v>0</v>
      </c>
      <c r="N38" s="278"/>
      <c r="P38" s="278"/>
      <c r="R38" s="278">
        <f t="shared" si="11"/>
        <v>6402.2</v>
      </c>
    </row>
    <row r="39" spans="1:22">
      <c r="A39" s="6">
        <f t="shared" si="12"/>
        <v>22</v>
      </c>
      <c r="B39" s="4"/>
      <c r="C39" s="4" t="s">
        <v>23</v>
      </c>
      <c r="F39" s="276">
        <f>SUM(F33:F38)</f>
        <v>3568126.5300000003</v>
      </c>
      <c r="J39" s="276">
        <f>SUM(J33:J38)</f>
        <v>0</v>
      </c>
      <c r="L39" s="276">
        <f>SUM(L33:L38)</f>
        <v>35715.370000000003</v>
      </c>
      <c r="N39" s="276">
        <f>SUM(N33:N38)</f>
        <v>0</v>
      </c>
      <c r="P39" s="276">
        <f>SUM(P33:P38)</f>
        <v>0</v>
      </c>
      <c r="R39" s="276">
        <f>SUM(R33:R38)</f>
        <v>3603841.9000000004</v>
      </c>
      <c r="T39" s="367"/>
    </row>
    <row r="42" spans="1:22">
      <c r="L42" s="383" t="s">
        <v>638</v>
      </c>
      <c r="M42" s="660"/>
      <c r="N42" s="383" t="s">
        <v>366</v>
      </c>
      <c r="O42" s="660"/>
      <c r="P42" s="661">
        <f>SUM(P13,P15:P18,P22,P24:P27)</f>
        <v>117346.38124950005</v>
      </c>
    </row>
    <row r="43" spans="1:22">
      <c r="L43" s="383"/>
      <c r="M43" s="660"/>
      <c r="N43" s="383" t="s">
        <v>379</v>
      </c>
      <c r="O43" s="660"/>
      <c r="P43" s="661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FC2AB-91F8-4A4A-9613-B1B977BE27BC}">
  <sheetPr>
    <tabColor theme="5" tint="0.39997558519241921"/>
    <pageSetUpPr fitToPage="1"/>
  </sheetPr>
  <dimension ref="A1:AH105"/>
  <sheetViews>
    <sheetView zoomScaleNormal="10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bestFit="1" customWidth="1"/>
    <col min="9" max="12" width="14.140625" style="52" customWidth="1"/>
    <col min="13" max="13" width="15" style="52" bestFit="1" customWidth="1"/>
    <col min="14" max="14" width="13.85546875" style="52" bestFit="1" customWidth="1"/>
    <col min="15" max="15" width="14.42578125" style="52" bestFit="1" customWidth="1"/>
    <col min="16" max="16" width="13.85546875" style="52" bestFit="1" customWidth="1"/>
    <col min="17" max="17" width="11.5703125" style="52" bestFit="1" customWidth="1"/>
    <col min="18" max="18" width="10.85546875" style="52" customWidth="1"/>
    <col min="19" max="19" width="11.42578125" style="52" customWidth="1"/>
    <col min="20" max="20" width="13.42578125" style="52" customWidth="1"/>
    <col min="21" max="21" width="11.140625" style="52" customWidth="1"/>
    <col min="22" max="22" width="14.85546875" style="52" customWidth="1"/>
    <col min="23" max="23" width="12" style="52" customWidth="1"/>
    <col min="24" max="24" width="9.140625" style="52"/>
    <col min="25" max="25" width="13.85546875" style="52" customWidth="1"/>
    <col min="26" max="26" width="15" style="52" bestFit="1" customWidth="1"/>
    <col min="27" max="27" width="12" style="52" bestFit="1" customWidth="1"/>
    <col min="28" max="28" width="10.140625" style="52" bestFit="1" customWidth="1"/>
    <col min="29" max="29" width="12.42578125" style="52" bestFit="1" customWidth="1"/>
    <col min="30" max="30" width="11.28515625" style="52" bestFit="1" customWidth="1"/>
    <col min="31" max="31" width="10.28515625" style="52" bestFit="1" customWidth="1"/>
    <col min="32" max="16384" width="9.140625" style="52"/>
  </cols>
  <sheetData>
    <row r="1" spans="1:31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</row>
    <row r="2" spans="1:31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1" ht="18.75">
      <c r="A3" s="191" t="s">
        <v>551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31">
      <c r="A4" s="53"/>
    </row>
    <row r="6" spans="1:31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155"/>
      <c r="N6" s="54"/>
      <c r="O6" s="54"/>
      <c r="P6" s="54"/>
      <c r="Q6" s="54"/>
      <c r="R6" s="54"/>
      <c r="S6" s="54"/>
      <c r="T6" s="54"/>
      <c r="U6" s="54"/>
      <c r="V6" s="54"/>
    </row>
    <row r="7" spans="1:31" ht="25.5">
      <c r="A7" s="54"/>
      <c r="B7" s="54"/>
      <c r="C7" s="55"/>
      <c r="D7" s="54" t="s">
        <v>25</v>
      </c>
      <c r="E7" s="55" t="s">
        <v>555</v>
      </c>
      <c r="F7" s="54"/>
      <c r="G7" s="54"/>
      <c r="H7" s="54"/>
      <c r="I7" s="54"/>
      <c r="J7" s="54"/>
      <c r="K7" s="54"/>
      <c r="L7" s="54"/>
      <c r="M7" s="54" t="s">
        <v>3</v>
      </c>
      <c r="N7" s="54" t="s">
        <v>35</v>
      </c>
      <c r="O7" s="54"/>
      <c r="P7" s="54"/>
      <c r="Q7" s="55" t="s">
        <v>178</v>
      </c>
      <c r="R7" s="55" t="s">
        <v>179</v>
      </c>
      <c r="S7" s="55" t="s">
        <v>184</v>
      </c>
      <c r="T7" s="55" t="s">
        <v>767</v>
      </c>
      <c r="U7" s="55" t="s">
        <v>186</v>
      </c>
      <c r="V7" s="54" t="s">
        <v>41</v>
      </c>
      <c r="W7" s="55" t="s">
        <v>161</v>
      </c>
      <c r="X7" s="55"/>
      <c r="Y7" s="55" t="s">
        <v>618</v>
      </c>
    </row>
    <row r="8" spans="1:31">
      <c r="A8" s="54" t="s">
        <v>4</v>
      </c>
      <c r="B8" s="54"/>
      <c r="C8" s="54"/>
      <c r="D8" s="54" t="s">
        <v>26</v>
      </c>
      <c r="E8" s="54" t="s">
        <v>556</v>
      </c>
      <c r="F8" s="54"/>
      <c r="G8" s="54"/>
      <c r="H8" s="54">
        <v>2017</v>
      </c>
      <c r="I8" s="54">
        <v>2018</v>
      </c>
      <c r="J8" s="54">
        <v>2019</v>
      </c>
      <c r="K8" s="54">
        <v>2020</v>
      </c>
      <c r="L8" s="54">
        <v>2021</v>
      </c>
      <c r="M8" s="54" t="s">
        <v>34</v>
      </c>
      <c r="N8" s="54" t="s">
        <v>36</v>
      </c>
      <c r="O8" s="54" t="s">
        <v>38</v>
      </c>
      <c r="P8" s="54"/>
      <c r="Q8" s="54" t="s">
        <v>34</v>
      </c>
      <c r="R8" s="54" t="s">
        <v>34</v>
      </c>
      <c r="S8" s="54" t="s">
        <v>185</v>
      </c>
      <c r="T8" s="577" t="s">
        <v>769</v>
      </c>
      <c r="U8" s="54" t="s">
        <v>187</v>
      </c>
      <c r="V8" s="54" t="s">
        <v>40</v>
      </c>
      <c r="W8" s="54" t="s">
        <v>234</v>
      </c>
      <c r="X8" s="54" t="s">
        <v>161</v>
      </c>
      <c r="Y8" s="54" t="s">
        <v>40</v>
      </c>
      <c r="AB8" s="54" t="s">
        <v>633</v>
      </c>
      <c r="AC8" s="54" t="s">
        <v>635</v>
      </c>
      <c r="AD8" s="54" t="s">
        <v>634</v>
      </c>
      <c r="AE8" s="54" t="s">
        <v>636</v>
      </c>
    </row>
    <row r="9" spans="1:31">
      <c r="A9" s="457" t="s">
        <v>5</v>
      </c>
      <c r="B9" s="457"/>
      <c r="C9" s="457"/>
      <c r="D9" s="457" t="s">
        <v>2</v>
      </c>
      <c r="E9" s="457" t="s">
        <v>557</v>
      </c>
      <c r="F9" s="457"/>
      <c r="G9" s="457" t="s">
        <v>105</v>
      </c>
      <c r="H9" s="457" t="s">
        <v>20</v>
      </c>
      <c r="I9" s="457" t="s">
        <v>20</v>
      </c>
      <c r="J9" s="457" t="s">
        <v>20</v>
      </c>
      <c r="K9" s="457" t="s">
        <v>20</v>
      </c>
      <c r="L9" s="457" t="s">
        <v>20</v>
      </c>
      <c r="M9" s="457" t="s">
        <v>0</v>
      </c>
      <c r="N9" s="457" t="s">
        <v>37</v>
      </c>
      <c r="O9" s="457" t="s">
        <v>0</v>
      </c>
      <c r="P9" s="457" t="s">
        <v>39</v>
      </c>
      <c r="Q9" s="56" t="s">
        <v>340</v>
      </c>
      <c r="R9" s="56" t="s">
        <v>183</v>
      </c>
      <c r="S9" s="56" t="s">
        <v>340</v>
      </c>
      <c r="T9" s="56" t="s">
        <v>768</v>
      </c>
      <c r="U9" s="56" t="s">
        <v>12</v>
      </c>
      <c r="V9" s="457" t="s">
        <v>42</v>
      </c>
      <c r="W9" s="56" t="s">
        <v>235</v>
      </c>
      <c r="X9" s="56" t="s">
        <v>236</v>
      </c>
      <c r="Y9" s="457" t="s">
        <v>42</v>
      </c>
      <c r="AB9" s="56" t="s">
        <v>20</v>
      </c>
      <c r="AC9" s="56" t="s">
        <v>20</v>
      </c>
      <c r="AD9" s="56" t="s">
        <v>20</v>
      </c>
      <c r="AE9" s="56" t="s">
        <v>637</v>
      </c>
    </row>
    <row r="10" spans="1:31">
      <c r="C10" s="57"/>
      <c r="D10" s="57" t="s">
        <v>69</v>
      </c>
      <c r="E10" s="57"/>
      <c r="F10" s="58"/>
      <c r="G10" s="58"/>
      <c r="H10" s="57" t="s">
        <v>163</v>
      </c>
      <c r="I10" s="57" t="s">
        <v>164</v>
      </c>
      <c r="J10" s="57" t="s">
        <v>165</v>
      </c>
      <c r="K10" s="57" t="s">
        <v>174</v>
      </c>
      <c r="L10" s="57" t="s">
        <v>210</v>
      </c>
    </row>
    <row r="11" spans="1:31">
      <c r="A11" s="52">
        <v>1</v>
      </c>
      <c r="C11" s="57" t="s">
        <v>68</v>
      </c>
      <c r="D11" s="59"/>
      <c r="E11" s="57"/>
      <c r="H11" s="231">
        <f>SUM('201707 Bk Depr'!L17,'201708 Bk Depr'!L17,'201709 Bk Depr'!L17,'201710 Bk Depr'!L17,'201711 Bk Depr'!L17,'201712 Bk Depr'!L17)-'Tax Depr 2020-Dist'!H12-'Tax Depr 2020-Dist'!H13</f>
        <v>8664070.7300000023</v>
      </c>
      <c r="I11" s="231">
        <f>SUM('201801 Bk Depr'!L17,'201802 Bk Depr'!L17,'201803 Bk Depr'!L17,'201804 Bk Depr'!L17,'201805 Bk Depr'!L17,'201806 Bk Depr'!L17,'201807 Bk Depr'!L17,'201808 Bk Depr'!L17,'201809 Bk Depr'!L17,'201810 Bk Depr'!L17,'201811 Bk Depr'!L17,'201812 Bk Depr'!L17)-'Tax Depr 2020-Dist'!I12-'Tax Depr 2020-Dist'!I13</f>
        <v>12433934.720000003</v>
      </c>
      <c r="J11" s="231">
        <f>SUM('201901 Bk Depr'!L17,'201902 Bk Depr'!L17,'201903 Bk Depr'!L17,'201904 Bk Depr'!L17,'201905 Bk Depr'!L17,'201906 Bk Depr'!L17,'201907 Bk Depr'!L17,'201908 Bk Depr'!L17,'201909 Bk Depr'!L17,'201910 Bk Depr'!L17,'201911 Bk Depr'!L17,'201912 Bk Depr'!L17)-J12-J13</f>
        <v>14207969.879999995</v>
      </c>
      <c r="K11" s="231">
        <f>SUM('202001 Bk Depr'!L13,'202001 Bk Depr'!L15:L18,'202002 Bk Depr'!L13,'202002 Bk Depr'!L15:L18,'202003 Bk Depr'!L13,'202003 Bk Depr'!L15:L18,'202004 Bk Depr'!L13,'202004 Bk Depr'!L15:L18,'202005 Bk Depr'!L13,'202005 Bk Depr'!L15:L18,'202006 Bk Depr'!L13,'202006 Bk Depr'!L15:L18,'202007 Bk Depr'!L13,'202007 Bk Depr'!L15:L18,'202008 Bk Depr'!L13,'202008 Bk Depr'!L15:L18,'202009 Bk Depr'!L13,'202009 Bk Depr'!L15:L18,'202010 Bk Depr'!L13,'202010 Bk Depr'!L15:L18,'202011 Bk Depr'!L13,'202011 Bk Depr'!L15:L18,'202012 Bk Depr'!L13,'202012 Bk Depr'!L15:L18)-K12-K13</f>
        <v>12186265.9</v>
      </c>
      <c r="L11" s="27">
        <f>SUM('202101 Bk Depr'!L13,'202101 Bk Depr'!L15:L18,'202102 Bk Depr'!L13,'202102 Bk Depr'!L15:L18,'202103 Bk Depr'!L13,'202103 Bk Depr'!L15:L18,'202104 Bk Depr'!L13,'202104 Bk Depr'!L15:L18,'202105 Bk Depr'!L13,'202105 Bk Depr'!L15:L18,'202106 Bk Depr'!L13,'202106 Bk Depr'!L15:L18,'202107 Bk Depr'!L13,'202107 Bk Depr'!L15:L18,'202108 Bk Depr'!L13,'202108 Bk Depr'!L15:L18,'202109 Bk Depr'!L13,'202109 Bk Depr'!L15:L18,'202110 Bk Depr'!L13,'202110 Bk Depr'!L15:L18,'202111 Bk Depr'!L13,'202111 Bk Depr'!L15:L18,'202112 Bk Depr'!L13,'202112 Bk Depr'!L15:L18)-L12-L13</f>
        <v>8764386.3499999996</v>
      </c>
      <c r="M11" s="573"/>
      <c r="N11" s="573"/>
    </row>
    <row r="12" spans="1:31">
      <c r="A12" s="52">
        <v>2</v>
      </c>
      <c r="C12" s="57" t="s">
        <v>72</v>
      </c>
      <c r="D12" s="59"/>
      <c r="E12" s="57"/>
      <c r="H12" s="231">
        <f>'Tax Depr 2017'!L12</f>
        <v>4210527.95</v>
      </c>
      <c r="I12" s="231">
        <f>'Tax Depr 2018'!H12</f>
        <v>5000082.9600000009</v>
      </c>
      <c r="J12" s="231">
        <f>'Tax Depr 2019'!I12</f>
        <v>6478540.9299999997</v>
      </c>
      <c r="K12" s="231">
        <f>'Tax Depr 2020-Dist'!K12</f>
        <v>4703450.4099999983</v>
      </c>
      <c r="L12" s="231">
        <f>SUM('2021 Capital Budget'!Q9:Q11,'2021 Capital Budget'!Q15:Q16)</f>
        <v>4028678.07</v>
      </c>
      <c r="M12" s="573"/>
      <c r="N12" s="573"/>
      <c r="Z12" s="403" t="s">
        <v>540</v>
      </c>
      <c r="AA12" s="468">
        <f>SUM('202101 Bk Depr'!L13,'202101 Bk Depr'!L15:L18,'202102 Bk Depr'!L13,'202102 Bk Depr'!L15:L18,'202103 Bk Depr'!L13,'202103 Bk Depr'!L15:L18,'202104 Bk Depr'!L13,'202104 Bk Depr'!L15:L18,'202105 Bk Depr'!L13,'202105 Bk Depr'!L15:L18,'202106 Bk Depr'!L13,'202106 Bk Depr'!L15:L18,'202107 Bk Depr'!L13,'202107 Bk Depr'!L15:L18,'202108 Bk Depr'!L13,'202108 Bk Depr'!L15:L18,'202109 Bk Depr'!L13,'202109 Bk Depr'!L15:L18,'202110 Bk Depr'!L13,'202110 Bk Depr'!L15:L18,'202111 Bk Depr'!L13,'202111 Bk Depr'!L15:L18,'202112 Bk Depr'!L13,'202112 Bk Depr'!L15:L18)-SUM(L11:L13)</f>
        <v>0</v>
      </c>
    </row>
    <row r="13" spans="1:31">
      <c r="A13" s="52">
        <v>3</v>
      </c>
      <c r="C13" s="57" t="s">
        <v>182</v>
      </c>
      <c r="D13" s="59"/>
      <c r="E13" s="57"/>
      <c r="H13" s="231">
        <f>'Tax Depr 2017'!L13</f>
        <v>4807381.1899999995</v>
      </c>
      <c r="I13" s="231">
        <f>'Tax Depr 2018'!H13</f>
        <v>0</v>
      </c>
      <c r="J13" s="231">
        <f>'Tax Depr 2019'!I13</f>
        <v>0</v>
      </c>
      <c r="K13" s="231">
        <f>'Tax Depr 2020-Dist'!K13</f>
        <v>0</v>
      </c>
      <c r="L13" s="231">
        <v>0</v>
      </c>
    </row>
    <row r="14" spans="1:31">
      <c r="C14" s="57"/>
      <c r="D14" s="59"/>
      <c r="E14" s="57"/>
      <c r="H14" s="231"/>
      <c r="I14" s="231"/>
      <c r="J14" s="231"/>
      <c r="K14" s="231"/>
      <c r="L14" s="231"/>
    </row>
    <row r="15" spans="1:31">
      <c r="A15" s="571" t="s">
        <v>764</v>
      </c>
      <c r="C15" s="57" t="s">
        <v>68</v>
      </c>
      <c r="D15" s="59"/>
      <c r="E15" s="57"/>
      <c r="H15" s="231">
        <f>4789044.39-H16-H17</f>
        <v>1255457.3249999995</v>
      </c>
      <c r="I15" s="231">
        <f>9825307.07-I16-I17</f>
        <v>4755556.1999999983</v>
      </c>
      <c r="J15" s="231">
        <f>11277346.45-J16-J17</f>
        <v>4801920.54</v>
      </c>
      <c r="K15" s="231">
        <f>9650094.04000001-K16-K17</f>
        <v>4929518.1200000104</v>
      </c>
      <c r="L15" s="231">
        <f>8832664.92999999-L16-L17</f>
        <v>4803986.8599999901</v>
      </c>
    </row>
    <row r="16" spans="1:31">
      <c r="A16" s="571" t="s">
        <v>765</v>
      </c>
      <c r="C16" s="57" t="s">
        <v>72</v>
      </c>
      <c r="D16" s="59"/>
      <c r="E16" s="57"/>
      <c r="H16" s="231">
        <v>2278129.7400000002</v>
      </c>
      <c r="I16" s="231">
        <v>5069750.870000002</v>
      </c>
      <c r="J16" s="231">
        <v>6475425.9099999992</v>
      </c>
      <c r="K16" s="231">
        <v>4720575.92</v>
      </c>
      <c r="L16" s="231">
        <v>4028678.0700000003</v>
      </c>
    </row>
    <row r="17" spans="1:34">
      <c r="A17" s="571" t="s">
        <v>766</v>
      </c>
      <c r="C17" s="57" t="s">
        <v>182</v>
      </c>
      <c r="E17" s="59"/>
      <c r="H17" s="231">
        <f>2510914.65*0.5</f>
        <v>1255457.325</v>
      </c>
      <c r="I17" s="231">
        <v>0</v>
      </c>
      <c r="J17" s="231">
        <v>0</v>
      </c>
      <c r="K17" s="231">
        <v>0</v>
      </c>
      <c r="L17" s="52">
        <v>0</v>
      </c>
      <c r="AA17" s="50"/>
      <c r="AB17" s="50"/>
      <c r="AC17" s="50"/>
      <c r="AD17" s="50"/>
    </row>
    <row r="18" spans="1:34">
      <c r="A18" s="571"/>
      <c r="C18" s="57"/>
      <c r="E18" s="59"/>
      <c r="H18" s="231"/>
      <c r="I18" s="231"/>
      <c r="J18" s="231"/>
      <c r="K18" s="231"/>
      <c r="AA18" s="50"/>
      <c r="AB18" s="50"/>
      <c r="AC18" s="50"/>
      <c r="AD18" s="50"/>
    </row>
    <row r="19" spans="1:34">
      <c r="C19" s="54" t="s">
        <v>561</v>
      </c>
      <c r="H19" s="195"/>
      <c r="I19" s="195"/>
      <c r="J19" s="195"/>
      <c r="K19" s="195"/>
      <c r="L19" s="195"/>
      <c r="M19" s="195"/>
      <c r="N19" s="195"/>
      <c r="O19" s="244"/>
      <c r="AA19" s="50"/>
      <c r="AB19" s="50"/>
      <c r="AC19" s="50"/>
      <c r="AD19" s="50"/>
    </row>
    <row r="20" spans="1:34">
      <c r="C20" s="54" t="s">
        <v>562</v>
      </c>
      <c r="H20" s="57" t="s">
        <v>163</v>
      </c>
      <c r="I20" s="57" t="s">
        <v>164</v>
      </c>
      <c r="J20" s="57" t="s">
        <v>165</v>
      </c>
      <c r="K20" s="57" t="s">
        <v>174</v>
      </c>
      <c r="L20" s="57" t="s">
        <v>210</v>
      </c>
      <c r="U20" s="27">
        <v>0</v>
      </c>
      <c r="V20" s="27">
        <f>U20+'Tax Depr 2020-Dist'!T28</f>
        <v>11553912.841375377</v>
      </c>
      <c r="Y20" s="231">
        <f>V20</f>
        <v>11553912.841375377</v>
      </c>
      <c r="AA20" s="50"/>
      <c r="AB20" s="50"/>
      <c r="AC20" s="50"/>
      <c r="AD20" s="50"/>
    </row>
    <row r="21" spans="1:34">
      <c r="A21" s="52">
        <f>A13+1</f>
        <v>4</v>
      </c>
      <c r="C21" s="61">
        <v>3.7499999999999999E-2</v>
      </c>
      <c r="D21" s="61">
        <v>0.05</v>
      </c>
      <c r="E21" s="156">
        <v>1</v>
      </c>
      <c r="G21" s="52">
        <v>1</v>
      </c>
      <c r="H21" s="231">
        <f t="shared" ref="H21:H26" si="0">$H$11*$C$25/12</f>
        <v>41248.196733741679</v>
      </c>
      <c r="I21" s="231">
        <f t="shared" ref="I21:I26" si="1">$I$11*$C$24/12</f>
        <v>64003.67897120001</v>
      </c>
      <c r="J21" s="231">
        <f t="shared" ref="J21:J26" si="2">$J$11*$C$23/12</f>
        <v>79055.512407299961</v>
      </c>
      <c r="K21" s="27">
        <f t="shared" ref="K21:K26" si="3">$K$11*$C$22/12</f>
        <v>73310.544610083336</v>
      </c>
      <c r="L21" s="27">
        <f>AE21</f>
        <v>32576.889135416663</v>
      </c>
      <c r="M21" s="231">
        <f>SUM(H21:L21)</f>
        <v>290194.82185774163</v>
      </c>
      <c r="N21" s="231">
        <f>SUM('202101 Bk Depr'!$L$33,'202101 Bk Depr'!$L$35:$L$38)</f>
        <v>431026.26</v>
      </c>
      <c r="O21" s="231">
        <f>SUM('202101 Bk Depr'!P13,'202101 Bk Depr'!P15:P18)</f>
        <v>188080.7821312501</v>
      </c>
      <c r="P21" s="231">
        <f>M21+N21-O21</f>
        <v>533140.29972649144</v>
      </c>
      <c r="Q21" s="231">
        <f t="shared" ref="Q21:Q27" si="4">P21*0.21</f>
        <v>111959.4629425632</v>
      </c>
      <c r="R21" s="231">
        <f t="shared" ref="R21:R26" si="5">Q71</f>
        <v>27801.372017094163</v>
      </c>
      <c r="S21" s="231">
        <f t="shared" ref="S21:S27" si="6">-R21*0.21</f>
        <v>-5838.2881235897739</v>
      </c>
      <c r="T21" s="231"/>
      <c r="U21" s="27">
        <v>0</v>
      </c>
      <c r="V21" s="231">
        <f>V20+Q21+R21+S21+U21</f>
        <v>11687835.388211446</v>
      </c>
      <c r="W21" s="231">
        <f>V21-V20</f>
        <v>133922.54683606885</v>
      </c>
      <c r="X21" s="247" t="s">
        <v>357</v>
      </c>
      <c r="Y21" s="231">
        <f>Y20+W21*335/365</f>
        <v>11676828.055594783</v>
      </c>
      <c r="AA21" s="50"/>
      <c r="AB21" s="156">
        <f>(((('202101 Bk Depr'!$L$19-'202101 Bk Depr'!$L$14-SUM('2021 Capital Budget'!$E$9:$E$11,'2021 Capital Budget'!$E$15:$E$16,'2021 Capital Budget'!$E$29)-(1/12*$L$13))*$C$21))/12)</f>
        <v>3208.8699687500007</v>
      </c>
      <c r="AC21" s="156">
        <f>SUM('2021 Capital Budget'!$E$9:$E$11,'2021 Capital Budget'!$E$15:$E$16,'2021 Capital Budget'!$E$29)*1/12</f>
        <v>29368.019166666661</v>
      </c>
      <c r="AD21" s="156">
        <f t="shared" ref="AD21:AD26" si="7">(1/12*$L$13)</f>
        <v>0</v>
      </c>
      <c r="AE21" s="156">
        <f>SUM(AB21:AD21)</f>
        <v>32576.889135416663</v>
      </c>
    </row>
    <row r="22" spans="1:34">
      <c r="A22" s="52">
        <f>A21+1</f>
        <v>5</v>
      </c>
      <c r="C22" s="61">
        <v>7.2190000000000004E-2</v>
      </c>
      <c r="D22" s="61">
        <v>9.5000000000000001E-2</v>
      </c>
      <c r="E22" s="156">
        <v>2</v>
      </c>
      <c r="G22" s="52">
        <v>2</v>
      </c>
      <c r="H22" s="231">
        <f t="shared" si="0"/>
        <v>41248.196733741679</v>
      </c>
      <c r="I22" s="231">
        <f t="shared" si="1"/>
        <v>64003.67897120001</v>
      </c>
      <c r="J22" s="231">
        <f t="shared" si="2"/>
        <v>79055.512407299961</v>
      </c>
      <c r="K22" s="27">
        <f t="shared" si="3"/>
        <v>73310.544610083336</v>
      </c>
      <c r="L22" s="27">
        <f t="shared" ref="L22:L26" si="8">AE22</f>
        <v>92498.774697916655</v>
      </c>
      <c r="M22" s="231">
        <f t="shared" ref="M22:M33" si="9">SUM(H22:L22)</f>
        <v>350116.70742024161</v>
      </c>
      <c r="N22" s="231">
        <f>SUM('202102 Bk Depr'!$L$33,'202102 Bk Depr'!$L$35:$L$38)</f>
        <v>325396.36</v>
      </c>
      <c r="O22" s="231">
        <f>SUM('202102 Bk Depr'!P13,'202102 Bk Depr'!P15:P18)</f>
        <v>191400.45103125009</v>
      </c>
      <c r="P22" s="231">
        <f t="shared" ref="P22:P33" si="10">M22+N22-O22</f>
        <v>484112.61638899159</v>
      </c>
      <c r="Q22" s="231">
        <f t="shared" si="4"/>
        <v>101663.64944168823</v>
      </c>
      <c r="R22" s="231">
        <f t="shared" si="5"/>
        <v>25349.987850219157</v>
      </c>
      <c r="S22" s="231">
        <f t="shared" si="6"/>
        <v>-5323.4974485460225</v>
      </c>
      <c r="T22" s="231"/>
      <c r="U22" s="27">
        <v>0</v>
      </c>
      <c r="V22" s="231">
        <f t="shared" ref="V22:V32" si="11">V21+Q22+R22+S22+U22</f>
        <v>11809525.528054805</v>
      </c>
      <c r="W22" s="231">
        <f t="shared" ref="W22:W33" si="12">V22-V21</f>
        <v>121690.13984335959</v>
      </c>
      <c r="X22" s="247" t="s">
        <v>358</v>
      </c>
      <c r="Y22" s="231">
        <f>Y21+W22*307/365</f>
        <v>11779181.132120568</v>
      </c>
      <c r="AA22" s="50"/>
      <c r="AB22" s="156">
        <f>(((('202101 Bk Depr'!$L$19-'202101 Bk Depr'!$L$14+'202102 Bk Depr'!$L$19-'202102 Bk Depr'!$L$14-SUM('2021 Capital Budget'!$E$9:$E$11,'2021 Capital Budget'!$E$15:$E$16,'2021 Capital Budget'!$E$29,'2021 Capital Budget'!$F$9:$F$11,'2021 Capital Budget'!$F$15:$F$16,'2021 Capital Budget'!$F$29)-(1/12*$L$13))*$C$21))*2/12)-AB21</f>
        <v>7887.3255312499987</v>
      </c>
      <c r="AC22" s="156">
        <f>SUM('2021 Capital Budget'!$E$9:$E$11,'2021 Capital Budget'!$E$15:$E$16,'2021 Capital Budget'!$E$29,'2021 Capital Budget'!$F$9:$F$11,'2021 Capital Budget'!$F$15:$F$16,'2021 Capital Budget'!$F$29)*2/12-AC21</f>
        <v>84611.449166666658</v>
      </c>
      <c r="AD22" s="156">
        <f t="shared" si="7"/>
        <v>0</v>
      </c>
      <c r="AE22" s="156">
        <f t="shared" ref="AE22:AE23" si="13">SUM(AB22:AD22)</f>
        <v>92498.774697916655</v>
      </c>
      <c r="AG22" s="468">
        <f>(('202102 Bk Depr'!$L$19-'202102 Bk Depr'!$L$14-SUM('2021 Capital Budget'!$F$9:$F$11,'2021 Capital Budget'!$F$15:$F$16)-(1/12*$L$13))*$C$21)+SUM('2021 Capital Budget'!$F$9:$F$11,'2021 Capital Budget'!$F$15:$F$16)+(1/12*$L$13)</f>
        <v>359285.50049999997</v>
      </c>
      <c r="AH22" s="403"/>
    </row>
    <row r="23" spans="1:34">
      <c r="A23" s="52">
        <f t="shared" ref="A23:A49" si="14">A22+1</f>
        <v>6</v>
      </c>
      <c r="C23" s="61">
        <v>6.6769999999999996E-2</v>
      </c>
      <c r="D23" s="61">
        <v>8.5500000000000007E-2</v>
      </c>
      <c r="E23" s="156">
        <v>3</v>
      </c>
      <c r="G23" s="52">
        <v>3</v>
      </c>
      <c r="H23" s="231">
        <f t="shared" si="0"/>
        <v>41248.196733741679</v>
      </c>
      <c r="I23" s="231">
        <f t="shared" si="1"/>
        <v>64003.67897120001</v>
      </c>
      <c r="J23" s="231">
        <f t="shared" si="2"/>
        <v>79055.512407299961</v>
      </c>
      <c r="K23" s="27">
        <f t="shared" si="3"/>
        <v>73310.544610083336</v>
      </c>
      <c r="L23" s="27">
        <f t="shared" si="8"/>
        <v>181134.82557291666</v>
      </c>
      <c r="M23" s="231">
        <f t="shared" si="9"/>
        <v>438752.75829524163</v>
      </c>
      <c r="N23" s="231">
        <f>SUM('202103 Bk Depr'!$L$33,'202103 Bk Depr'!$L$35:$L$38)</f>
        <v>448663.56</v>
      </c>
      <c r="O23" s="231">
        <f>SUM('202103 Bk Depr'!P13,'202103 Bk Depr'!P15:P18)</f>
        <v>195140.45363625008</v>
      </c>
      <c r="P23" s="231">
        <f t="shared" si="10"/>
        <v>692275.86465899146</v>
      </c>
      <c r="Q23" s="231">
        <f t="shared" si="4"/>
        <v>145377.9315783882</v>
      </c>
      <c r="R23" s="231">
        <f t="shared" si="5"/>
        <v>35758.150263719166</v>
      </c>
      <c r="S23" s="231">
        <f t="shared" si="6"/>
        <v>-7509.2115553810245</v>
      </c>
      <c r="T23" s="231"/>
      <c r="U23" s="27">
        <v>-47244.37</v>
      </c>
      <c r="V23" s="231">
        <f>V22+Q23+R23+S23+U23</f>
        <v>11935908.028341534</v>
      </c>
      <c r="W23" s="231">
        <f t="shared" si="12"/>
        <v>126382.50028672814</v>
      </c>
      <c r="X23" s="247" t="s">
        <v>359</v>
      </c>
      <c r="Y23" s="231">
        <f>Y22+W23*276/365</f>
        <v>11874747.077542862</v>
      </c>
      <c r="AA23" s="50"/>
      <c r="AB23" s="156">
        <f>(((('202101 Bk Depr'!$L$19-'202101 Bk Depr'!$L$14+'202102 Bk Depr'!$L$19-'202102 Bk Depr'!$L$14+'202103 Bk Depr'!$L$19-'202103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Budget'!$G$29)-(1/12*$L$13))*$C$21))*3/12)-AB22-AB21</f>
        <v>17394.928906249999</v>
      </c>
      <c r="AC23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Budget'!$G$29)*3/12-AC22-AC21</f>
        <v>163739.89666666667</v>
      </c>
      <c r="AD23" s="156">
        <f t="shared" si="7"/>
        <v>0</v>
      </c>
      <c r="AE23" s="156">
        <f t="shared" si="13"/>
        <v>181134.82557291666</v>
      </c>
      <c r="AG23" s="62"/>
    </row>
    <row r="24" spans="1:34">
      <c r="A24" s="52">
        <f t="shared" si="14"/>
        <v>7</v>
      </c>
      <c r="C24" s="61">
        <v>6.1769999999999999E-2</v>
      </c>
      <c r="D24" s="61">
        <v>7.6999999999999999E-2</v>
      </c>
      <c r="E24" s="156">
        <v>4</v>
      </c>
      <c r="G24" s="52">
        <v>4</v>
      </c>
      <c r="H24" s="231">
        <f t="shared" si="0"/>
        <v>41248.196733741679</v>
      </c>
      <c r="I24" s="231">
        <f t="shared" si="1"/>
        <v>64003.67897120001</v>
      </c>
      <c r="J24" s="231">
        <f t="shared" si="2"/>
        <v>79055.512407299961</v>
      </c>
      <c r="K24" s="27">
        <f t="shared" si="3"/>
        <v>73310.544610083336</v>
      </c>
      <c r="L24" s="27">
        <f t="shared" si="8"/>
        <v>254182.35438541663</v>
      </c>
      <c r="M24" s="231">
        <f t="shared" si="9"/>
        <v>511800.28710774158</v>
      </c>
      <c r="N24" s="231">
        <f>SUM('202104 Bk Depr'!$L$33,'202104 Bk Depr'!$L$35:$L$38)</f>
        <v>328140.51</v>
      </c>
      <c r="O24" s="231">
        <f>SUM('202104 Bk Depr'!P13,'202104 Bk Depr'!P15:P18)</f>
        <v>199386.21511800011</v>
      </c>
      <c r="P24" s="231">
        <f t="shared" si="10"/>
        <v>640554.58198974142</v>
      </c>
      <c r="Q24" s="231">
        <f t="shared" si="4"/>
        <v>134516.46221784569</v>
      </c>
      <c r="R24" s="231">
        <f t="shared" si="5"/>
        <v>33172.086130256663</v>
      </c>
      <c r="S24" s="231">
        <f t="shared" si="6"/>
        <v>-6966.1380873538992</v>
      </c>
      <c r="T24" s="231"/>
      <c r="U24" s="27">
        <v>0</v>
      </c>
      <c r="V24" s="231">
        <f t="shared" si="11"/>
        <v>12096630.43860228</v>
      </c>
      <c r="W24" s="231">
        <f t="shared" si="12"/>
        <v>160722.41026074626</v>
      </c>
      <c r="X24" s="247" t="s">
        <v>360</v>
      </c>
      <c r="Y24" s="231">
        <f>Y23+W24*246/365</f>
        <v>11983069.578704899</v>
      </c>
      <c r="AA24" s="50"/>
      <c r="AB24" s="156">
        <f>(((('202101 Bk Depr'!$L$19-'202101 Bk Depr'!$L$14+'202102 Bk Depr'!$L$19-'202102 Bk Depr'!$L$14+'202103 Bk Depr'!$L$19-'202103 Bk Depr'!$L$14+'202104 Bk Depr'!$L$19-'202104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Budget'!$H$29)-(1/12*$L$13))*$C$21))*4/12)-AB23-AB22-AB21</f>
        <v>22462.372718749994</v>
      </c>
      <c r="AC24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Budget'!$H$29)*4/12-AC23-AC22-AC21</f>
        <v>231719.98166666663</v>
      </c>
      <c r="AD24" s="156">
        <f t="shared" si="7"/>
        <v>0</v>
      </c>
      <c r="AE24" s="156">
        <f t="shared" ref="AE24:AE33" si="15">SUM(AB24:AD24)</f>
        <v>254182.35438541663</v>
      </c>
    </row>
    <row r="25" spans="1:34">
      <c r="A25" s="52">
        <f t="shared" si="14"/>
        <v>8</v>
      </c>
      <c r="C25" s="61">
        <v>5.713E-2</v>
      </c>
      <c r="D25" s="61">
        <v>6.93E-2</v>
      </c>
      <c r="E25" s="156">
        <v>5</v>
      </c>
      <c r="G25" s="52">
        <v>5</v>
      </c>
      <c r="H25" s="231">
        <f t="shared" si="0"/>
        <v>41248.196733741679</v>
      </c>
      <c r="I25" s="231">
        <f t="shared" si="1"/>
        <v>64003.67897120001</v>
      </c>
      <c r="J25" s="231">
        <f t="shared" si="2"/>
        <v>79055.512407299961</v>
      </c>
      <c r="K25" s="27">
        <f t="shared" si="3"/>
        <v>73310.544610083336</v>
      </c>
      <c r="L25" s="27">
        <f t="shared" si="8"/>
        <v>326355.32506250014</v>
      </c>
      <c r="M25" s="231">
        <f t="shared" si="9"/>
        <v>583973.25778482505</v>
      </c>
      <c r="N25" s="231">
        <f>SUM('202105 Bk Depr'!$L$33,'202105 Bk Depr'!$L$35:$L$38)</f>
        <v>251689.65000000002</v>
      </c>
      <c r="O25" s="231">
        <f>SUM('202105 Bk Depr'!P13,'202105 Bk Depr'!P15:P18)</f>
        <v>203316.2238307501</v>
      </c>
      <c r="P25" s="231">
        <f t="shared" si="10"/>
        <v>632346.68395407498</v>
      </c>
      <c r="Q25" s="231">
        <f t="shared" si="4"/>
        <v>132792.80363035575</v>
      </c>
      <c r="R25" s="231">
        <f t="shared" si="5"/>
        <v>32761.691228473341</v>
      </c>
      <c r="S25" s="231">
        <f t="shared" si="6"/>
        <v>-6879.9551579794015</v>
      </c>
      <c r="T25" s="231"/>
      <c r="U25" s="27">
        <v>0</v>
      </c>
      <c r="V25" s="231">
        <f t="shared" si="11"/>
        <v>12255304.978303129</v>
      </c>
      <c r="W25" s="231">
        <f t="shared" si="12"/>
        <v>158674.53970084898</v>
      </c>
      <c r="X25" s="247" t="s">
        <v>361</v>
      </c>
      <c r="Y25" s="231">
        <f>Y24+W25*215/365</f>
        <v>12076535.403460193</v>
      </c>
      <c r="AA25" s="50"/>
      <c r="AB25" s="156">
        <f>(((('202101 Bk Depr'!$L$19-'202101 Bk Depr'!$L$14+'202102 Bk Depr'!$L$19-'202102 Bk Depr'!$L$14+'202103 Bk Depr'!$L$19-'202103 Bk Depr'!$L$14+'202104 Bk Depr'!$L$19-'202104 Bk Depr'!$L$14+'202105 Bk Depr'!$L$19-'202105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Budget'!$I$29)-(1/12*$L$13))*$C$21))*5/12)-AB24-AB23-AB22-AB21</f>
        <v>29130.080062500016</v>
      </c>
      <c r="AC25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Budget'!$I$29)*5/12-AC24-AC23-AC22-AC21</f>
        <v>297225.24500000011</v>
      </c>
      <c r="AD25" s="156">
        <f t="shared" si="7"/>
        <v>0</v>
      </c>
      <c r="AE25" s="156">
        <f>SUM(AB25:AD25)</f>
        <v>326355.32506250014</v>
      </c>
    </row>
    <row r="26" spans="1:34">
      <c r="A26" s="52">
        <f t="shared" si="14"/>
        <v>9</v>
      </c>
      <c r="C26" s="61">
        <v>5.2850000000000001E-2</v>
      </c>
      <c r="D26" s="61">
        <v>6.2300000000000001E-2</v>
      </c>
      <c r="E26" s="156">
        <v>6</v>
      </c>
      <c r="G26" s="52">
        <v>6</v>
      </c>
      <c r="H26" s="231">
        <f t="shared" si="0"/>
        <v>41248.196733741679</v>
      </c>
      <c r="I26" s="231">
        <f t="shared" si="1"/>
        <v>64003.67897120001</v>
      </c>
      <c r="J26" s="231">
        <f t="shared" si="2"/>
        <v>79055.512407299961</v>
      </c>
      <c r="K26" s="27">
        <f t="shared" si="3"/>
        <v>73310.544610083336</v>
      </c>
      <c r="L26" s="27">
        <f t="shared" si="8"/>
        <v>377293.67814583337</v>
      </c>
      <c r="M26" s="231">
        <f t="shared" si="9"/>
        <v>634911.61086815828</v>
      </c>
      <c r="N26" s="231">
        <f>SUM('202106 Bk Depr'!$L$33,'202106 Bk Depr'!$L$35:$L$38)</f>
        <v>279281.12</v>
      </c>
      <c r="O26" s="231">
        <f>SUM('202106 Bk Depr'!P13,'202106 Bk Depr'!P15:P18)</f>
        <v>207220.16911950012</v>
      </c>
      <c r="P26" s="231">
        <f t="shared" si="10"/>
        <v>706972.56174865819</v>
      </c>
      <c r="Q26" s="231">
        <f t="shared" si="4"/>
        <v>148464.23796721821</v>
      </c>
      <c r="R26" s="231">
        <f t="shared" si="5"/>
        <v>36492.985118202501</v>
      </c>
      <c r="S26" s="231">
        <f t="shared" si="6"/>
        <v>-7663.5268748225253</v>
      </c>
      <c r="T26" s="231"/>
      <c r="U26" s="27">
        <v>0</v>
      </c>
      <c r="V26" s="231">
        <f t="shared" si="11"/>
        <v>12432598.674513727</v>
      </c>
      <c r="W26" s="231">
        <f t="shared" si="12"/>
        <v>177293.69621059857</v>
      </c>
      <c r="X26" s="247" t="s">
        <v>356</v>
      </c>
      <c r="Y26" s="231">
        <f>Y25+W26*185/365</f>
        <v>12166396.591950497</v>
      </c>
      <c r="AA26" s="50"/>
      <c r="AB26" s="156">
        <f>(((('202101 Bk Depr'!$L$19-'202101 Bk Depr'!$L$14+'202102 Bk Depr'!$L$19-'202102 Bk Depr'!$L$14+'202103 Bk Depr'!$L$19-'202103 Bk Depr'!$L$14+'202104 Bk Depr'!$L$19-'202104 Bk Depr'!$L$14+'202105 Bk Depr'!$L$19-'202105 Bk Depr'!$L$14+'202106 Bk Depr'!$L$19-'202106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Budget'!$I$29,'2021 Capital Budget'!$J$9:$J$11,'2021 Capital Budget'!$J$15:$J$16,'2021 Capital Budget'!$J$29)-(1/12*$L$13))*$C$21))*6/12)-AB25-AB24-AB23-AB22-AB21</f>
        <v>36187.599812499982</v>
      </c>
      <c r="AC26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Budget'!$I$29,'2021 Capital Budget'!$J$9:$J$11,'2021 Capital Budget'!$J$15:$J$16,'2021 Capital Budget'!$J$29)*6/12-AC25-AC24-AC23-AC22-AC21</f>
        <v>341106.07833333337</v>
      </c>
      <c r="AD26" s="156">
        <f t="shared" si="7"/>
        <v>0</v>
      </c>
      <c r="AE26" s="156">
        <f t="shared" si="15"/>
        <v>377293.67814583337</v>
      </c>
    </row>
    <row r="27" spans="1:34">
      <c r="A27" s="571" t="s">
        <v>763</v>
      </c>
      <c r="C27" s="61">
        <f>C26</f>
        <v>5.2850000000000001E-2</v>
      </c>
      <c r="D27" s="61"/>
      <c r="E27" s="156">
        <f>E26</f>
        <v>6</v>
      </c>
      <c r="G27" s="52">
        <f>G26</f>
        <v>6</v>
      </c>
      <c r="H27" s="231">
        <f>35862-SUM(H21:H26)</f>
        <v>-211627.18040245006</v>
      </c>
      <c r="I27" s="231">
        <f>146875-SUM(I21:I26)</f>
        <v>-237147.07382720005</v>
      </c>
      <c r="J27" s="231">
        <f>160312-SUM(J21:J26)</f>
        <v>-314021.07444379973</v>
      </c>
      <c r="K27" s="27">
        <f>177931-SUM(K21:K26)</f>
        <v>-261932.26766050002</v>
      </c>
      <c r="L27" s="27">
        <f>AE27</f>
        <v>-75111</v>
      </c>
      <c r="M27" s="231">
        <f>SUM(H27:L27)</f>
        <v>-1099838.5963339498</v>
      </c>
      <c r="N27" s="231">
        <f>498106-SUM(N21:N26)</f>
        <v>-1566091.46</v>
      </c>
      <c r="O27" s="231">
        <f>567780.27-SUM(O21:O26)</f>
        <v>-616764.02486700076</v>
      </c>
      <c r="P27" s="231">
        <f>M27+N27-O27</f>
        <v>-2049166.031466949</v>
      </c>
      <c r="Q27" s="231">
        <f t="shared" si="4"/>
        <v>-430324.86660805927</v>
      </c>
      <c r="R27" s="231">
        <f>Q77</f>
        <v>-107531.34375796496</v>
      </c>
      <c r="S27" s="231">
        <f t="shared" si="6"/>
        <v>22581.582189172641</v>
      </c>
      <c r="T27" s="231"/>
      <c r="U27" s="27">
        <v>0</v>
      </c>
      <c r="V27" s="231">
        <f>-5878222.01-10370</f>
        <v>-5888592.0099999998</v>
      </c>
      <c r="W27" s="231"/>
      <c r="X27" s="247"/>
      <c r="Y27" s="231"/>
      <c r="AA27" s="50"/>
      <c r="AB27" s="156">
        <f>42045-116271</f>
        <v>-74226</v>
      </c>
      <c r="AC27" s="156">
        <f>1146886-1147771</f>
        <v>-885</v>
      </c>
      <c r="AD27" s="156">
        <f>(1/12*$L$17)</f>
        <v>0</v>
      </c>
      <c r="AE27" s="156">
        <f>SUM(AB27:AD27)</f>
        <v>-75111</v>
      </c>
    </row>
    <row r="28" spans="1:34">
      <c r="A28" s="52">
        <f>A26+1</f>
        <v>10</v>
      </c>
      <c r="C28" s="61">
        <v>4.888E-2</v>
      </c>
      <c r="D28" s="61">
        <v>5.8999999999999997E-2</v>
      </c>
      <c r="E28" s="156">
        <v>7</v>
      </c>
      <c r="G28" s="52">
        <v>7</v>
      </c>
      <c r="H28" s="231">
        <f t="shared" ref="H28:H33" si="16">$H$15*$C$25/12</f>
        <v>5977.0230814374981</v>
      </c>
      <c r="I28" s="231">
        <f t="shared" ref="I28:I33" si="17">$I$15*$C$24/12</f>
        <v>24479.225539499992</v>
      </c>
      <c r="J28" s="231">
        <f t="shared" ref="J28:J33" si="18">$J$15*$C$23/12</f>
        <v>26718.686204649999</v>
      </c>
      <c r="K28" s="27">
        <f t="shared" ref="K28:K33" si="19">$K$15*$C$22/12</f>
        <v>29655.159423566729</v>
      </c>
      <c r="L28" s="27">
        <f>AE28</f>
        <v>411067.36801041639</v>
      </c>
      <c r="M28" s="231">
        <f t="shared" si="9"/>
        <v>497897.4622595706</v>
      </c>
      <c r="N28" s="231">
        <f>SUM('202107 Bk Depr'!$L$33,'202107 Bk Depr'!$L$35:$L$38)</f>
        <v>65544.95</v>
      </c>
      <c r="O28" s="231">
        <f>SUM('202107 Bk Depr'!P13,'202107 Bk Depr'!P15:P18)</f>
        <v>109297.85542650003</v>
      </c>
      <c r="P28" s="231">
        <f t="shared" si="10"/>
        <v>454144.55683307053</v>
      </c>
      <c r="Q28" s="231">
        <f>P28*0.21</f>
        <v>95370.356934944808</v>
      </c>
      <c r="R28" s="231">
        <f>Q78</f>
        <v>23006.078995725406</v>
      </c>
      <c r="S28" s="231">
        <f>-R28*0.21</f>
        <v>-4831.2765891023346</v>
      </c>
      <c r="T28" s="231">
        <v>-5528.33</v>
      </c>
      <c r="U28" s="27">
        <v>0</v>
      </c>
      <c r="V28" s="231">
        <f>V26+V27+Q28+R28+S28+U28+T28</f>
        <v>6652023.4938552957</v>
      </c>
      <c r="W28" s="231">
        <f>Q28+R28+S28+T28</f>
        <v>108016.82934156788</v>
      </c>
      <c r="X28" s="247" t="s">
        <v>352</v>
      </c>
      <c r="Y28" s="231">
        <f>V26+V27+W28*154/365</f>
        <v>6589580.8884003069</v>
      </c>
      <c r="AA28" s="50"/>
      <c r="AB28" s="156">
        <f>((((SUM('2021 Capital Budget'!E12:J14)+'202107 Bk Depr'!$L$19-'202107 Bk Depr'!$L$14-SUM('2021 Capital Budget'!$K$9:$K$11,'2021 Capital Budget'!$K$15:$K$16)-(1/12*$L$17))*$C$21))*7/12)-AB27-AB26-AB25-AB24-AB23-AB22-AB21</f>
        <v>17015.393843750022</v>
      </c>
      <c r="AC28" s="156">
        <f>SUM('2021 Capital Budget'!E9:J11)*7/12+SUM('2021 Capital Budget'!E15:J16)*7/12+SUM('2021 Capital Budget'!$K$9:$K$11,'2021 Capital Budget'!$K$15:$K$16)*7/12-AC27-AC26-AC25-AC24-AC23-AC22-AC21</f>
        <v>394051.97416666639</v>
      </c>
      <c r="AD28" s="156">
        <f t="shared" ref="AD28:AD33" si="20">(1/12*$L$13)</f>
        <v>0</v>
      </c>
      <c r="AE28" s="156">
        <f t="shared" si="15"/>
        <v>411067.36801041639</v>
      </c>
    </row>
    <row r="29" spans="1:34">
      <c r="A29" s="52">
        <f t="shared" si="14"/>
        <v>11</v>
      </c>
      <c r="C29" s="61">
        <v>4.5220000000000003E-2</v>
      </c>
      <c r="D29" s="61">
        <v>5.8999999999999997E-2</v>
      </c>
      <c r="E29" s="156">
        <v>8</v>
      </c>
      <c r="G29" s="52">
        <v>8</v>
      </c>
      <c r="H29" s="231">
        <f t="shared" si="16"/>
        <v>5977.0230814374981</v>
      </c>
      <c r="I29" s="231">
        <f t="shared" si="17"/>
        <v>24479.225539499992</v>
      </c>
      <c r="J29" s="231">
        <f t="shared" si="18"/>
        <v>26718.686204649999</v>
      </c>
      <c r="K29" s="27">
        <f t="shared" si="19"/>
        <v>29655.159423566729</v>
      </c>
      <c r="L29" s="27">
        <f>AE29</f>
        <v>410391.65348958352</v>
      </c>
      <c r="M29" s="231">
        <f t="shared" si="9"/>
        <v>497221.74773873773</v>
      </c>
      <c r="N29" s="231">
        <f>SUM('202108 Bk Depr'!$L$33,'202108 Bk Depr'!$L$35:$L$38)</f>
        <v>39110.54</v>
      </c>
      <c r="O29" s="231">
        <f>SUM('202108 Bk Depr'!P13,'202108 Bk Depr'!P15:P18)</f>
        <v>111152.24329050005</v>
      </c>
      <c r="P29" s="231">
        <f t="shared" si="10"/>
        <v>425180.04444823775</v>
      </c>
      <c r="Q29" s="231">
        <f t="shared" ref="Q29:Q33" si="21">P29*0.21</f>
        <v>89287.809334129925</v>
      </c>
      <c r="R29" s="231">
        <f t="shared" ref="R29:R33" si="22">Q79</f>
        <v>21557.853376483763</v>
      </c>
      <c r="S29" s="231">
        <f t="shared" ref="S29:S33" si="23">-R29*0.21</f>
        <v>-4527.1492090615902</v>
      </c>
      <c r="T29" s="231"/>
      <c r="U29" s="27">
        <v>0</v>
      </c>
      <c r="V29" s="231">
        <f t="shared" si="11"/>
        <v>6758342.0073568476</v>
      </c>
      <c r="W29" s="231">
        <f t="shared" si="12"/>
        <v>106318.51350155193</v>
      </c>
      <c r="X29" s="247" t="s">
        <v>353</v>
      </c>
      <c r="Y29" s="231">
        <f>Y28+W29*123/365</f>
        <v>6625408.7710323371</v>
      </c>
      <c r="AA29" s="50"/>
      <c r="AB29" s="156">
        <f>(((((SUM('2021 Capital Budget'!E$12:J$14)+'202107 Bk Depr'!$L$19-'202107 Bk Depr'!$L$14+'202108 Bk Depr'!$L$19-'202108 Bk Depr'!$L$14-SUM('2021 Capital Budget'!$K$9:$K$11,'2021 Capital Budget'!$K$15:$K$16,'2021 Capital Budget'!$L$9:$L$11,'2021 Capital Budget'!$L$15:$L$16)-(1/12*$L$17))*$C$21))*8/12)-AB28-AB27-AB26-AB25-AB24-AB23-AB22-AB21)</f>
        <v>16116.237656250003</v>
      </c>
      <c r="AC29" s="156">
        <f>SUM('2021 Capital Budget'!E9:J11)*8/12+SUM('2021 Capital Budget'!E15:J16)*8/12+SUM('2021 Capital Budget'!$K$9:$K$11,'2021 Capital Budget'!$K$15:$K$16,'2021 Capital Budget'!$L$9:$L$11,'2021 Capital Budget'!$L$15:$L$16)*8/12-AC28-AC27-AC26-AC25-AC24-AC23-AC22-AC21</f>
        <v>394275.41583333351</v>
      </c>
      <c r="AD29" s="156">
        <f t="shared" si="20"/>
        <v>0</v>
      </c>
      <c r="AE29" s="156">
        <f t="shared" si="15"/>
        <v>410391.65348958352</v>
      </c>
    </row>
    <row r="30" spans="1:34">
      <c r="A30" s="52">
        <f t="shared" si="14"/>
        <v>12</v>
      </c>
      <c r="C30" s="61">
        <v>4.462E-2</v>
      </c>
      <c r="D30" s="61">
        <v>5.91E-2</v>
      </c>
      <c r="E30" s="156">
        <v>9</v>
      </c>
      <c r="G30" s="52">
        <v>9</v>
      </c>
      <c r="H30" s="231">
        <f t="shared" si="16"/>
        <v>5977.0230814374981</v>
      </c>
      <c r="I30" s="231">
        <f t="shared" si="17"/>
        <v>24479.225539499992</v>
      </c>
      <c r="J30" s="231">
        <f t="shared" si="18"/>
        <v>26718.686204649999</v>
      </c>
      <c r="K30" s="27">
        <f t="shared" si="19"/>
        <v>29655.159423566729</v>
      </c>
      <c r="L30" s="27">
        <f t="shared" ref="L30:L33" si="24">AE30</f>
        <v>461366.64015624981</v>
      </c>
      <c r="M30" s="231">
        <f t="shared" si="9"/>
        <v>548196.73440540407</v>
      </c>
      <c r="N30" s="231">
        <f>SUM('202109 Bk Depr'!$L$33,'202109 Bk Depr'!$L$35:$L$38)</f>
        <v>61202.450000000004</v>
      </c>
      <c r="O30" s="231">
        <f>SUM('202109 Bk Depr'!P13,'202109 Bk Depr'!P15:P18)</f>
        <v>112790.61031750006</v>
      </c>
      <c r="P30" s="231">
        <f t="shared" si="10"/>
        <v>496608.57408790395</v>
      </c>
      <c r="Q30" s="231">
        <f t="shared" si="21"/>
        <v>104287.80055845983</v>
      </c>
      <c r="R30" s="231">
        <f t="shared" si="22"/>
        <v>25129.279858467071</v>
      </c>
      <c r="S30" s="231">
        <f t="shared" si="23"/>
        <v>-5277.1487702780851</v>
      </c>
      <c r="T30" s="231"/>
      <c r="U30" s="27">
        <v>0</v>
      </c>
      <c r="V30" s="231">
        <f t="shared" si="11"/>
        <v>6882481.9390034964</v>
      </c>
      <c r="W30" s="231">
        <f t="shared" si="12"/>
        <v>124139.93164664879</v>
      </c>
      <c r="X30" s="247" t="s">
        <v>354</v>
      </c>
      <c r="Y30" s="231">
        <f>Y29+W30*93/365</f>
        <v>6657038.9453970995</v>
      </c>
      <c r="AA30" s="50"/>
      <c r="AB30" s="156">
        <f>(((((SUM('2021 Capital Budget'!E$12:J$14)+'202107 Bk Depr'!$L$19-'202107 Bk Depr'!$L$14+'202108 Bk Depr'!$L$19-'202108 Bk Depr'!$L$14+'202109 Bk Depr'!$L$19-'202109 Bk Depr'!$L$14-SUM('2021 Capital Budget'!$K$9:$K$11,'2021 Capital Budget'!$K$15:$K$16,'2021 Capital Budget'!$L$9:$L$11,'2021 Capital Budget'!$L$15:$L$16,'2021 Capital Budget'!$M$9:$M$11,'2021 Capital Budget'!$M$15:$M$16)-(1/12*$L$17))*$C$21))*9/12))-AB29-AB28-AB27-AB26-AB25-AB24-AB23-AB22-AB21</f>
        <v>19950.382656250022</v>
      </c>
      <c r="AC30" s="156">
        <f>SUM('2021 Capital Budget'!E9:J11)*9/12+SUM('2021 Capital Budget'!E15:J16)*9/12+SUM('2021 Capital Budget'!$K$9:$K$11,'2021 Capital Budget'!$K$15:$K$16,'2021 Capital Budget'!$L$9:$L$11,'2021 Capital Budget'!$L$15:$L$16,'2021 Capital Budget'!$M$9:$M$11,'2021 Capital Budget'!$M$15:$M$16)*9/12-AC29-AC28-AC27-AC26-AC25-AC24-AC23-AC22-AC21</f>
        <v>441416.25749999977</v>
      </c>
      <c r="AD30" s="156">
        <f t="shared" si="20"/>
        <v>0</v>
      </c>
      <c r="AE30" s="156">
        <f t="shared" si="15"/>
        <v>461366.64015624981</v>
      </c>
    </row>
    <row r="31" spans="1:34">
      <c r="A31" s="52">
        <f t="shared" si="14"/>
        <v>13</v>
      </c>
      <c r="C31" s="61">
        <v>4.4609999999999997E-2</v>
      </c>
      <c r="D31" s="61">
        <v>5.8999999999999997E-2</v>
      </c>
      <c r="E31" s="156">
        <v>10</v>
      </c>
      <c r="G31" s="52">
        <v>10</v>
      </c>
      <c r="H31" s="231">
        <f t="shared" si="16"/>
        <v>5977.0230814374981</v>
      </c>
      <c r="I31" s="231">
        <f t="shared" si="17"/>
        <v>24479.225539499992</v>
      </c>
      <c r="J31" s="231">
        <f t="shared" si="18"/>
        <v>26718.686204649999</v>
      </c>
      <c r="K31" s="27">
        <f t="shared" si="19"/>
        <v>29655.159423566729</v>
      </c>
      <c r="L31" s="27">
        <f t="shared" si="24"/>
        <v>466583.69696874998</v>
      </c>
      <c r="M31" s="231">
        <f t="shared" si="9"/>
        <v>553413.79121790419</v>
      </c>
      <c r="N31" s="231">
        <f>SUM('202110 Bk Depr'!$L$33,'202110 Bk Depr'!$L$35:$L$38)</f>
        <v>129487.40000000001</v>
      </c>
      <c r="O31" s="231">
        <f>SUM('202110 Bk Depr'!P13,'202110 Bk Depr'!P15:P18)</f>
        <v>114476.09014550004</v>
      </c>
      <c r="P31" s="231">
        <f t="shared" si="10"/>
        <v>568425.10107240418</v>
      </c>
      <c r="Q31" s="231">
        <f t="shared" si="21"/>
        <v>119369.27122520488</v>
      </c>
      <c r="R31" s="231">
        <f t="shared" si="22"/>
        <v>28720.10620769209</v>
      </c>
      <c r="S31" s="231">
        <f t="shared" si="23"/>
        <v>-6031.2223036153382</v>
      </c>
      <c r="T31" s="231"/>
      <c r="U31" s="27">
        <v>0</v>
      </c>
      <c r="V31" s="231">
        <f t="shared" si="11"/>
        <v>7024540.0941327782</v>
      </c>
      <c r="W31" s="231">
        <f t="shared" si="12"/>
        <v>142058.1551292818</v>
      </c>
      <c r="X31" s="247" t="s">
        <v>355</v>
      </c>
      <c r="Y31" s="231">
        <f>Y30+W31*62/365</f>
        <v>6681169.3717478272</v>
      </c>
      <c r="AA31" s="50"/>
      <c r="AB31" s="156">
        <f>(((((SUM('2021 Capital Budget'!E$12:J$14)+'202107 Bk Depr'!$L$19-'202107 Bk Depr'!$L$14+'202108 Bk Depr'!$L$19-'202108 Bk Depr'!$L$14+'202109 Bk Depr'!$L$19-'202109 Bk Depr'!$L$14+'202110 Bk Depr'!$L$19-'202110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Budget'!$N$15:$N$16)-(1/12*$L$17))*$C$21))*10/12))-AB30-AB29-AB28-AB27-AB26-AB25-AB24-AB23-AB22-AB21</f>
        <v>23648.489468750009</v>
      </c>
      <c r="AC31" s="156">
        <f>SUM('2021 Capital Budget'!E9:J11)*10/12+SUM('2021 Capital Budget'!E15:J16)*10/12+SUM('2021 Capital Budget'!$K$9:$K$11,'2021 Capital Budget'!$K$15:$K$16,'2021 Capital Budget'!$L$9:$L$11,'2021 Capital Budget'!$L$15:$L$16,'2021 Capital Budget'!$M$9:$M$11,'2021 Capital Budget'!$M$15:$M$16,'2021 Capital Budget'!$N$9:$N$11,'2021 Capital Budget'!$N$15:$N$16)*10/12-AC30-AC29-AC28-AC27-AC26-AC25-AC24-AC23-AC22-AC21</f>
        <v>442935.20749999996</v>
      </c>
      <c r="AD31" s="156">
        <f t="shared" si="20"/>
        <v>0</v>
      </c>
      <c r="AE31" s="156">
        <f t="shared" si="15"/>
        <v>466583.69696874998</v>
      </c>
    </row>
    <row r="32" spans="1:34">
      <c r="A32" s="52">
        <f t="shared" si="14"/>
        <v>14</v>
      </c>
      <c r="C32" s="61">
        <v>4.462E-2</v>
      </c>
      <c r="D32" s="61">
        <v>5.91E-2</v>
      </c>
      <c r="E32" s="156">
        <v>11</v>
      </c>
      <c r="G32" s="52">
        <v>11</v>
      </c>
      <c r="H32" s="231">
        <f t="shared" si="16"/>
        <v>5977.0230814374981</v>
      </c>
      <c r="I32" s="231">
        <f t="shared" si="17"/>
        <v>24479.225539499992</v>
      </c>
      <c r="J32" s="231">
        <f t="shared" si="18"/>
        <v>26718.686204649999</v>
      </c>
      <c r="K32" s="27">
        <f t="shared" si="19"/>
        <v>29655.159423566729</v>
      </c>
      <c r="L32" s="27">
        <f t="shared" si="24"/>
        <v>601912.98555208335</v>
      </c>
      <c r="M32" s="231">
        <f t="shared" si="9"/>
        <v>688743.07980123756</v>
      </c>
      <c r="N32" s="231">
        <f>SUM('202111 Bk Depr'!$L$33,'202111 Bk Depr'!$L$35:$L$38)</f>
        <v>39510.61</v>
      </c>
      <c r="O32" s="231">
        <f>SUM('202111 Bk Depr'!P13,'202111 Bk Depr'!P15:P18)</f>
        <v>116451.29566350004</v>
      </c>
      <c r="P32" s="231">
        <f t="shared" si="10"/>
        <v>611802.39413773746</v>
      </c>
      <c r="Q32" s="231">
        <f t="shared" si="21"/>
        <v>128478.50276892487</v>
      </c>
      <c r="R32" s="231">
        <f t="shared" si="22"/>
        <v>30888.970860958754</v>
      </c>
      <c r="S32" s="231">
        <f t="shared" si="23"/>
        <v>-6486.6838808013381</v>
      </c>
      <c r="T32" s="231"/>
      <c r="U32" s="27">
        <v>0</v>
      </c>
      <c r="V32" s="231">
        <f t="shared" si="11"/>
        <v>7177420.8838818604</v>
      </c>
      <c r="W32" s="231">
        <f t="shared" si="12"/>
        <v>152880.78974908218</v>
      </c>
      <c r="X32" s="247" t="s">
        <v>351</v>
      </c>
      <c r="Y32" s="231">
        <f>Y31+W32*32/365</f>
        <v>6694572.6190682948</v>
      </c>
      <c r="AA32" s="50"/>
      <c r="AB32" s="156">
        <f>(((((SUM('2021 Capital Budget'!E$12:J$14)+'202107 Bk Depr'!$L$19-'202107 Bk Depr'!$L$14+'202108 Bk Depr'!$L$19-'202108 Bk Depr'!$L$14+'202109 Bk Depr'!$L$19-'202109 Bk Depr'!$L$14+'202110 Bk Depr'!$L$19-'202110 Bk Depr'!$L$14+'202111 Bk Depr'!$L$19-'202111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Budget'!$O$15:$O$16)-(1/12*$L$17))*$C$21))*11/12))-AB31-AB30-AB29-AB28-AB27-AB26-AB25-AB24-AB23-AB22-AB21</f>
        <v>28732.944718750008</v>
      </c>
      <c r="AC32" s="156">
        <f>SUM('2021 Capital Budget'!E9:J11)*11/12+SUM('2021 Capital Budget'!E15:J16)*11/12+SUM('2021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Budget'!$O$15:$O$16)*11/12-AC31-AC30-AC29-AC28-AC27-AC26-AC25-AC24-AC23-AC22-AC21</f>
        <v>573180.04083333339</v>
      </c>
      <c r="AD32" s="156">
        <f t="shared" si="20"/>
        <v>0</v>
      </c>
      <c r="AE32" s="156">
        <f t="shared" si="15"/>
        <v>601912.98555208335</v>
      </c>
    </row>
    <row r="33" spans="1:31">
      <c r="A33" s="52">
        <f t="shared" si="14"/>
        <v>15</v>
      </c>
      <c r="C33" s="61">
        <v>4.4609999999999997E-2</v>
      </c>
      <c r="D33" s="61">
        <v>5.8999999999999997E-2</v>
      </c>
      <c r="E33" s="156">
        <v>12</v>
      </c>
      <c r="G33" s="52">
        <v>12</v>
      </c>
      <c r="H33" s="231">
        <f t="shared" si="16"/>
        <v>5977.0230814374981</v>
      </c>
      <c r="I33" s="231">
        <f t="shared" si="17"/>
        <v>24479.225539499992</v>
      </c>
      <c r="J33" s="231">
        <f t="shared" si="18"/>
        <v>26718.686204649999</v>
      </c>
      <c r="K33" s="27">
        <f t="shared" si="19"/>
        <v>29655.159423566729</v>
      </c>
      <c r="L33" s="27">
        <f t="shared" si="24"/>
        <v>668574.38607291586</v>
      </c>
      <c r="M33" s="231">
        <f t="shared" si="9"/>
        <v>755404.48032207007</v>
      </c>
      <c r="N33" s="231">
        <f>SUM('202112 Bk Depr'!$L$33,'202112 Bk Depr'!$L$35:$L$38)</f>
        <v>35715.370000000003</v>
      </c>
      <c r="O33" s="231">
        <f>SUM('202112 Bk Depr'!P13,'202112 Bk Depr'!P15:P18)</f>
        <v>118676.58938550005</v>
      </c>
      <c r="P33" s="231">
        <f t="shared" si="10"/>
        <v>672443.26093657</v>
      </c>
      <c r="Q33" s="231">
        <f t="shared" si="21"/>
        <v>141213.0847966797</v>
      </c>
      <c r="R33" s="231">
        <f t="shared" si="22"/>
        <v>33921.014200900383</v>
      </c>
      <c r="S33" s="231">
        <f t="shared" si="23"/>
        <v>-7123.4129821890801</v>
      </c>
      <c r="T33" s="231"/>
      <c r="U33" s="27">
        <v>0</v>
      </c>
      <c r="V33" s="231">
        <f>V32+Q33+R33+S33+U33</f>
        <v>7345431.5698972521</v>
      </c>
      <c r="W33" s="231">
        <f t="shared" si="12"/>
        <v>168010.68601539172</v>
      </c>
      <c r="X33" s="247" t="s">
        <v>350</v>
      </c>
      <c r="Y33" s="231">
        <f>Y32+W33*1/365</f>
        <v>6695032.922317652</v>
      </c>
      <c r="AA33" s="50"/>
      <c r="AB33" s="156">
        <f>(((((SUM('2021 Capital Budget'!E$12:J$14)+'202107 Bk Depr'!$L$19-'202107 Bk Depr'!$L$14+'202108 Bk Depr'!$L$19-'202108 Bk Depr'!$L$14+'202109 Bk Depr'!$L$19-'202109 Bk Depr'!$L$14+'202110 Bk Depr'!$L$19-'202110 Bk Depr'!$L$14+'202111 Bk Depr'!$L$19-'202111 Bk Depr'!$L$14+'202112 Bk Depr'!$L$19-'202112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Budget'!$O$15:$O$16,'2021 Capital Budget'!$P$9:$P$11,'2021 Capital Budget'!$P$15:$P$16)-(1/12*$L$17))*$C$21))*12/12))-AB32-AB31-AB30-AB29-AB28-AB27-AB26-AB25-AB24-AB23-AB22-AB21</f>
        <v>32640.881906250015</v>
      </c>
      <c r="AC33" s="156">
        <f>SUM('2021 Capital Budget'!E9:J11)*12/12+SUM('2021 Capital Budget'!E15:J16)*12/12+SUM('2021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Budget'!$O$15:$O$16,'2021 Capital Budget'!$P$9:$P$11,'2021 Capital Budget'!$P$15:$P$16)*12/12-AC32-AC31-AC30-AC29-AC28-AC27-AC26-AC25-AC24-AC23-AC22-AC21</f>
        <v>635933.50416666584</v>
      </c>
      <c r="AD33" s="156">
        <f t="shared" si="20"/>
        <v>0</v>
      </c>
      <c r="AE33" s="156">
        <f t="shared" si="15"/>
        <v>668574.38607291586</v>
      </c>
    </row>
    <row r="34" spans="1:31">
      <c r="A34" s="52">
        <f t="shared" si="14"/>
        <v>16</v>
      </c>
      <c r="C34" s="61">
        <v>4.462E-2</v>
      </c>
      <c r="D34" s="61">
        <v>5.91E-2</v>
      </c>
      <c r="E34" s="156">
        <v>13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 t="str">
        <f t="shared" ref="U34:U48" si="25">IF(S34="","",S34*0.389)</f>
        <v/>
      </c>
      <c r="V34" s="62"/>
      <c r="Y34" s="27"/>
      <c r="AB34" s="574"/>
      <c r="AC34" s="574"/>
      <c r="AD34" s="574"/>
      <c r="AE34" s="574"/>
    </row>
    <row r="35" spans="1:31">
      <c r="A35" s="52">
        <f t="shared" si="14"/>
        <v>17</v>
      </c>
      <c r="C35" s="61">
        <v>4.4609999999999997E-2</v>
      </c>
      <c r="D35" s="61">
        <v>5.8999999999999997E-2</v>
      </c>
      <c r="E35" s="156">
        <v>14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 t="str">
        <f t="shared" si="25"/>
        <v/>
      </c>
      <c r="V35" s="27" t="str">
        <f t="shared" ref="V35:V48" si="26">IF(Q35="","",V34+Q35)</f>
        <v/>
      </c>
    </row>
    <row r="36" spans="1:31">
      <c r="A36" s="52">
        <f t="shared" si="14"/>
        <v>18</v>
      </c>
      <c r="C36" s="61">
        <v>4.462E-2</v>
      </c>
      <c r="D36" s="61">
        <v>5.91E-2</v>
      </c>
      <c r="E36" s="156">
        <v>15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 t="str">
        <f t="shared" si="25"/>
        <v/>
      </c>
      <c r="V36" s="27" t="str">
        <f t="shared" si="26"/>
        <v/>
      </c>
    </row>
    <row r="37" spans="1:31">
      <c r="A37" s="52">
        <f t="shared" si="14"/>
        <v>19</v>
      </c>
      <c r="C37" s="61">
        <v>4.4609999999999997E-2</v>
      </c>
      <c r="D37" s="61">
        <v>2.9499999999999998E-2</v>
      </c>
      <c r="E37" s="156">
        <v>16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 t="str">
        <f t="shared" si="25"/>
        <v/>
      </c>
      <c r="V37" s="27" t="str">
        <f t="shared" si="26"/>
        <v/>
      </c>
    </row>
    <row r="38" spans="1:31">
      <c r="A38" s="52">
        <f t="shared" si="14"/>
        <v>20</v>
      </c>
      <c r="C38" s="61">
        <v>4.462E-2</v>
      </c>
      <c r="D38" s="61">
        <v>0</v>
      </c>
      <c r="E38" s="156">
        <v>17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 t="str">
        <f t="shared" si="25"/>
        <v/>
      </c>
      <c r="V38" s="27" t="str">
        <f t="shared" si="26"/>
        <v/>
      </c>
    </row>
    <row r="39" spans="1:31">
      <c r="A39" s="52">
        <f t="shared" si="14"/>
        <v>21</v>
      </c>
      <c r="C39" s="61">
        <v>4.4609999999999997E-2</v>
      </c>
      <c r="D39" s="61">
        <v>0</v>
      </c>
      <c r="E39" s="156">
        <v>18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 t="str">
        <f t="shared" si="25"/>
        <v/>
      </c>
      <c r="V39" s="27" t="str">
        <f t="shared" si="26"/>
        <v/>
      </c>
    </row>
    <row r="40" spans="1:31">
      <c r="A40" s="52">
        <f t="shared" si="14"/>
        <v>22</v>
      </c>
      <c r="C40" s="61">
        <v>4.462E-2</v>
      </c>
      <c r="D40" s="61">
        <v>0</v>
      </c>
      <c r="E40" s="156">
        <v>19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 t="str">
        <f t="shared" si="25"/>
        <v/>
      </c>
      <c r="V40" s="27" t="str">
        <f t="shared" si="26"/>
        <v/>
      </c>
    </row>
    <row r="41" spans="1:31">
      <c r="A41" s="52">
        <f t="shared" si="14"/>
        <v>23</v>
      </c>
      <c r="C41" s="61">
        <v>4.4609999999999997E-2</v>
      </c>
      <c r="D41" s="61">
        <v>0</v>
      </c>
      <c r="E41" s="156">
        <v>20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 t="str">
        <f t="shared" si="25"/>
        <v/>
      </c>
      <c r="V41" s="27" t="str">
        <f t="shared" si="26"/>
        <v/>
      </c>
    </row>
    <row r="42" spans="1:31">
      <c r="A42" s="52">
        <f t="shared" si="14"/>
        <v>24</v>
      </c>
      <c r="C42" s="61">
        <v>2.231E-2</v>
      </c>
      <c r="D42" s="61">
        <v>0</v>
      </c>
      <c r="E42" s="156">
        <v>21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 t="str">
        <f t="shared" si="25"/>
        <v/>
      </c>
      <c r="V42" s="27" t="str">
        <f t="shared" si="26"/>
        <v/>
      </c>
    </row>
    <row r="43" spans="1:31">
      <c r="A43" s="52">
        <f t="shared" si="14"/>
        <v>25</v>
      </c>
      <c r="C43" s="61">
        <v>0</v>
      </c>
      <c r="D43" s="61">
        <v>0</v>
      </c>
      <c r="E43" s="156">
        <v>22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 t="str">
        <f t="shared" si="25"/>
        <v/>
      </c>
      <c r="V43" s="27" t="str">
        <f t="shared" si="26"/>
        <v/>
      </c>
    </row>
    <row r="44" spans="1:31">
      <c r="A44" s="52">
        <f t="shared" si="14"/>
        <v>26</v>
      </c>
      <c r="C44" s="61">
        <v>0</v>
      </c>
      <c r="E44" s="156">
        <v>23</v>
      </c>
      <c r="H44" s="27"/>
      <c r="I44" s="27"/>
      <c r="J44" s="27"/>
      <c r="K44" s="27"/>
      <c r="L44" s="27"/>
      <c r="M44" s="27"/>
      <c r="P44" s="27"/>
      <c r="Q44" s="27"/>
      <c r="R44" s="27"/>
      <c r="S44" s="27"/>
      <c r="T44" s="27"/>
      <c r="U44" s="27" t="str">
        <f t="shared" si="25"/>
        <v/>
      </c>
      <c r="V44" s="27" t="str">
        <f t="shared" si="26"/>
        <v/>
      </c>
    </row>
    <row r="45" spans="1:31">
      <c r="A45" s="52">
        <f t="shared" si="14"/>
        <v>27</v>
      </c>
      <c r="C45" s="61">
        <v>0</v>
      </c>
      <c r="E45" s="156">
        <v>24</v>
      </c>
      <c r="H45" s="27"/>
      <c r="I45" s="27"/>
      <c r="J45" s="27"/>
      <c r="K45" s="27"/>
      <c r="L45" s="27"/>
      <c r="M45" s="27"/>
      <c r="P45" s="27"/>
      <c r="Q45" s="27"/>
      <c r="R45" s="27"/>
      <c r="S45" s="27"/>
      <c r="T45" s="27"/>
      <c r="U45" s="27" t="str">
        <f t="shared" si="25"/>
        <v/>
      </c>
      <c r="V45" s="27" t="str">
        <f t="shared" si="26"/>
        <v/>
      </c>
    </row>
    <row r="46" spans="1:31">
      <c r="A46" s="52">
        <f t="shared" si="14"/>
        <v>28</v>
      </c>
      <c r="C46" s="61">
        <v>0</v>
      </c>
      <c r="E46" s="156">
        <v>25</v>
      </c>
      <c r="H46" s="27"/>
      <c r="I46" s="27"/>
      <c r="J46" s="27"/>
      <c r="K46" s="27"/>
      <c r="L46" s="27"/>
      <c r="M46" s="27"/>
      <c r="P46" s="27"/>
      <c r="Q46" s="27"/>
      <c r="R46" s="27"/>
      <c r="S46" s="27"/>
      <c r="T46" s="27"/>
      <c r="U46" s="27" t="str">
        <f t="shared" si="25"/>
        <v/>
      </c>
      <c r="V46" s="27" t="str">
        <f t="shared" si="26"/>
        <v/>
      </c>
    </row>
    <row r="47" spans="1:31">
      <c r="A47" s="52">
        <f t="shared" si="14"/>
        <v>29</v>
      </c>
      <c r="C47" s="61">
        <v>0</v>
      </c>
      <c r="E47" s="156">
        <v>26</v>
      </c>
      <c r="H47" s="27"/>
      <c r="I47" s="27"/>
      <c r="J47" s="27"/>
      <c r="K47" s="27"/>
      <c r="L47" s="27"/>
      <c r="M47" s="27"/>
      <c r="P47" s="27"/>
      <c r="Q47" s="27"/>
      <c r="R47" s="27"/>
      <c r="S47" s="27"/>
      <c r="T47" s="27"/>
      <c r="U47" s="27" t="str">
        <f t="shared" si="25"/>
        <v/>
      </c>
      <c r="V47" s="27" t="str">
        <f t="shared" si="26"/>
        <v/>
      </c>
    </row>
    <row r="48" spans="1:31">
      <c r="A48" s="52">
        <f t="shared" si="14"/>
        <v>30</v>
      </c>
      <c r="C48" s="61">
        <v>0</v>
      </c>
      <c r="E48" s="156">
        <v>27</v>
      </c>
      <c r="M48" s="27"/>
      <c r="P48" s="27"/>
      <c r="Q48" s="27"/>
      <c r="R48" s="27"/>
      <c r="S48" s="27"/>
      <c r="T48" s="27"/>
      <c r="U48" s="27" t="str">
        <f t="shared" si="25"/>
        <v/>
      </c>
      <c r="V48" s="27" t="str">
        <f t="shared" si="26"/>
        <v/>
      </c>
    </row>
    <row r="49" spans="1:25">
      <c r="A49" s="52">
        <f t="shared" si="14"/>
        <v>31</v>
      </c>
      <c r="H49" s="27">
        <f>SUM(H21:H48)</f>
        <v>71724.138488624973</v>
      </c>
      <c r="I49" s="27">
        <f>SUM(I21:I48)</f>
        <v>293750.35323699994</v>
      </c>
      <c r="J49" s="27">
        <f t="shared" ref="J49:U49" si="27">SUM(J21:J48)</f>
        <v>320624.11722789996</v>
      </c>
      <c r="K49" s="27">
        <f>SUM(K21:K48)</f>
        <v>355861.95654140029</v>
      </c>
      <c r="L49" s="27">
        <f>SUM(L21:L48)</f>
        <v>4208827.5772499992</v>
      </c>
      <c r="M49" s="27">
        <f t="shared" si="27"/>
        <v>5250788.1427449239</v>
      </c>
      <c r="N49" s="27">
        <f t="shared" si="27"/>
        <v>868677.32</v>
      </c>
      <c r="O49" s="27">
        <f t="shared" si="27"/>
        <v>1250624.9542290003</v>
      </c>
      <c r="P49" s="27">
        <f t="shared" si="27"/>
        <v>4868840.5085159242</v>
      </c>
      <c r="Q49" s="27">
        <f t="shared" si="27"/>
        <v>1022456.5067883441</v>
      </c>
      <c r="R49" s="27">
        <f t="shared" si="27"/>
        <v>247028.23235022748</v>
      </c>
      <c r="S49" s="27">
        <f t="shared" si="27"/>
        <v>-51875.928793547777</v>
      </c>
      <c r="T49" s="27"/>
      <c r="U49" s="27">
        <f t="shared" si="27"/>
        <v>-47244.37</v>
      </c>
      <c r="V49" s="27">
        <f>AVERAGE(V20:V33)</f>
        <v>8551668.8468235601</v>
      </c>
      <c r="Y49" s="27">
        <f>AVERAGE(Y20:Y33)</f>
        <v>9465651.8614394367</v>
      </c>
    </row>
    <row r="50" spans="1:25">
      <c r="H50" s="27"/>
      <c r="I50" s="27"/>
      <c r="J50" s="27"/>
      <c r="K50" s="27"/>
      <c r="L50" s="27"/>
      <c r="M50" s="27"/>
      <c r="N50" s="27"/>
      <c r="O50" s="27"/>
      <c r="V50" s="27"/>
    </row>
    <row r="51" spans="1:25">
      <c r="B51" s="60" t="s">
        <v>163</v>
      </c>
      <c r="C51" s="52" t="s">
        <v>648</v>
      </c>
      <c r="R51" s="27"/>
      <c r="S51" s="27"/>
      <c r="T51" s="27"/>
      <c r="U51" s="27"/>
    </row>
    <row r="52" spans="1:25">
      <c r="B52" s="60" t="s">
        <v>164</v>
      </c>
      <c r="C52" s="52" t="s">
        <v>649</v>
      </c>
      <c r="R52" s="54"/>
      <c r="S52" s="54"/>
      <c r="T52" s="54"/>
      <c r="U52" s="54"/>
    </row>
    <row r="53" spans="1:25">
      <c r="B53" s="60" t="s">
        <v>165</v>
      </c>
      <c r="C53" s="52" t="s">
        <v>650</v>
      </c>
      <c r="D53" s="245"/>
      <c r="R53" s="48"/>
      <c r="S53" s="48"/>
      <c r="T53" s="48"/>
      <c r="U53" s="48"/>
    </row>
    <row r="54" spans="1:25">
      <c r="B54" s="60" t="s">
        <v>174</v>
      </c>
      <c r="C54" s="52" t="s">
        <v>617</v>
      </c>
      <c r="D54" s="245"/>
      <c r="R54" s="48"/>
      <c r="S54" s="48"/>
      <c r="T54" s="48"/>
      <c r="U54" s="48"/>
    </row>
    <row r="55" spans="1:25">
      <c r="B55" s="60" t="s">
        <v>210</v>
      </c>
      <c r="C55" s="52" t="s">
        <v>615</v>
      </c>
      <c r="D55" s="245"/>
      <c r="R55" s="48"/>
      <c r="S55" s="48"/>
      <c r="T55" s="48"/>
      <c r="U55" s="48"/>
    </row>
    <row r="56" spans="1:25">
      <c r="A56" s="54"/>
      <c r="B56" s="54"/>
      <c r="C56" s="54"/>
      <c r="D56" s="54" t="s">
        <v>24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49"/>
      <c r="S56" s="49"/>
      <c r="T56" s="49"/>
      <c r="U56" s="49"/>
      <c r="V56" s="54"/>
    </row>
    <row r="57" spans="1:25" ht="25.5">
      <c r="A57" s="54"/>
      <c r="B57" s="54"/>
      <c r="C57" s="55"/>
      <c r="D57" s="54" t="s">
        <v>25</v>
      </c>
      <c r="E57" s="55" t="s">
        <v>555</v>
      </c>
      <c r="F57" s="54"/>
      <c r="G57" s="54"/>
      <c r="H57" s="54"/>
      <c r="I57" s="54"/>
      <c r="J57" s="54"/>
      <c r="K57" s="54"/>
      <c r="L57" s="54"/>
      <c r="M57" s="54" t="s">
        <v>3</v>
      </c>
      <c r="N57" s="54" t="s">
        <v>35</v>
      </c>
      <c r="O57" s="54"/>
      <c r="P57" s="54"/>
      <c r="Q57" s="55" t="s">
        <v>179</v>
      </c>
      <c r="V57" s="49"/>
    </row>
    <row r="58" spans="1:25">
      <c r="A58" s="54" t="s">
        <v>4</v>
      </c>
      <c r="B58" s="54"/>
      <c r="C58" s="54"/>
      <c r="D58" s="54" t="s">
        <v>26</v>
      </c>
      <c r="E58" s="54" t="s">
        <v>556</v>
      </c>
      <c r="F58" s="54"/>
      <c r="G58" s="54"/>
      <c r="H58" s="54">
        <v>2017</v>
      </c>
      <c r="I58" s="54">
        <v>2018</v>
      </c>
      <c r="J58" s="54">
        <v>2019</v>
      </c>
      <c r="K58" s="54">
        <v>2020</v>
      </c>
      <c r="L58" s="54">
        <v>2021</v>
      </c>
      <c r="M58" s="54" t="s">
        <v>34</v>
      </c>
      <c r="N58" s="54" t="s">
        <v>36</v>
      </c>
      <c r="O58" s="54" t="s">
        <v>38</v>
      </c>
      <c r="P58" s="54"/>
      <c r="Q58" s="54" t="s">
        <v>34</v>
      </c>
      <c r="V58" s="49"/>
    </row>
    <row r="59" spans="1:25">
      <c r="A59" s="457" t="s">
        <v>5</v>
      </c>
      <c r="B59" s="457"/>
      <c r="C59" s="457"/>
      <c r="D59" s="457" t="s">
        <v>2</v>
      </c>
      <c r="E59" s="457" t="s">
        <v>557</v>
      </c>
      <c r="F59" s="457"/>
      <c r="G59" s="457" t="s">
        <v>105</v>
      </c>
      <c r="H59" s="457" t="s">
        <v>20</v>
      </c>
      <c r="I59" s="457" t="s">
        <v>20</v>
      </c>
      <c r="J59" s="457" t="s">
        <v>20</v>
      </c>
      <c r="K59" s="457" t="s">
        <v>20</v>
      </c>
      <c r="L59" s="457" t="s">
        <v>20</v>
      </c>
      <c r="M59" s="457" t="s">
        <v>0</v>
      </c>
      <c r="N59" s="457" t="s">
        <v>37</v>
      </c>
      <c r="O59" s="457" t="s">
        <v>0</v>
      </c>
      <c r="P59" s="457" t="s">
        <v>39</v>
      </c>
      <c r="Q59" s="56" t="s">
        <v>453</v>
      </c>
      <c r="V59" s="49"/>
    </row>
    <row r="60" spans="1:25">
      <c r="C60" s="57"/>
      <c r="D60" s="57" t="s">
        <v>69</v>
      </c>
      <c r="E60" s="57"/>
      <c r="F60" s="58"/>
      <c r="G60" s="58"/>
      <c r="H60" s="57" t="s">
        <v>163</v>
      </c>
      <c r="I60" s="57" t="s">
        <v>164</v>
      </c>
      <c r="J60" s="57" t="s">
        <v>165</v>
      </c>
      <c r="K60" s="57" t="s">
        <v>174</v>
      </c>
      <c r="L60" s="57" t="s">
        <v>210</v>
      </c>
      <c r="V60" s="50"/>
    </row>
    <row r="61" spans="1:25">
      <c r="A61" s="52">
        <v>1</v>
      </c>
      <c r="C61" s="57" t="s">
        <v>68</v>
      </c>
      <c r="D61" s="59"/>
      <c r="E61" s="57"/>
      <c r="H61" s="27">
        <f>H11+H13</f>
        <v>13471451.920000002</v>
      </c>
      <c r="I61" s="27">
        <f>I11+I13</f>
        <v>12433934.720000003</v>
      </c>
      <c r="J61" s="27">
        <f>J11</f>
        <v>14207969.879999995</v>
      </c>
      <c r="K61" s="27">
        <f>K11</f>
        <v>12186265.9</v>
      </c>
      <c r="L61" s="27">
        <f>L11</f>
        <v>8764386.3499999996</v>
      </c>
      <c r="M61" s="62"/>
      <c r="V61" s="50"/>
    </row>
    <row r="62" spans="1:25">
      <c r="A62" s="52">
        <v>2</v>
      </c>
      <c r="C62" s="57" t="s">
        <v>72</v>
      </c>
      <c r="D62" s="59"/>
      <c r="E62" s="57"/>
      <c r="H62" s="27">
        <f t="shared" ref="H62:J62" si="28">H12</f>
        <v>4210527.95</v>
      </c>
      <c r="I62" s="27">
        <f t="shared" si="28"/>
        <v>5000082.9600000009</v>
      </c>
      <c r="J62" s="27">
        <f t="shared" si="28"/>
        <v>6478540.9299999997</v>
      </c>
      <c r="K62" s="27">
        <f>K12</f>
        <v>4703450.4099999983</v>
      </c>
      <c r="L62" s="27">
        <f>L12</f>
        <v>4028678.07</v>
      </c>
      <c r="V62" s="50"/>
    </row>
    <row r="63" spans="1:25">
      <c r="A63" s="52">
        <v>3</v>
      </c>
      <c r="C63" s="57" t="s">
        <v>182</v>
      </c>
      <c r="D63" s="59"/>
      <c r="E63" s="57"/>
      <c r="H63" s="460" t="s">
        <v>394</v>
      </c>
      <c r="I63" s="460" t="s">
        <v>394</v>
      </c>
      <c r="J63" s="460" t="s">
        <v>394</v>
      </c>
      <c r="K63" s="460" t="s">
        <v>394</v>
      </c>
      <c r="L63" s="460" t="s">
        <v>394</v>
      </c>
      <c r="V63" s="50"/>
    </row>
    <row r="64" spans="1:25">
      <c r="C64" s="57"/>
      <c r="D64" s="59"/>
      <c r="E64" s="57"/>
      <c r="H64" s="460"/>
      <c r="I64" s="460"/>
      <c r="J64" s="460"/>
      <c r="K64" s="460"/>
      <c r="L64" s="460"/>
      <c r="V64" s="50"/>
    </row>
    <row r="65" spans="1:22">
      <c r="A65" s="571" t="s">
        <v>764</v>
      </c>
      <c r="C65" s="57" t="s">
        <v>68</v>
      </c>
      <c r="D65" s="59"/>
      <c r="E65" s="57"/>
      <c r="H65" s="231">
        <f>H15+H17</f>
        <v>2510914.6499999994</v>
      </c>
      <c r="I65" s="231">
        <f>I15+I17</f>
        <v>4755556.1999999983</v>
      </c>
      <c r="J65" s="231">
        <f>J15</f>
        <v>4801920.54</v>
      </c>
      <c r="K65" s="231">
        <f t="shared" ref="K65:L65" si="29">K15</f>
        <v>4929518.1200000104</v>
      </c>
      <c r="L65" s="231">
        <f t="shared" si="29"/>
        <v>4803986.8599999901</v>
      </c>
      <c r="V65" s="50"/>
    </row>
    <row r="66" spans="1:22">
      <c r="A66" s="571" t="s">
        <v>765</v>
      </c>
      <c r="C66" s="57" t="s">
        <v>72</v>
      </c>
      <c r="D66" s="59"/>
      <c r="E66" s="57"/>
      <c r="H66" s="231">
        <f>H16</f>
        <v>2278129.7400000002</v>
      </c>
      <c r="I66" s="231">
        <f t="shared" ref="I66:L66" si="30">I16</f>
        <v>5069750.870000002</v>
      </c>
      <c r="J66" s="231">
        <f t="shared" si="30"/>
        <v>6475425.9099999992</v>
      </c>
      <c r="K66" s="231">
        <f t="shared" si="30"/>
        <v>4720575.92</v>
      </c>
      <c r="L66" s="231">
        <f t="shared" si="30"/>
        <v>4028678.0700000003</v>
      </c>
      <c r="V66" s="50"/>
    </row>
    <row r="67" spans="1:22">
      <c r="A67" s="571" t="s">
        <v>766</v>
      </c>
      <c r="C67" s="57" t="s">
        <v>182</v>
      </c>
      <c r="E67" s="59"/>
      <c r="H67" s="231" t="s">
        <v>394</v>
      </c>
      <c r="I67" s="231" t="s">
        <v>394</v>
      </c>
      <c r="J67" s="231" t="s">
        <v>394</v>
      </c>
      <c r="K67" s="231" t="s">
        <v>394</v>
      </c>
      <c r="L67" s="231" t="s">
        <v>394</v>
      </c>
      <c r="V67" s="50"/>
    </row>
    <row r="68" spans="1:22">
      <c r="A68" s="571"/>
      <c r="C68" s="57"/>
      <c r="E68" s="59"/>
      <c r="H68" s="231"/>
      <c r="I68" s="231"/>
      <c r="J68" s="231"/>
      <c r="K68" s="231"/>
      <c r="V68" s="50"/>
    </row>
    <row r="69" spans="1:22">
      <c r="C69" s="54" t="s">
        <v>561</v>
      </c>
      <c r="H69" s="195"/>
      <c r="I69" s="195"/>
      <c r="J69" s="195"/>
      <c r="K69" s="195"/>
      <c r="L69" s="195"/>
      <c r="M69" s="195"/>
      <c r="N69" s="195"/>
      <c r="O69" s="244"/>
      <c r="V69" s="50"/>
    </row>
    <row r="70" spans="1:22">
      <c r="C70" s="54" t="s">
        <v>562</v>
      </c>
      <c r="H70" s="57" t="s">
        <v>163</v>
      </c>
      <c r="I70" s="57" t="s">
        <v>164</v>
      </c>
      <c r="J70" s="57" t="s">
        <v>165</v>
      </c>
      <c r="K70" s="57" t="s">
        <v>174</v>
      </c>
      <c r="L70" s="57" t="s">
        <v>210</v>
      </c>
      <c r="V70" s="51"/>
    </row>
    <row r="71" spans="1:22">
      <c r="A71" s="52">
        <f>A63+1</f>
        <v>4</v>
      </c>
      <c r="C71" s="61">
        <v>3.7499999999999999E-2</v>
      </c>
      <c r="D71" s="61">
        <v>0.05</v>
      </c>
      <c r="E71" s="156">
        <v>1</v>
      </c>
      <c r="G71" s="52">
        <v>1</v>
      </c>
      <c r="H71" s="27">
        <f t="shared" ref="H71:H76" si="31">$H$61*$C$75/12</f>
        <v>64135.33734913334</v>
      </c>
      <c r="I71" s="27">
        <f t="shared" ref="I71:I76" si="32">$I$61*$C$74/12</f>
        <v>64003.67897120001</v>
      </c>
      <c r="J71" s="27">
        <f t="shared" ref="J71:J76" si="33">$J$61*$C$73/12</f>
        <v>79055.512407299961</v>
      </c>
      <c r="K71" s="27">
        <f t="shared" ref="K71:K76" si="34">$K$61*$C$72/12</f>
        <v>73310.544610083336</v>
      </c>
      <c r="L71" s="27">
        <f t="shared" ref="L71:L76" si="35">L21</f>
        <v>32576.889135416663</v>
      </c>
      <c r="M71" s="27">
        <f>SUM(H71:L71)</f>
        <v>313081.96247313329</v>
      </c>
      <c r="N71" s="231">
        <f t="shared" ref="N71:O76" si="36">N21</f>
        <v>431026.26</v>
      </c>
      <c r="O71" s="231">
        <f t="shared" si="36"/>
        <v>188080.7821312501</v>
      </c>
      <c r="P71" s="27">
        <f>M71+N71-O71</f>
        <v>556027.44034188322</v>
      </c>
      <c r="Q71" s="27">
        <f>P71*0.05</f>
        <v>27801.372017094163</v>
      </c>
      <c r="V71" s="51"/>
    </row>
    <row r="72" spans="1:22">
      <c r="A72" s="52">
        <f>A71+1</f>
        <v>5</v>
      </c>
      <c r="C72" s="61">
        <v>7.2190000000000004E-2</v>
      </c>
      <c r="D72" s="61">
        <v>9.5000000000000001E-2</v>
      </c>
      <c r="E72" s="156">
        <v>2</v>
      </c>
      <c r="G72" s="52">
        <v>2</v>
      </c>
      <c r="H72" s="27">
        <f t="shared" si="31"/>
        <v>64135.33734913334</v>
      </c>
      <c r="I72" s="27">
        <f t="shared" si="32"/>
        <v>64003.67897120001</v>
      </c>
      <c r="J72" s="27">
        <f t="shared" si="33"/>
        <v>79055.512407299961</v>
      </c>
      <c r="K72" s="27">
        <f t="shared" si="34"/>
        <v>73310.544610083336</v>
      </c>
      <c r="L72" s="27">
        <f t="shared" si="35"/>
        <v>92498.774697916655</v>
      </c>
      <c r="M72" s="27">
        <f t="shared" ref="M72:M82" si="37">SUM(H72:L72)</f>
        <v>373003.84803563327</v>
      </c>
      <c r="N72" s="231">
        <f t="shared" si="36"/>
        <v>325396.36</v>
      </c>
      <c r="O72" s="231">
        <f t="shared" si="36"/>
        <v>191400.45103125009</v>
      </c>
      <c r="P72" s="27">
        <f t="shared" ref="P72:P83" si="38">M72+N72-O72</f>
        <v>506999.75700438314</v>
      </c>
      <c r="Q72" s="27">
        <f t="shared" ref="Q72:Q83" si="39">P72*0.05</f>
        <v>25349.987850219157</v>
      </c>
      <c r="V72" s="51"/>
    </row>
    <row r="73" spans="1:22">
      <c r="A73" s="52">
        <f t="shared" ref="A73:A99" si="40">A72+1</f>
        <v>6</v>
      </c>
      <c r="C73" s="61">
        <v>6.6769999999999996E-2</v>
      </c>
      <c r="D73" s="61">
        <v>8.5500000000000007E-2</v>
      </c>
      <c r="E73" s="156">
        <v>3</v>
      </c>
      <c r="G73" s="52">
        <v>3</v>
      </c>
      <c r="H73" s="27">
        <f t="shared" si="31"/>
        <v>64135.33734913334</v>
      </c>
      <c r="I73" s="27">
        <f t="shared" si="32"/>
        <v>64003.67897120001</v>
      </c>
      <c r="J73" s="27">
        <f t="shared" si="33"/>
        <v>79055.512407299961</v>
      </c>
      <c r="K73" s="27">
        <f t="shared" si="34"/>
        <v>73310.544610083336</v>
      </c>
      <c r="L73" s="27">
        <f t="shared" si="35"/>
        <v>181134.82557291666</v>
      </c>
      <c r="M73" s="27">
        <f t="shared" si="37"/>
        <v>461639.89891063329</v>
      </c>
      <c r="N73" s="231">
        <f t="shared" si="36"/>
        <v>448663.56</v>
      </c>
      <c r="O73" s="231">
        <f t="shared" si="36"/>
        <v>195140.45363625008</v>
      </c>
      <c r="P73" s="27">
        <f t="shared" si="38"/>
        <v>715163.00527438323</v>
      </c>
      <c r="Q73" s="27">
        <f t="shared" si="39"/>
        <v>35758.150263719166</v>
      </c>
      <c r="V73" s="51"/>
    </row>
    <row r="74" spans="1:22">
      <c r="A74" s="52">
        <f t="shared" si="40"/>
        <v>7</v>
      </c>
      <c r="C74" s="61">
        <v>6.1769999999999999E-2</v>
      </c>
      <c r="D74" s="61">
        <v>7.6999999999999999E-2</v>
      </c>
      <c r="E74" s="156">
        <v>4</v>
      </c>
      <c r="G74" s="52">
        <v>4</v>
      </c>
      <c r="H74" s="27">
        <f t="shared" si="31"/>
        <v>64135.33734913334</v>
      </c>
      <c r="I74" s="27">
        <f t="shared" si="32"/>
        <v>64003.67897120001</v>
      </c>
      <c r="J74" s="27">
        <f t="shared" si="33"/>
        <v>79055.512407299961</v>
      </c>
      <c r="K74" s="27">
        <f t="shared" si="34"/>
        <v>73310.544610083336</v>
      </c>
      <c r="L74" s="27">
        <f t="shared" si="35"/>
        <v>254182.35438541663</v>
      </c>
      <c r="M74" s="27">
        <f t="shared" si="37"/>
        <v>534687.42772313324</v>
      </c>
      <c r="N74" s="231">
        <f t="shared" si="36"/>
        <v>328140.51</v>
      </c>
      <c r="O74" s="231">
        <f t="shared" si="36"/>
        <v>199386.21511800011</v>
      </c>
      <c r="P74" s="27">
        <f t="shared" si="38"/>
        <v>663441.7226051332</v>
      </c>
      <c r="Q74" s="27">
        <f t="shared" si="39"/>
        <v>33172.086130256663</v>
      </c>
      <c r="V74" s="51"/>
    </row>
    <row r="75" spans="1:22">
      <c r="A75" s="52">
        <f t="shared" si="40"/>
        <v>8</v>
      </c>
      <c r="C75" s="61">
        <v>5.713E-2</v>
      </c>
      <c r="D75" s="61">
        <v>6.93E-2</v>
      </c>
      <c r="E75" s="156">
        <v>5</v>
      </c>
      <c r="G75" s="52">
        <v>5</v>
      </c>
      <c r="H75" s="27">
        <f t="shared" si="31"/>
        <v>64135.33734913334</v>
      </c>
      <c r="I75" s="27">
        <f t="shared" si="32"/>
        <v>64003.67897120001</v>
      </c>
      <c r="J75" s="27">
        <f t="shared" si="33"/>
        <v>79055.512407299961</v>
      </c>
      <c r="K75" s="27">
        <f t="shared" si="34"/>
        <v>73310.544610083336</v>
      </c>
      <c r="L75" s="27">
        <f t="shared" si="35"/>
        <v>326355.32506250014</v>
      </c>
      <c r="M75" s="27">
        <f t="shared" si="37"/>
        <v>606860.39840021683</v>
      </c>
      <c r="N75" s="231">
        <f t="shared" si="36"/>
        <v>251689.65000000002</v>
      </c>
      <c r="O75" s="231">
        <f t="shared" si="36"/>
        <v>203316.2238307501</v>
      </c>
      <c r="P75" s="27">
        <f t="shared" si="38"/>
        <v>655233.82456946676</v>
      </c>
      <c r="Q75" s="27">
        <f t="shared" si="39"/>
        <v>32761.691228473341</v>
      </c>
      <c r="V75" s="51"/>
    </row>
    <row r="76" spans="1:22">
      <c r="A76" s="52">
        <f t="shared" si="40"/>
        <v>9</v>
      </c>
      <c r="C76" s="61">
        <v>5.2850000000000001E-2</v>
      </c>
      <c r="D76" s="61">
        <v>6.2300000000000001E-2</v>
      </c>
      <c r="E76" s="156">
        <v>6</v>
      </c>
      <c r="G76" s="52">
        <v>6</v>
      </c>
      <c r="H76" s="27">
        <f t="shared" si="31"/>
        <v>64135.33734913334</v>
      </c>
      <c r="I76" s="27">
        <f t="shared" si="32"/>
        <v>64003.67897120001</v>
      </c>
      <c r="J76" s="27">
        <f t="shared" si="33"/>
        <v>79055.512407299961</v>
      </c>
      <c r="K76" s="27">
        <f t="shared" si="34"/>
        <v>73310.544610083336</v>
      </c>
      <c r="L76" s="27">
        <f t="shared" si="35"/>
        <v>377293.67814583337</v>
      </c>
      <c r="M76" s="27">
        <f t="shared" si="37"/>
        <v>657798.75148355006</v>
      </c>
      <c r="N76" s="231">
        <f t="shared" si="36"/>
        <v>279281.12</v>
      </c>
      <c r="O76" s="231">
        <f t="shared" si="36"/>
        <v>207220.16911950012</v>
      </c>
      <c r="P76" s="27">
        <f t="shared" si="38"/>
        <v>729859.70236404997</v>
      </c>
      <c r="Q76" s="27">
        <f t="shared" si="39"/>
        <v>36492.985118202501</v>
      </c>
      <c r="V76" s="51"/>
    </row>
    <row r="77" spans="1:22">
      <c r="A77" s="571" t="s">
        <v>763</v>
      </c>
      <c r="C77" s="61">
        <f>C76</f>
        <v>5.2850000000000001E-2</v>
      </c>
      <c r="D77" s="61"/>
      <c r="E77" s="156">
        <f>E76</f>
        <v>6</v>
      </c>
      <c r="G77" s="52">
        <f>G76</f>
        <v>6</v>
      </c>
      <c r="H77" s="231">
        <f>71724-SUM(H71:H76)</f>
        <v>-313088.02409480006</v>
      </c>
      <c r="I77" s="231">
        <f>146875-SUM(I71:I76)</f>
        <v>-237147.07382720005</v>
      </c>
      <c r="J77" s="231">
        <f>160312-SUM(J71:J76)</f>
        <v>-314021.07444379973</v>
      </c>
      <c r="K77" s="27">
        <f>177931-SUM(K71:K76)</f>
        <v>-261932.26766050002</v>
      </c>
      <c r="L77" s="27">
        <f t="shared" ref="L77:L83" si="41">L27</f>
        <v>-75111</v>
      </c>
      <c r="M77" s="231">
        <f>SUM(H77:L77)</f>
        <v>-1201299.4400262998</v>
      </c>
      <c r="N77" s="231">
        <f>498106-SUM(N71:N76)</f>
        <v>-1566091.46</v>
      </c>
      <c r="O77" s="231">
        <f>567780.27-SUM(O71:O76)</f>
        <v>-616764.02486700076</v>
      </c>
      <c r="P77" s="231">
        <f>M77+N77-O77</f>
        <v>-2150626.875159299</v>
      </c>
      <c r="Q77" s="27">
        <f t="shared" si="39"/>
        <v>-107531.34375796496</v>
      </c>
      <c r="V77" s="51"/>
    </row>
    <row r="78" spans="1:22">
      <c r="A78" s="52">
        <f>A76+1</f>
        <v>10</v>
      </c>
      <c r="C78" s="61">
        <v>4.888E-2</v>
      </c>
      <c r="D78" s="61">
        <v>5.8999999999999997E-2</v>
      </c>
      <c r="E78" s="156">
        <v>7</v>
      </c>
      <c r="G78" s="52">
        <v>7</v>
      </c>
      <c r="H78" s="27">
        <f t="shared" ref="H78:H83" si="42">$H$65*$C$75/12</f>
        <v>11954.046162874998</v>
      </c>
      <c r="I78" s="27">
        <f t="shared" ref="I78:I83" si="43">$I$65*$C$74/12</f>
        <v>24479.225539499992</v>
      </c>
      <c r="J78" s="27">
        <f t="shared" ref="J78:J83" si="44">$J$65*$C$73/12</f>
        <v>26718.686204649999</v>
      </c>
      <c r="K78" s="27">
        <f t="shared" ref="K78:K83" si="45">$K$65*$C$72/12</f>
        <v>29655.159423566729</v>
      </c>
      <c r="L78" s="27">
        <f t="shared" si="41"/>
        <v>411067.36801041639</v>
      </c>
      <c r="M78" s="27">
        <f t="shared" si="37"/>
        <v>503874.48534100811</v>
      </c>
      <c r="N78" s="231">
        <f t="shared" ref="N78:O83" si="46">N28</f>
        <v>65544.95</v>
      </c>
      <c r="O78" s="231">
        <f t="shared" si="46"/>
        <v>109297.85542650003</v>
      </c>
      <c r="P78" s="27">
        <f t="shared" si="38"/>
        <v>460121.5799145081</v>
      </c>
      <c r="Q78" s="27">
        <f t="shared" si="39"/>
        <v>23006.078995725406</v>
      </c>
      <c r="V78" s="51"/>
    </row>
    <row r="79" spans="1:22">
      <c r="A79" s="52">
        <f t="shared" si="40"/>
        <v>11</v>
      </c>
      <c r="C79" s="61">
        <v>4.5220000000000003E-2</v>
      </c>
      <c r="D79" s="61">
        <v>5.8999999999999997E-2</v>
      </c>
      <c r="E79" s="156">
        <v>8</v>
      </c>
      <c r="G79" s="52">
        <v>8</v>
      </c>
      <c r="H79" s="27">
        <f t="shared" si="42"/>
        <v>11954.046162874998</v>
      </c>
      <c r="I79" s="27">
        <f t="shared" si="43"/>
        <v>24479.225539499992</v>
      </c>
      <c r="J79" s="27">
        <f t="shared" si="44"/>
        <v>26718.686204649999</v>
      </c>
      <c r="K79" s="27">
        <f t="shared" si="45"/>
        <v>29655.159423566729</v>
      </c>
      <c r="L79" s="27">
        <f t="shared" si="41"/>
        <v>410391.65348958352</v>
      </c>
      <c r="M79" s="27">
        <f t="shared" si="37"/>
        <v>503198.77082017524</v>
      </c>
      <c r="N79" s="231">
        <f t="shared" si="46"/>
        <v>39110.54</v>
      </c>
      <c r="O79" s="231">
        <f t="shared" si="46"/>
        <v>111152.24329050005</v>
      </c>
      <c r="P79" s="27">
        <f t="shared" si="38"/>
        <v>431157.0675296752</v>
      </c>
      <c r="Q79" s="27">
        <f t="shared" si="39"/>
        <v>21557.853376483763</v>
      </c>
      <c r="V79" s="51"/>
    </row>
    <row r="80" spans="1:22">
      <c r="A80" s="52">
        <f t="shared" si="40"/>
        <v>12</v>
      </c>
      <c r="C80" s="61">
        <v>4.462E-2</v>
      </c>
      <c r="D80" s="61">
        <v>5.91E-2</v>
      </c>
      <c r="E80" s="156">
        <v>9</v>
      </c>
      <c r="G80" s="52">
        <v>9</v>
      </c>
      <c r="H80" s="27">
        <f t="shared" si="42"/>
        <v>11954.046162874998</v>
      </c>
      <c r="I80" s="27">
        <f t="shared" si="43"/>
        <v>24479.225539499992</v>
      </c>
      <c r="J80" s="27">
        <f t="shared" si="44"/>
        <v>26718.686204649999</v>
      </c>
      <c r="K80" s="27">
        <f t="shared" si="45"/>
        <v>29655.159423566729</v>
      </c>
      <c r="L80" s="27">
        <f t="shared" si="41"/>
        <v>461366.64015624981</v>
      </c>
      <c r="M80" s="27">
        <f t="shared" si="37"/>
        <v>554173.75748684152</v>
      </c>
      <c r="N80" s="231">
        <f t="shared" si="46"/>
        <v>61202.450000000004</v>
      </c>
      <c r="O80" s="231">
        <f t="shared" si="46"/>
        <v>112790.61031750006</v>
      </c>
      <c r="P80" s="27">
        <f t="shared" si="38"/>
        <v>502585.5971693414</v>
      </c>
      <c r="Q80" s="27">
        <f t="shared" si="39"/>
        <v>25129.279858467071</v>
      </c>
      <c r="V80" s="51"/>
    </row>
    <row r="81" spans="1:22">
      <c r="A81" s="52">
        <f t="shared" si="40"/>
        <v>13</v>
      </c>
      <c r="C81" s="61">
        <v>4.4609999999999997E-2</v>
      </c>
      <c r="D81" s="61">
        <v>5.8999999999999997E-2</v>
      </c>
      <c r="E81" s="156">
        <v>10</v>
      </c>
      <c r="G81" s="52">
        <v>10</v>
      </c>
      <c r="H81" s="27">
        <f t="shared" si="42"/>
        <v>11954.046162874998</v>
      </c>
      <c r="I81" s="27">
        <f t="shared" si="43"/>
        <v>24479.225539499992</v>
      </c>
      <c r="J81" s="27">
        <f t="shared" si="44"/>
        <v>26718.686204649999</v>
      </c>
      <c r="K81" s="27">
        <f t="shared" si="45"/>
        <v>29655.159423566729</v>
      </c>
      <c r="L81" s="27">
        <f t="shared" si="41"/>
        <v>466583.69696874998</v>
      </c>
      <c r="M81" s="27">
        <f t="shared" si="37"/>
        <v>559390.81429934176</v>
      </c>
      <c r="N81" s="231">
        <f t="shared" si="46"/>
        <v>129487.40000000001</v>
      </c>
      <c r="O81" s="231">
        <f t="shared" si="46"/>
        <v>114476.09014550004</v>
      </c>
      <c r="P81" s="27">
        <f t="shared" si="38"/>
        <v>574402.12415384175</v>
      </c>
      <c r="Q81" s="27">
        <f t="shared" si="39"/>
        <v>28720.10620769209</v>
      </c>
      <c r="V81" s="51"/>
    </row>
    <row r="82" spans="1:22">
      <c r="A82" s="52">
        <f t="shared" si="40"/>
        <v>14</v>
      </c>
      <c r="C82" s="61">
        <v>4.462E-2</v>
      </c>
      <c r="D82" s="61">
        <v>5.91E-2</v>
      </c>
      <c r="E82" s="156">
        <v>11</v>
      </c>
      <c r="G82" s="52">
        <v>11</v>
      </c>
      <c r="H82" s="27">
        <f t="shared" si="42"/>
        <v>11954.046162874998</v>
      </c>
      <c r="I82" s="27">
        <f t="shared" si="43"/>
        <v>24479.225539499992</v>
      </c>
      <c r="J82" s="27">
        <f t="shared" si="44"/>
        <v>26718.686204649999</v>
      </c>
      <c r="K82" s="27">
        <f t="shared" si="45"/>
        <v>29655.159423566729</v>
      </c>
      <c r="L82" s="27">
        <f t="shared" si="41"/>
        <v>601912.98555208335</v>
      </c>
      <c r="M82" s="27">
        <f t="shared" si="37"/>
        <v>694720.10288267513</v>
      </c>
      <c r="N82" s="231">
        <f t="shared" si="46"/>
        <v>39510.61</v>
      </c>
      <c r="O82" s="231">
        <f t="shared" si="46"/>
        <v>116451.29566350004</v>
      </c>
      <c r="P82" s="27">
        <f t="shared" si="38"/>
        <v>617779.41721917503</v>
      </c>
      <c r="Q82" s="27">
        <f t="shared" si="39"/>
        <v>30888.970860958754</v>
      </c>
      <c r="V82" s="51"/>
    </row>
    <row r="83" spans="1:22">
      <c r="A83" s="52">
        <f t="shared" si="40"/>
        <v>15</v>
      </c>
      <c r="C83" s="61">
        <v>4.4609999999999997E-2</v>
      </c>
      <c r="D83" s="61">
        <v>5.8999999999999997E-2</v>
      </c>
      <c r="E83" s="156">
        <v>12</v>
      </c>
      <c r="G83" s="52">
        <v>12</v>
      </c>
      <c r="H83" s="27">
        <f t="shared" si="42"/>
        <v>11954.046162874998</v>
      </c>
      <c r="I83" s="27">
        <f t="shared" si="43"/>
        <v>24479.225539499992</v>
      </c>
      <c r="J83" s="27">
        <f t="shared" si="44"/>
        <v>26718.686204649999</v>
      </c>
      <c r="K83" s="27">
        <f t="shared" si="45"/>
        <v>29655.159423566729</v>
      </c>
      <c r="L83" s="27">
        <f t="shared" si="41"/>
        <v>668574.38607291586</v>
      </c>
      <c r="M83" s="27">
        <f>SUM(H83:L83)</f>
        <v>761381.50340350764</v>
      </c>
      <c r="N83" s="231">
        <f t="shared" si="46"/>
        <v>35715.370000000003</v>
      </c>
      <c r="O83" s="231">
        <f t="shared" si="46"/>
        <v>118676.58938550005</v>
      </c>
      <c r="P83" s="27">
        <f t="shared" si="38"/>
        <v>678420.28401800757</v>
      </c>
      <c r="Q83" s="27">
        <f t="shared" si="39"/>
        <v>33921.014200900383</v>
      </c>
      <c r="V83" s="51"/>
    </row>
    <row r="84" spans="1:22">
      <c r="A84" s="52">
        <f t="shared" si="40"/>
        <v>16</v>
      </c>
      <c r="C84" s="61">
        <v>4.462E-2</v>
      </c>
      <c r="D84" s="61">
        <v>5.91E-2</v>
      </c>
      <c r="E84" s="156">
        <v>13</v>
      </c>
      <c r="H84" s="27"/>
      <c r="I84" s="27"/>
      <c r="J84" s="27"/>
      <c r="K84" s="27"/>
      <c r="L84" s="27"/>
      <c r="M84" s="27"/>
      <c r="N84" s="27"/>
      <c r="O84" s="27"/>
      <c r="P84" s="27" t="str">
        <f t="shared" ref="P84:P98" si="47">IF(O84=0,"",M84+N84-O84)</f>
        <v/>
      </c>
      <c r="Q84" s="27" t="str">
        <f t="shared" ref="Q84:Q98" si="48">IF(P84="","",P84*0.389)</f>
        <v/>
      </c>
      <c r="R84" s="51"/>
      <c r="S84" s="51"/>
      <c r="T84" s="51"/>
      <c r="U84" s="51"/>
      <c r="V84" s="27" t="str">
        <f t="shared" ref="V84:V98" si="49">IF(Q84="","",V83+Q84)</f>
        <v/>
      </c>
    </row>
    <row r="85" spans="1:22">
      <c r="A85" s="52">
        <f t="shared" si="40"/>
        <v>17</v>
      </c>
      <c r="C85" s="61">
        <v>4.4609999999999997E-2</v>
      </c>
      <c r="D85" s="61">
        <v>5.8999999999999997E-2</v>
      </c>
      <c r="E85" s="156">
        <v>14</v>
      </c>
      <c r="H85" s="27"/>
      <c r="I85" s="27"/>
      <c r="J85" s="27"/>
      <c r="K85" s="27"/>
      <c r="L85" s="27"/>
      <c r="M85" s="27"/>
      <c r="N85" s="27"/>
      <c r="O85" s="27"/>
      <c r="P85" s="27" t="str">
        <f t="shared" si="47"/>
        <v/>
      </c>
      <c r="Q85" s="27" t="str">
        <f t="shared" si="48"/>
        <v/>
      </c>
      <c r="R85" s="51"/>
      <c r="S85" s="51"/>
      <c r="T85" s="51"/>
      <c r="U85" s="51"/>
      <c r="V85" s="27" t="str">
        <f t="shared" si="49"/>
        <v/>
      </c>
    </row>
    <row r="86" spans="1:22">
      <c r="A86" s="52">
        <f t="shared" si="40"/>
        <v>18</v>
      </c>
      <c r="C86" s="61">
        <v>4.462E-2</v>
      </c>
      <c r="D86" s="61">
        <v>5.91E-2</v>
      </c>
      <c r="E86" s="156">
        <v>15</v>
      </c>
      <c r="H86" s="27"/>
      <c r="I86" s="27"/>
      <c r="J86" s="27"/>
      <c r="K86" s="27"/>
      <c r="L86" s="27"/>
      <c r="M86" s="27"/>
      <c r="N86" s="27"/>
      <c r="O86" s="27"/>
      <c r="P86" s="27" t="str">
        <f t="shared" si="47"/>
        <v/>
      </c>
      <c r="Q86" s="27" t="str">
        <f t="shared" si="48"/>
        <v/>
      </c>
      <c r="R86" s="51"/>
      <c r="S86" s="51"/>
      <c r="T86" s="51"/>
      <c r="U86" s="51"/>
      <c r="V86" s="27" t="str">
        <f t="shared" si="49"/>
        <v/>
      </c>
    </row>
    <row r="87" spans="1:22">
      <c r="A87" s="52">
        <f t="shared" si="40"/>
        <v>19</v>
      </c>
      <c r="C87" s="61">
        <v>4.4609999999999997E-2</v>
      </c>
      <c r="D87" s="61">
        <v>2.9499999999999998E-2</v>
      </c>
      <c r="E87" s="156">
        <v>16</v>
      </c>
      <c r="H87" s="27"/>
      <c r="I87" s="27"/>
      <c r="J87" s="27"/>
      <c r="K87" s="27"/>
      <c r="L87" s="27"/>
      <c r="M87" s="27"/>
      <c r="N87" s="27"/>
      <c r="O87" s="27"/>
      <c r="P87" s="27" t="str">
        <f t="shared" si="47"/>
        <v/>
      </c>
      <c r="Q87" s="27" t="str">
        <f t="shared" si="48"/>
        <v/>
      </c>
      <c r="R87" s="51"/>
      <c r="S87" s="51"/>
      <c r="T87" s="51"/>
      <c r="U87" s="51"/>
      <c r="V87" s="27" t="str">
        <f t="shared" si="49"/>
        <v/>
      </c>
    </row>
    <row r="88" spans="1:22">
      <c r="A88" s="52">
        <f t="shared" si="40"/>
        <v>20</v>
      </c>
      <c r="C88" s="61">
        <v>4.462E-2</v>
      </c>
      <c r="D88" s="61">
        <v>0</v>
      </c>
      <c r="E88" s="156">
        <v>17</v>
      </c>
      <c r="H88" s="27"/>
      <c r="I88" s="27"/>
      <c r="J88" s="27"/>
      <c r="K88" s="27"/>
      <c r="L88" s="27"/>
      <c r="M88" s="27"/>
      <c r="N88" s="27"/>
      <c r="O88" s="27"/>
      <c r="P88" s="27" t="str">
        <f t="shared" si="47"/>
        <v/>
      </c>
      <c r="Q88" s="27" t="str">
        <f t="shared" si="48"/>
        <v/>
      </c>
      <c r="R88" s="51"/>
      <c r="S88" s="51"/>
      <c r="T88" s="51"/>
      <c r="U88" s="51"/>
      <c r="V88" s="27" t="str">
        <f t="shared" si="49"/>
        <v/>
      </c>
    </row>
    <row r="89" spans="1:22">
      <c r="A89" s="52">
        <f t="shared" si="40"/>
        <v>21</v>
      </c>
      <c r="C89" s="61">
        <v>4.4609999999999997E-2</v>
      </c>
      <c r="D89" s="61">
        <v>0</v>
      </c>
      <c r="E89" s="156">
        <v>18</v>
      </c>
      <c r="H89" s="27"/>
      <c r="I89" s="27"/>
      <c r="J89" s="27"/>
      <c r="K89" s="27"/>
      <c r="L89" s="27"/>
      <c r="M89" s="27"/>
      <c r="N89" s="27"/>
      <c r="O89" s="27"/>
      <c r="P89" s="27" t="str">
        <f t="shared" si="47"/>
        <v/>
      </c>
      <c r="Q89" s="27" t="str">
        <f t="shared" si="48"/>
        <v/>
      </c>
      <c r="R89" s="51"/>
      <c r="S89" s="51"/>
      <c r="T89" s="51"/>
      <c r="U89" s="51"/>
      <c r="V89" s="27" t="str">
        <f t="shared" si="49"/>
        <v/>
      </c>
    </row>
    <row r="90" spans="1:22">
      <c r="A90" s="52">
        <f t="shared" si="40"/>
        <v>22</v>
      </c>
      <c r="C90" s="61">
        <v>4.462E-2</v>
      </c>
      <c r="D90" s="61">
        <v>0</v>
      </c>
      <c r="E90" s="156">
        <v>19</v>
      </c>
      <c r="H90" s="27"/>
      <c r="I90" s="27"/>
      <c r="J90" s="27"/>
      <c r="K90" s="27"/>
      <c r="L90" s="27"/>
      <c r="M90" s="27"/>
      <c r="N90" s="27"/>
      <c r="O90" s="27"/>
      <c r="P90" s="27" t="str">
        <f t="shared" si="47"/>
        <v/>
      </c>
      <c r="Q90" s="27" t="str">
        <f t="shared" si="48"/>
        <v/>
      </c>
      <c r="R90" s="51"/>
      <c r="S90" s="51"/>
      <c r="T90" s="51"/>
      <c r="U90" s="51"/>
      <c r="V90" s="27" t="str">
        <f t="shared" si="49"/>
        <v/>
      </c>
    </row>
    <row r="91" spans="1:22">
      <c r="A91" s="52">
        <f t="shared" si="40"/>
        <v>23</v>
      </c>
      <c r="C91" s="61">
        <v>4.4609999999999997E-2</v>
      </c>
      <c r="D91" s="61">
        <v>0</v>
      </c>
      <c r="E91" s="156">
        <v>20</v>
      </c>
      <c r="H91" s="27"/>
      <c r="I91" s="27"/>
      <c r="J91" s="27"/>
      <c r="K91" s="27"/>
      <c r="L91" s="27"/>
      <c r="M91" s="27"/>
      <c r="N91" s="27"/>
      <c r="O91" s="27"/>
      <c r="P91" s="27" t="str">
        <f t="shared" si="47"/>
        <v/>
      </c>
      <c r="Q91" s="27" t="str">
        <f t="shared" si="48"/>
        <v/>
      </c>
      <c r="R91" s="51"/>
      <c r="S91" s="51"/>
      <c r="T91" s="51"/>
      <c r="U91" s="51"/>
      <c r="V91" s="27" t="str">
        <f t="shared" si="49"/>
        <v/>
      </c>
    </row>
    <row r="92" spans="1:22">
      <c r="A92" s="52">
        <f t="shared" si="40"/>
        <v>24</v>
      </c>
      <c r="C92" s="61">
        <v>2.231E-2</v>
      </c>
      <c r="D92" s="61">
        <v>0</v>
      </c>
      <c r="E92" s="156">
        <v>21</v>
      </c>
      <c r="H92" s="27"/>
      <c r="I92" s="27"/>
      <c r="J92" s="27"/>
      <c r="K92" s="27"/>
      <c r="L92" s="27"/>
      <c r="M92" s="27"/>
      <c r="N92" s="27"/>
      <c r="O92" s="27"/>
      <c r="P92" s="27" t="str">
        <f t="shared" si="47"/>
        <v/>
      </c>
      <c r="Q92" s="27" t="str">
        <f t="shared" si="48"/>
        <v/>
      </c>
      <c r="R92" s="51"/>
      <c r="S92" s="51"/>
      <c r="T92" s="51"/>
      <c r="U92" s="51"/>
      <c r="V92" s="27" t="str">
        <f t="shared" si="49"/>
        <v/>
      </c>
    </row>
    <row r="93" spans="1:22">
      <c r="A93" s="52">
        <f t="shared" si="40"/>
        <v>25</v>
      </c>
      <c r="C93" s="61">
        <v>0</v>
      </c>
      <c r="D93" s="61">
        <v>0</v>
      </c>
      <c r="E93" s="156">
        <v>22</v>
      </c>
      <c r="H93" s="27"/>
      <c r="I93" s="27"/>
      <c r="J93" s="27"/>
      <c r="K93" s="27"/>
      <c r="L93" s="27"/>
      <c r="M93" s="27"/>
      <c r="N93" s="27"/>
      <c r="O93" s="27"/>
      <c r="P93" s="27" t="str">
        <f t="shared" si="47"/>
        <v/>
      </c>
      <c r="Q93" s="27" t="str">
        <f t="shared" si="48"/>
        <v/>
      </c>
      <c r="R93" s="51"/>
      <c r="S93" s="51"/>
      <c r="T93" s="51"/>
      <c r="U93" s="51"/>
      <c r="V93" s="27" t="str">
        <f t="shared" si="49"/>
        <v/>
      </c>
    </row>
    <row r="94" spans="1:22">
      <c r="A94" s="52">
        <f t="shared" si="40"/>
        <v>26</v>
      </c>
      <c r="C94" s="61">
        <v>0</v>
      </c>
      <c r="E94" s="156">
        <v>23</v>
      </c>
      <c r="H94" s="27"/>
      <c r="I94" s="27"/>
      <c r="J94" s="27"/>
      <c r="K94" s="27"/>
      <c r="L94" s="27"/>
      <c r="M94" s="27"/>
      <c r="P94" s="27" t="str">
        <f t="shared" si="47"/>
        <v/>
      </c>
      <c r="Q94" s="27" t="str">
        <f t="shared" si="48"/>
        <v/>
      </c>
      <c r="R94" s="51"/>
      <c r="S94" s="51"/>
      <c r="T94" s="51"/>
      <c r="U94" s="51"/>
      <c r="V94" s="27" t="str">
        <f t="shared" si="49"/>
        <v/>
      </c>
    </row>
    <row r="95" spans="1:22">
      <c r="A95" s="52">
        <f t="shared" si="40"/>
        <v>27</v>
      </c>
      <c r="C95" s="61">
        <v>0</v>
      </c>
      <c r="E95" s="156">
        <v>24</v>
      </c>
      <c r="H95" s="27"/>
      <c r="I95" s="27"/>
      <c r="J95" s="27"/>
      <c r="K95" s="27"/>
      <c r="L95" s="27"/>
      <c r="M95" s="27"/>
      <c r="P95" s="27" t="str">
        <f t="shared" si="47"/>
        <v/>
      </c>
      <c r="Q95" s="27" t="str">
        <f t="shared" si="48"/>
        <v/>
      </c>
      <c r="R95" s="51"/>
      <c r="S95" s="51"/>
      <c r="T95" s="51"/>
      <c r="U95" s="51"/>
      <c r="V95" s="27" t="str">
        <f t="shared" si="49"/>
        <v/>
      </c>
    </row>
    <row r="96" spans="1:22">
      <c r="A96" s="52">
        <f t="shared" si="40"/>
        <v>28</v>
      </c>
      <c r="C96" s="61">
        <v>0</v>
      </c>
      <c r="E96" s="156">
        <v>25</v>
      </c>
      <c r="H96" s="27"/>
      <c r="I96" s="27"/>
      <c r="J96" s="27"/>
      <c r="K96" s="27"/>
      <c r="L96" s="27"/>
      <c r="M96" s="27"/>
      <c r="P96" s="27" t="str">
        <f t="shared" si="47"/>
        <v/>
      </c>
      <c r="Q96" s="27" t="str">
        <f t="shared" si="48"/>
        <v/>
      </c>
      <c r="R96" s="51"/>
      <c r="S96" s="51"/>
      <c r="T96" s="51"/>
      <c r="U96" s="51"/>
      <c r="V96" s="27" t="str">
        <f t="shared" si="49"/>
        <v/>
      </c>
    </row>
    <row r="97" spans="1:22">
      <c r="A97" s="52">
        <f t="shared" si="40"/>
        <v>29</v>
      </c>
      <c r="C97" s="61">
        <v>0</v>
      </c>
      <c r="E97" s="156">
        <v>26</v>
      </c>
      <c r="H97" s="27"/>
      <c r="I97" s="27"/>
      <c r="J97" s="27"/>
      <c r="K97" s="27"/>
      <c r="L97" s="27"/>
      <c r="M97" s="27"/>
      <c r="P97" s="27" t="str">
        <f t="shared" si="47"/>
        <v/>
      </c>
      <c r="Q97" s="27" t="str">
        <f t="shared" si="48"/>
        <v/>
      </c>
      <c r="R97" s="51"/>
      <c r="S97" s="51"/>
      <c r="T97" s="51"/>
      <c r="U97" s="51"/>
      <c r="V97" s="27" t="str">
        <f t="shared" si="49"/>
        <v/>
      </c>
    </row>
    <row r="98" spans="1:22">
      <c r="A98" s="52">
        <f t="shared" si="40"/>
        <v>30</v>
      </c>
      <c r="C98" s="61">
        <v>0</v>
      </c>
      <c r="E98" s="156">
        <v>27</v>
      </c>
      <c r="M98" s="27"/>
      <c r="P98" s="27" t="str">
        <f t="shared" si="47"/>
        <v/>
      </c>
      <c r="Q98" s="27" t="str">
        <f t="shared" si="48"/>
        <v/>
      </c>
      <c r="V98" s="27" t="str">
        <f t="shared" si="49"/>
        <v/>
      </c>
    </row>
    <row r="99" spans="1:22">
      <c r="A99" s="52">
        <f t="shared" si="40"/>
        <v>31</v>
      </c>
      <c r="H99" s="27">
        <f>SUM(H71:H98)</f>
        <v>143448.27697724995</v>
      </c>
      <c r="I99" s="27">
        <f t="shared" ref="I99:Q99" si="50">SUM(I71:I98)</f>
        <v>293750.35323699994</v>
      </c>
      <c r="J99" s="27">
        <f t="shared" si="50"/>
        <v>320624.11722789996</v>
      </c>
      <c r="K99" s="27">
        <f t="shared" si="50"/>
        <v>355861.95654140029</v>
      </c>
      <c r="L99" s="27">
        <f t="shared" si="50"/>
        <v>4208827.5772499992</v>
      </c>
      <c r="M99" s="27">
        <f t="shared" si="50"/>
        <v>5322512.2812335491</v>
      </c>
      <c r="N99" s="27">
        <f t="shared" si="50"/>
        <v>868677.32</v>
      </c>
      <c r="O99" s="27">
        <f t="shared" si="50"/>
        <v>1250624.9542290003</v>
      </c>
      <c r="P99" s="27">
        <f t="shared" si="50"/>
        <v>4940564.6470045503</v>
      </c>
      <c r="Q99" s="27">
        <f t="shared" si="50"/>
        <v>247028.23235022748</v>
      </c>
      <c r="R99" s="27"/>
      <c r="S99" s="27"/>
      <c r="T99" s="27"/>
      <c r="U99" s="27"/>
      <c r="V99" s="27"/>
    </row>
    <row r="100" spans="1:22">
      <c r="H100" s="27"/>
      <c r="I100" s="27"/>
      <c r="J100" s="27"/>
      <c r="K100" s="27"/>
      <c r="L100" s="27"/>
      <c r="M100" s="27"/>
      <c r="N100" s="27"/>
      <c r="O100" s="27"/>
      <c r="V100" s="27"/>
    </row>
    <row r="101" spans="1:22">
      <c r="B101" s="52" t="s">
        <v>163</v>
      </c>
      <c r="C101" s="52" t="str">
        <f>C51</f>
        <v>2017 20-year additions at MACRS Year 5 tax rate (0.057130)</v>
      </c>
    </row>
    <row r="102" spans="1:22">
      <c r="B102" s="60" t="s">
        <v>164</v>
      </c>
      <c r="C102" s="52" t="str">
        <f>C52</f>
        <v>2018 20-year additions at MACRS Year 4 tax rate (0.061770)</v>
      </c>
    </row>
    <row r="103" spans="1:22">
      <c r="B103" s="60" t="s">
        <v>165</v>
      </c>
      <c r="C103" s="52" t="str">
        <f>C53</f>
        <v>2019 20-year additions at MACRS Year 3 tax rate (0.066770)</v>
      </c>
      <c r="D103" s="245"/>
    </row>
    <row r="104" spans="1:22">
      <c r="B104" s="60" t="s">
        <v>174</v>
      </c>
      <c r="C104" s="52" t="str">
        <f>C54</f>
        <v>2020 20-year additions at MACRS Year 2 tax rate (0.072190)</v>
      </c>
    </row>
    <row r="105" spans="1:22">
      <c r="B105" s="60" t="s">
        <v>210</v>
      </c>
      <c r="C105" s="52" t="str">
        <f>C55</f>
        <v>2021 20-year additions at MACRS Year 1 tax rate (0.037500) plus repairs</v>
      </c>
    </row>
  </sheetData>
  <dataValidations count="1">
    <dataValidation type="decimal" operator="lessThanOrEqual" allowBlank="1" showInputMessage="1" showErrorMessage="1" errorTitle="Error" error="Value should be negative." sqref="U20" xr:uid="{3ACDD5C8-95F5-4F44-AAA9-E46BD13830F1}">
      <formula1>0</formula1>
    </dataValidation>
  </dataValidations>
  <pageMargins left="0.7" right="0.7" top="0.75" bottom="0.75" header="0.3" footer="0.3"/>
  <pageSetup scale="37" orientation="landscape" r:id="rId1"/>
  <headerFooter>
    <oddFooter>&amp;R&amp;"Times New Roman,Bold"&amp;17Exhibit 4
Page 17 of 18&amp;L&amp;1#&amp;"Calibri"&amp;14&amp;K000000Business Use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DFB3-5B30-4808-B487-F0C0EF3AA3F6}">
  <sheetPr>
    <tabColor theme="5" tint="0.39997558519241921"/>
    <pageSetUpPr fitToPage="1"/>
  </sheetPr>
  <dimension ref="A1:AD89"/>
  <sheetViews>
    <sheetView zoomScale="80" zoomScaleNormal="8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9" width="14.140625" style="52" customWidth="1"/>
    <col min="10" max="10" width="15" style="52" bestFit="1" customWidth="1"/>
    <col min="11" max="11" width="13.85546875" style="52" bestFit="1" customWidth="1"/>
    <col min="12" max="12" width="14.42578125" style="52" bestFit="1" customWidth="1"/>
    <col min="13" max="13" width="13.85546875" style="52" bestFit="1" customWidth="1"/>
    <col min="14" max="14" width="11.5703125" style="52" bestFit="1" customWidth="1"/>
    <col min="15" max="15" width="10.85546875" style="52" customWidth="1"/>
    <col min="16" max="16" width="11.42578125" style="52" customWidth="1"/>
    <col min="17" max="17" width="11.140625" style="52" customWidth="1"/>
    <col min="18" max="18" width="14.85546875" style="52" customWidth="1"/>
    <col min="19" max="19" width="12" style="52" customWidth="1"/>
    <col min="20" max="20" width="9.140625" style="52"/>
    <col min="21" max="21" width="13.85546875" style="52" customWidth="1"/>
    <col min="22" max="22" width="15" style="52" bestFit="1" customWidth="1"/>
    <col min="23" max="23" width="9.140625" style="52"/>
    <col min="24" max="24" width="11" style="52" bestFit="1" customWidth="1"/>
    <col min="25" max="25" width="13.140625" style="52" bestFit="1" customWidth="1"/>
    <col min="26" max="26" width="12" style="52" bestFit="1" customWidth="1"/>
    <col min="27" max="16384" width="9.140625" style="52"/>
  </cols>
  <sheetData>
    <row r="1" spans="1:27" ht="18.75">
      <c r="A1" s="191" t="s">
        <v>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</row>
    <row r="2" spans="1:27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7" ht="18.75">
      <c r="A3" s="191" t="s">
        <v>550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1:27">
      <c r="A4" s="53"/>
    </row>
    <row r="6" spans="1:27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155"/>
      <c r="K6" s="54"/>
      <c r="L6" s="54"/>
      <c r="M6" s="54"/>
      <c r="N6" s="54"/>
      <c r="O6" s="54"/>
      <c r="P6" s="54"/>
      <c r="Q6" s="54"/>
      <c r="R6" s="54"/>
    </row>
    <row r="7" spans="1:27" ht="25.5">
      <c r="A7" s="54"/>
      <c r="B7" s="54"/>
      <c r="C7" s="55"/>
      <c r="D7" s="54" t="s">
        <v>25</v>
      </c>
      <c r="E7" s="55" t="s">
        <v>555</v>
      </c>
      <c r="F7" s="54"/>
      <c r="G7" s="54"/>
      <c r="H7" s="54"/>
      <c r="I7" s="54"/>
      <c r="J7" s="54" t="s">
        <v>3</v>
      </c>
      <c r="K7" s="54" t="s">
        <v>35</v>
      </c>
      <c r="L7" s="54"/>
      <c r="M7" s="54"/>
      <c r="N7" s="55" t="s">
        <v>178</v>
      </c>
      <c r="O7" s="55" t="s">
        <v>179</v>
      </c>
      <c r="P7" s="55" t="s">
        <v>184</v>
      </c>
      <c r="Q7" s="55" t="s">
        <v>186</v>
      </c>
      <c r="R7" s="54" t="s">
        <v>41</v>
      </c>
      <c r="S7" s="55" t="s">
        <v>161</v>
      </c>
      <c r="T7" s="55"/>
      <c r="U7" s="55" t="s">
        <v>618</v>
      </c>
    </row>
    <row r="8" spans="1:27">
      <c r="A8" s="54" t="s">
        <v>4</v>
      </c>
      <c r="B8" s="54"/>
      <c r="C8" s="54"/>
      <c r="D8" s="54" t="s">
        <v>26</v>
      </c>
      <c r="E8" s="54" t="s">
        <v>556</v>
      </c>
      <c r="F8" s="54"/>
      <c r="G8" s="54"/>
      <c r="H8" s="54">
        <v>2020</v>
      </c>
      <c r="I8" s="54">
        <v>2021</v>
      </c>
      <c r="J8" s="54" t="s">
        <v>34</v>
      </c>
      <c r="K8" s="54" t="s">
        <v>36</v>
      </c>
      <c r="L8" s="54" t="s">
        <v>38</v>
      </c>
      <c r="M8" s="54"/>
      <c r="N8" s="54" t="s">
        <v>34</v>
      </c>
      <c r="O8" s="54" t="s">
        <v>34</v>
      </c>
      <c r="P8" s="54" t="s">
        <v>185</v>
      </c>
      <c r="Q8" s="54" t="s">
        <v>187</v>
      </c>
      <c r="R8" s="54" t="s">
        <v>40</v>
      </c>
      <c r="S8" s="54" t="s">
        <v>234</v>
      </c>
      <c r="T8" s="54" t="s">
        <v>161</v>
      </c>
      <c r="U8" s="54" t="s">
        <v>40</v>
      </c>
      <c r="X8" s="54" t="s">
        <v>633</v>
      </c>
      <c r="Y8" s="54" t="s">
        <v>635</v>
      </c>
      <c r="Z8" s="54" t="s">
        <v>634</v>
      </c>
      <c r="AA8" s="54" t="s">
        <v>636</v>
      </c>
    </row>
    <row r="9" spans="1:27">
      <c r="A9" s="457" t="s">
        <v>5</v>
      </c>
      <c r="B9" s="457"/>
      <c r="C9" s="457"/>
      <c r="D9" s="457" t="s">
        <v>2</v>
      </c>
      <c r="E9" s="457" t="s">
        <v>557</v>
      </c>
      <c r="F9" s="457"/>
      <c r="G9" s="457" t="s">
        <v>105</v>
      </c>
      <c r="H9" s="457" t="s">
        <v>20</v>
      </c>
      <c r="I9" s="457" t="s">
        <v>20</v>
      </c>
      <c r="J9" s="457" t="s">
        <v>0</v>
      </c>
      <c r="K9" s="457" t="s">
        <v>37</v>
      </c>
      <c r="L9" s="457" t="s">
        <v>0</v>
      </c>
      <c r="M9" s="457" t="s">
        <v>39</v>
      </c>
      <c r="N9" s="56" t="s">
        <v>340</v>
      </c>
      <c r="O9" s="56" t="s">
        <v>183</v>
      </c>
      <c r="P9" s="56" t="s">
        <v>340</v>
      </c>
      <c r="Q9" s="56" t="s">
        <v>12</v>
      </c>
      <c r="R9" s="457" t="s">
        <v>42</v>
      </c>
      <c r="S9" s="56" t="s">
        <v>235</v>
      </c>
      <c r="T9" s="56" t="s">
        <v>236</v>
      </c>
      <c r="U9" s="457" t="s">
        <v>42</v>
      </c>
      <c r="X9" s="56" t="s">
        <v>20</v>
      </c>
      <c r="Y9" s="56" t="s">
        <v>20</v>
      </c>
      <c r="Z9" s="56" t="s">
        <v>20</v>
      </c>
      <c r="AA9" s="56" t="s">
        <v>637</v>
      </c>
    </row>
    <row r="10" spans="1:27">
      <c r="C10" s="57"/>
      <c r="D10" s="57" t="s">
        <v>69</v>
      </c>
      <c r="E10" s="57"/>
      <c r="F10" s="58"/>
      <c r="G10" s="58"/>
      <c r="H10" s="59" t="s">
        <v>163</v>
      </c>
      <c r="I10" s="59" t="s">
        <v>164</v>
      </c>
    </row>
    <row r="11" spans="1:27">
      <c r="A11" s="52">
        <v>1</v>
      </c>
      <c r="C11" s="57" t="s">
        <v>69</v>
      </c>
      <c r="D11" s="59"/>
      <c r="E11" s="57"/>
      <c r="H11" s="231">
        <f>'202012 Bk Depr'!R14-H12-H13</f>
        <v>76085202.640000001</v>
      </c>
      <c r="I11" s="27">
        <f>SUM('202101 Bk Depr'!L14,'202102 Bk Depr'!L14,'202103 Bk Depr'!L14,'202104 Bk Depr'!L14,'202105 Bk Depr'!L14,'202106 Bk Depr'!L14,'202107 Bk Depr'!L14,'202108 Bk Depr'!L14,'202109 Bk Depr'!L14,'202110 Bk Depr'!L14,'202111 Bk Depr'!L14,'202112 Bk Depr'!L14)-I12-I13</f>
        <v>14036748.57</v>
      </c>
      <c r="J11" s="27"/>
    </row>
    <row r="12" spans="1:27">
      <c r="A12" s="52">
        <v>2</v>
      </c>
      <c r="C12" s="57" t="s">
        <v>72</v>
      </c>
      <c r="D12" s="59"/>
      <c r="E12" s="57"/>
      <c r="H12" s="231">
        <f>'Tax Depr 2020-Trans'!H12</f>
        <v>0</v>
      </c>
      <c r="I12" s="231">
        <v>0</v>
      </c>
      <c r="V12" s="403" t="s">
        <v>540</v>
      </c>
      <c r="W12" s="468">
        <f>SUM('202101 Bk Depr:202112 Bk Depr'!L14)-SUM(I11:I13)</f>
        <v>0</v>
      </c>
    </row>
    <row r="13" spans="1:27">
      <c r="A13" s="52">
        <v>3</v>
      </c>
      <c r="C13" s="57" t="s">
        <v>182</v>
      </c>
      <c r="D13" s="59"/>
      <c r="E13" s="57"/>
      <c r="H13" s="231">
        <f>'Tax Depr 2020-Trans'!H13</f>
        <v>0</v>
      </c>
      <c r="I13" s="231">
        <v>0</v>
      </c>
    </row>
    <row r="14" spans="1:27">
      <c r="C14" s="59"/>
      <c r="E14" s="59"/>
      <c r="W14" s="50"/>
      <c r="X14" s="50"/>
      <c r="Y14" s="50"/>
      <c r="Z14" s="50"/>
    </row>
    <row r="15" spans="1:27">
      <c r="C15" s="54" t="s">
        <v>561</v>
      </c>
      <c r="H15" s="195"/>
      <c r="I15" s="195"/>
      <c r="J15" s="195"/>
      <c r="K15" s="195"/>
      <c r="L15" s="244"/>
      <c r="V15" s="403" t="s">
        <v>774</v>
      </c>
      <c r="W15" s="154" t="s">
        <v>39</v>
      </c>
      <c r="X15" s="50"/>
      <c r="Y15" s="50"/>
      <c r="Z15" s="50"/>
    </row>
    <row r="16" spans="1:27">
      <c r="C16" s="54" t="s">
        <v>562</v>
      </c>
      <c r="H16" s="59" t="s">
        <v>163</v>
      </c>
      <c r="I16" s="59" t="s">
        <v>164</v>
      </c>
      <c r="Q16" s="231">
        <v>0</v>
      </c>
      <c r="R16" s="231">
        <f>Q16+'Tax Depr 2020-Trans'!Q28</f>
        <v>873652.32208204153</v>
      </c>
      <c r="U16" s="231">
        <f>R16</f>
        <v>873652.32208204153</v>
      </c>
      <c r="V16" s="572">
        <v>873652.31991002709</v>
      </c>
      <c r="W16" s="468">
        <f>V16-R16</f>
        <v>-2.1720144432038069E-3</v>
      </c>
      <c r="X16" s="50"/>
      <c r="Y16" s="50"/>
      <c r="Z16" s="50"/>
    </row>
    <row r="17" spans="1:30">
      <c r="A17" s="52">
        <f>A13+1</f>
        <v>4</v>
      </c>
      <c r="C17" s="476">
        <v>0.05</v>
      </c>
      <c r="D17" s="61">
        <v>0.05</v>
      </c>
      <c r="E17" s="156">
        <v>1</v>
      </c>
      <c r="G17" s="52">
        <v>1</v>
      </c>
      <c r="H17" s="231">
        <f>$H$11*$C$18/12</f>
        <v>602341.18756666675</v>
      </c>
      <c r="I17" s="231">
        <f>AA17</f>
        <v>6529.0810833333335</v>
      </c>
      <c r="J17" s="231">
        <f>SUM(H17:I17)</f>
        <v>608870.2686500001</v>
      </c>
      <c r="K17" s="231">
        <f>'2021 Capital Budget'!E24</f>
        <v>86.69</v>
      </c>
      <c r="L17" s="231">
        <f>'202101 Bk Depr'!P14</f>
        <v>131317.34946541666</v>
      </c>
      <c r="M17" s="231">
        <f>J17+K17-L17</f>
        <v>477639.60918458342</v>
      </c>
      <c r="N17" s="231">
        <f>M17*0.21</f>
        <v>100304.31792876251</v>
      </c>
      <c r="O17" s="231">
        <f t="shared" ref="O17:O28" si="0">N59</f>
        <v>23881.980459229173</v>
      </c>
      <c r="P17" s="231">
        <f>-O17*0.21</f>
        <v>-5015.215896438126</v>
      </c>
      <c r="Q17" s="27"/>
      <c r="R17" s="231">
        <f>R16+N17+O17+P17+Q17</f>
        <v>992823.40457359515</v>
      </c>
      <c r="S17" s="231">
        <f>R17-R16</f>
        <v>119171.08249155362</v>
      </c>
      <c r="T17" s="247" t="str">
        <f>'Tax Depr 2021-Dist'!X21</f>
        <v>335/365</v>
      </c>
      <c r="U17" s="231">
        <f>U16+S17*335/365</f>
        <v>983028.52108113864</v>
      </c>
      <c r="V17" s="572">
        <v>992823.40226820204</v>
      </c>
      <c r="W17" s="468">
        <f>V17-R17</f>
        <v>-2.3053931072354317E-3</v>
      </c>
      <c r="X17" s="156">
        <f>(((('202101 Bk Depr'!$L$14-(1/12*$I$13))*$C$17))*1/12)</f>
        <v>6529.0810833333335</v>
      </c>
      <c r="Y17" s="156">
        <v>0</v>
      </c>
      <c r="Z17" s="156">
        <f>(1/12*$I$13)</f>
        <v>0</v>
      </c>
      <c r="AA17" s="156">
        <f>SUM(X17:Z17)</f>
        <v>6529.0810833333335</v>
      </c>
    </row>
    <row r="18" spans="1:30">
      <c r="A18" s="52">
        <f>A17+1</f>
        <v>5</v>
      </c>
      <c r="C18" s="476">
        <v>9.5000000000000001E-2</v>
      </c>
      <c r="D18" s="61">
        <v>9.5000000000000001E-2</v>
      </c>
      <c r="E18" s="156">
        <v>2</v>
      </c>
      <c r="G18" s="52">
        <v>2</v>
      </c>
      <c r="H18" s="231">
        <f t="shared" ref="H18:H22" si="1">$H$11*$C$18/12</f>
        <v>602341.18756666675</v>
      </c>
      <c r="I18" s="231">
        <f t="shared" ref="I18:I28" si="2">AA18</f>
        <v>19029.468666666668</v>
      </c>
      <c r="J18" s="231">
        <f t="shared" ref="J18:J28" si="3">SUM(H18:I18)</f>
        <v>621370.6562333334</v>
      </c>
      <c r="K18" s="231">
        <f>'202102 Bk Depr'!$L$34</f>
        <v>0</v>
      </c>
      <c r="L18" s="231">
        <f>'202102 Bk Depr'!P14</f>
        <v>133937.10081479166</v>
      </c>
      <c r="M18" s="231">
        <f t="shared" ref="M18:M28" si="4">J18+K18-L18</f>
        <v>487433.55541854177</v>
      </c>
      <c r="N18" s="231">
        <f t="shared" ref="N18:N22" si="5">M18*0.21</f>
        <v>102361.04663789377</v>
      </c>
      <c r="O18" s="231">
        <f t="shared" si="0"/>
        <v>24371.67777092709</v>
      </c>
      <c r="P18" s="231">
        <f t="shared" ref="P18:P22" si="6">-O18*0.21</f>
        <v>-5118.0523318946889</v>
      </c>
      <c r="Q18" s="27"/>
      <c r="R18" s="231">
        <f>R17+N18+O18+P18+Q18</f>
        <v>1114438.0766505213</v>
      </c>
      <c r="S18" s="231">
        <f>R18-R17</f>
        <v>121614.6720769261</v>
      </c>
      <c r="T18" s="247" t="str">
        <f>'Tax Depr 2021-Dist'!X22</f>
        <v>307/365</v>
      </c>
      <c r="U18" s="231">
        <f>U17+S18*307/365</f>
        <v>1085318.1219787176</v>
      </c>
      <c r="V18" s="572">
        <v>1114438.0745484186</v>
      </c>
      <c r="W18" s="468">
        <f t="shared" ref="W18:W22" si="7">V18-R18</f>
        <v>-2.1021026186645031E-3</v>
      </c>
      <c r="X18" s="156">
        <f>(((('202101 Bk Depr'!$L$14+'202102 Bk Depr'!$L$14-(1/12*$I$13))*$C$17))*2/12)-X17</f>
        <v>19029.468666666668</v>
      </c>
      <c r="Y18" s="156">
        <v>0</v>
      </c>
      <c r="Z18" s="156">
        <f t="shared" ref="Z18:Z28" si="8">(1/12*$I$13)</f>
        <v>0</v>
      </c>
      <c r="AA18" s="156">
        <f t="shared" ref="AA18:AA28" si="9">SUM(X18:Z18)</f>
        <v>19029.468666666668</v>
      </c>
      <c r="AC18" s="575">
        <f>(('202102 Bk Depr'!$L$14-(1/12*$I$13))*$C$17)+(1/12*$I$13)</f>
        <v>75002.325499999992</v>
      </c>
      <c r="AD18" s="403"/>
    </row>
    <row r="19" spans="1:30">
      <c r="A19" s="52">
        <f t="shared" ref="A19:A44" si="10">A18+1</f>
        <v>6</v>
      </c>
      <c r="C19" s="476">
        <v>8.5500000000000007E-2</v>
      </c>
      <c r="D19" s="61">
        <v>8.5500000000000007E-2</v>
      </c>
      <c r="E19" s="156">
        <v>3</v>
      </c>
      <c r="G19" s="52">
        <v>3</v>
      </c>
      <c r="H19" s="231">
        <f t="shared" si="1"/>
        <v>602341.18756666675</v>
      </c>
      <c r="I19" s="231">
        <f t="shared" si="2"/>
        <v>44587.291500000014</v>
      </c>
      <c r="J19" s="231">
        <f t="shared" si="3"/>
        <v>646928.4790666668</v>
      </c>
      <c r="K19" s="231">
        <f>'202103 Bk Depr'!$L$34</f>
        <v>27248.06</v>
      </c>
      <c r="L19" s="231">
        <f>'202103 Bk Depr'!P14</f>
        <v>137391.93834479168</v>
      </c>
      <c r="M19" s="231">
        <f t="shared" si="4"/>
        <v>536784.60072187521</v>
      </c>
      <c r="N19" s="231">
        <f t="shared" si="5"/>
        <v>112724.76615159379</v>
      </c>
      <c r="O19" s="231">
        <f t="shared" si="0"/>
        <v>26839.230036093762</v>
      </c>
      <c r="P19" s="231">
        <f t="shared" si="6"/>
        <v>-5636.2383075796897</v>
      </c>
      <c r="Q19" s="27"/>
      <c r="R19" s="231">
        <f>R18+N19+O19+P19+Q19</f>
        <v>1248365.8345306292</v>
      </c>
      <c r="S19" s="231">
        <f>R19-R18</f>
        <v>133927.75788010797</v>
      </c>
      <c r="T19" s="247" t="str">
        <f>'Tax Depr 2021-Dist'!X23</f>
        <v>276/365</v>
      </c>
      <c r="U19" s="231">
        <f>U18+S19*276/365</f>
        <v>1186589.5224579226</v>
      </c>
      <c r="V19" s="572">
        <v>1248365.829520552</v>
      </c>
      <c r="W19" s="468">
        <f t="shared" si="7"/>
        <v>-5.0100772641599178E-3</v>
      </c>
      <c r="X19" s="156">
        <f>(((('202101 Bk Depr'!$L$14+'202102 Bk Depr'!$L$14+'202103 Bk Depr'!$L$14-(1/12*$I$13))*$C$17))*3/12)-X18-X17</f>
        <v>44587.291500000014</v>
      </c>
      <c r="Y19" s="156">
        <v>0</v>
      </c>
      <c r="Z19" s="156">
        <f t="shared" si="8"/>
        <v>0</v>
      </c>
      <c r="AA19" s="156">
        <f t="shared" si="9"/>
        <v>44587.291500000014</v>
      </c>
    </row>
    <row r="20" spans="1:30">
      <c r="A20" s="52">
        <f t="shared" si="10"/>
        <v>7</v>
      </c>
      <c r="C20" s="476">
        <v>7.6999999999999999E-2</v>
      </c>
      <c r="D20" s="61">
        <v>7.6999999999999999E-2</v>
      </c>
      <c r="E20" s="156">
        <v>4</v>
      </c>
      <c r="G20" s="52">
        <v>4</v>
      </c>
      <c r="H20" s="231">
        <f t="shared" si="1"/>
        <v>602341.18756666675</v>
      </c>
      <c r="I20" s="231">
        <f t="shared" si="2"/>
        <v>50666.60075000002</v>
      </c>
      <c r="J20" s="231">
        <f t="shared" si="3"/>
        <v>653007.78831666673</v>
      </c>
      <c r="K20" s="231">
        <f>'202104 Bk Depr'!$L$34</f>
        <v>142808.63</v>
      </c>
      <c r="L20" s="231">
        <f>'202104 Bk Depr'!P14</f>
        <v>140963.82464791666</v>
      </c>
      <c r="M20" s="231">
        <f t="shared" si="4"/>
        <v>654852.59366875002</v>
      </c>
      <c r="N20" s="231">
        <f t="shared" si="5"/>
        <v>137519.04467043749</v>
      </c>
      <c r="O20" s="231">
        <f t="shared" si="0"/>
        <v>32742.629683437503</v>
      </c>
      <c r="P20" s="231">
        <f t="shared" si="6"/>
        <v>-6875.9522335218753</v>
      </c>
      <c r="Q20" s="27"/>
      <c r="R20" s="231">
        <f>R19+N20+O20+P20+Q20</f>
        <v>1411751.5566509822</v>
      </c>
      <c r="S20" s="231">
        <f>R20-R19</f>
        <v>163385.72212035302</v>
      </c>
      <c r="T20" s="247" t="str">
        <f>'Tax Depr 2021-Dist'!X24</f>
        <v>246/365</v>
      </c>
      <c r="U20" s="231">
        <f>U19+S20*246/365</f>
        <v>1296707.0228458866</v>
      </c>
      <c r="V20" s="572">
        <v>1411751.5528005601</v>
      </c>
      <c r="W20" s="468">
        <f t="shared" si="7"/>
        <v>-3.8504221010953188E-3</v>
      </c>
      <c r="X20" s="156">
        <f>(((('202101 Bk Depr'!$L$14+'202102 Bk Depr'!$L$14+'202103 Bk Depr'!$L$14+'202104 Bk Depr'!$L$14-(1/12*$I$13))*$C$17))*4/12)-X19-X18-X17</f>
        <v>50666.60075000002</v>
      </c>
      <c r="Y20" s="156">
        <v>0</v>
      </c>
      <c r="Z20" s="156">
        <f t="shared" si="8"/>
        <v>0</v>
      </c>
      <c r="AA20" s="156">
        <f t="shared" si="9"/>
        <v>50666.60075000002</v>
      </c>
    </row>
    <row r="21" spans="1:30">
      <c r="A21" s="52">
        <f t="shared" si="10"/>
        <v>8</v>
      </c>
      <c r="C21" s="476">
        <v>6.93E-2</v>
      </c>
      <c r="D21" s="61">
        <v>6.93E-2</v>
      </c>
      <c r="E21" s="156">
        <v>5</v>
      </c>
      <c r="G21" s="52">
        <v>5</v>
      </c>
      <c r="H21" s="231">
        <f t="shared" si="1"/>
        <v>602341.18756666675</v>
      </c>
      <c r="I21" s="231">
        <f t="shared" si="2"/>
        <v>101174.54883333331</v>
      </c>
      <c r="J21" s="231">
        <f t="shared" si="3"/>
        <v>703515.73640000005</v>
      </c>
      <c r="K21" s="231">
        <f>'202105 Bk Depr'!$L$34</f>
        <v>415206.42</v>
      </c>
      <c r="L21" s="231">
        <f>'202105 Bk Depr'!P14</f>
        <v>145271.99211999998</v>
      </c>
      <c r="M21" s="231">
        <f t="shared" si="4"/>
        <v>973450.16428000003</v>
      </c>
      <c r="N21" s="231">
        <f t="shared" si="5"/>
        <v>204424.5344988</v>
      </c>
      <c r="O21" s="231">
        <f t="shared" si="0"/>
        <v>48672.508214000001</v>
      </c>
      <c r="P21" s="231">
        <f t="shared" si="6"/>
        <v>-10221.226724939999</v>
      </c>
      <c r="Q21" s="27"/>
      <c r="R21" s="231">
        <f t="shared" ref="R21:R27" si="11">R20+N21+O21+P21+Q21</f>
        <v>1654627.3726388423</v>
      </c>
      <c r="S21" s="231">
        <f t="shared" ref="S21:S28" si="12">R21-R20</f>
        <v>242875.81598786009</v>
      </c>
      <c r="T21" s="247" t="str">
        <f>'Tax Depr 2021-Dist'!X25</f>
        <v>215/365</v>
      </c>
      <c r="U21" s="231">
        <f>U20+S21*215/365</f>
        <v>1439770.8596606536</v>
      </c>
      <c r="V21" s="572">
        <v>1654627.3668223603</v>
      </c>
      <c r="W21" s="468">
        <f t="shared" si="7"/>
        <v>-5.8164820075035095E-3</v>
      </c>
      <c r="X21" s="156">
        <f>(((('202101 Bk Depr'!$L$14+'202102 Bk Depr'!$L$14+'202103 Bk Depr'!$L$14+'202104 Bk Depr'!$L$14+'202105 Bk Depr'!$L$14-(1/12*$I$13))*$C$17))*5/12)-X20-X19-X18-X17</f>
        <v>101174.54883333331</v>
      </c>
      <c r="Y21" s="156">
        <v>0</v>
      </c>
      <c r="Z21" s="156">
        <f t="shared" si="8"/>
        <v>0</v>
      </c>
      <c r="AA21" s="156">
        <f t="shared" si="9"/>
        <v>101174.54883333331</v>
      </c>
    </row>
    <row r="22" spans="1:30">
      <c r="A22" s="52">
        <f t="shared" si="10"/>
        <v>9</v>
      </c>
      <c r="C22" s="476">
        <v>6.2300000000000001E-2</v>
      </c>
      <c r="D22" s="61">
        <v>6.2300000000000001E-2</v>
      </c>
      <c r="E22" s="156">
        <v>6</v>
      </c>
      <c r="G22" s="52">
        <v>6</v>
      </c>
      <c r="H22" s="231">
        <f t="shared" si="1"/>
        <v>602341.18756666675</v>
      </c>
      <c r="I22" s="231">
        <f t="shared" si="2"/>
        <v>128931.72341666669</v>
      </c>
      <c r="J22" s="231">
        <f t="shared" si="3"/>
        <v>731272.91098333348</v>
      </c>
      <c r="K22" s="231">
        <f>'202106 Bk Depr'!$L$34</f>
        <v>161468.46</v>
      </c>
      <c r="L22" s="231">
        <f>'202106 Bk Depr'!P14</f>
        <v>151070.077204375</v>
      </c>
      <c r="M22" s="231">
        <f t="shared" si="4"/>
        <v>741671.2937789585</v>
      </c>
      <c r="N22" s="231">
        <f t="shared" si="5"/>
        <v>155750.97169358129</v>
      </c>
      <c r="O22" s="231">
        <f t="shared" si="0"/>
        <v>37083.564688947925</v>
      </c>
      <c r="P22" s="231">
        <f t="shared" si="6"/>
        <v>-7787.5485846790643</v>
      </c>
      <c r="Q22" s="27"/>
      <c r="R22" s="231">
        <f t="shared" si="11"/>
        <v>1839674.3604366924</v>
      </c>
      <c r="S22" s="231">
        <f t="shared" si="12"/>
        <v>185046.98779785004</v>
      </c>
      <c r="T22" s="247" t="str">
        <f>'Tax Depr 2021-Dist'!X26</f>
        <v>185/365</v>
      </c>
      <c r="U22" s="231">
        <f>U21+S22*185/365</f>
        <v>1533561.7986814817</v>
      </c>
      <c r="V22" s="572">
        <v>1839674.3539227021</v>
      </c>
      <c r="W22" s="468">
        <f t="shared" si="7"/>
        <v>-6.5139902289956808E-3</v>
      </c>
      <c r="X22" s="156">
        <f>(((('202101 Bk Depr'!$L$14+'202102 Bk Depr'!$L$14+'202103 Bk Depr'!$L$14+'202104 Bk Depr'!$L$14+'202105 Bk Depr'!$L$14+'202106 Bk Depr'!$L$14-(1/12*$I$13))*$C$17))*6/12)-X21-X20-X19-X18-X17</f>
        <v>128931.72341666669</v>
      </c>
      <c r="Y22" s="156">
        <v>0</v>
      </c>
      <c r="Z22" s="156">
        <f t="shared" si="8"/>
        <v>0</v>
      </c>
      <c r="AA22" s="156">
        <f t="shared" si="9"/>
        <v>128931.72341666669</v>
      </c>
    </row>
    <row r="23" spans="1:30">
      <c r="A23" s="52">
        <f t="shared" si="10"/>
        <v>10</v>
      </c>
      <c r="C23" s="476">
        <v>5.8999999999999997E-2</v>
      </c>
      <c r="D23" s="61">
        <v>5.8999999999999997E-2</v>
      </c>
      <c r="E23" s="156">
        <v>7</v>
      </c>
      <c r="G23" s="52">
        <v>7</v>
      </c>
      <c r="H23" s="231">
        <v>0</v>
      </c>
      <c r="I23" s="231">
        <f t="shared" si="2"/>
        <v>0</v>
      </c>
      <c r="J23" s="231">
        <f t="shared" si="3"/>
        <v>0</v>
      </c>
      <c r="K23" s="231">
        <f>'202107 Bk Depr'!$L$34</f>
        <v>0</v>
      </c>
      <c r="L23" s="231">
        <f>'202107 Bk Depr'!P14</f>
        <v>0</v>
      </c>
      <c r="M23" s="231">
        <f t="shared" si="4"/>
        <v>0</v>
      </c>
      <c r="N23" s="231">
        <f>M23*0.21</f>
        <v>0</v>
      </c>
      <c r="O23" s="231">
        <f t="shared" si="0"/>
        <v>0</v>
      </c>
      <c r="P23" s="231">
        <f>-O23*0.21</f>
        <v>0</v>
      </c>
      <c r="Q23" s="27"/>
      <c r="R23" s="231">
        <v>0</v>
      </c>
      <c r="S23" s="231">
        <v>0</v>
      </c>
      <c r="T23" s="247" t="str">
        <f>'Tax Depr 2021-Dist'!X28</f>
        <v>154/365</v>
      </c>
      <c r="U23" s="231">
        <v>0</v>
      </c>
      <c r="V23" s="572"/>
      <c r="W23" s="468"/>
      <c r="X23" s="156">
        <v>0</v>
      </c>
      <c r="Y23" s="156">
        <v>0</v>
      </c>
      <c r="Z23" s="156">
        <f t="shared" si="8"/>
        <v>0</v>
      </c>
      <c r="AA23" s="156">
        <f t="shared" si="9"/>
        <v>0</v>
      </c>
    </row>
    <row r="24" spans="1:30">
      <c r="A24" s="52">
        <f t="shared" si="10"/>
        <v>11</v>
      </c>
      <c r="C24" s="476">
        <v>5.8999999999999997E-2</v>
      </c>
      <c r="D24" s="61">
        <v>5.8999999999999997E-2</v>
      </c>
      <c r="E24" s="156">
        <v>8</v>
      </c>
      <c r="G24" s="52">
        <v>8</v>
      </c>
      <c r="H24" s="231">
        <v>0</v>
      </c>
      <c r="I24" s="231">
        <f t="shared" si="2"/>
        <v>0</v>
      </c>
      <c r="J24" s="231">
        <f t="shared" si="3"/>
        <v>0</v>
      </c>
      <c r="K24" s="231">
        <f>'202108 Bk Depr'!$L$34</f>
        <v>0</v>
      </c>
      <c r="L24" s="231">
        <f>'202108 Bk Depr'!P14</f>
        <v>0</v>
      </c>
      <c r="M24" s="231">
        <f t="shared" si="4"/>
        <v>0</v>
      </c>
      <c r="N24" s="231">
        <f t="shared" ref="N24:N28" si="13">M24*0.21</f>
        <v>0</v>
      </c>
      <c r="O24" s="231">
        <f t="shared" si="0"/>
        <v>0</v>
      </c>
      <c r="P24" s="231">
        <f t="shared" ref="P24:P28" si="14">-O24*0.21</f>
        <v>0</v>
      </c>
      <c r="Q24" s="27"/>
      <c r="R24" s="231">
        <f t="shared" si="11"/>
        <v>0</v>
      </c>
      <c r="S24" s="231">
        <f t="shared" si="12"/>
        <v>0</v>
      </c>
      <c r="T24" s="247" t="str">
        <f>'Tax Depr 2021-Dist'!X29</f>
        <v>123/365</v>
      </c>
      <c r="U24" s="231">
        <f>U23+S24*123/365</f>
        <v>0</v>
      </c>
      <c r="V24" s="572"/>
      <c r="W24" s="468"/>
      <c r="X24" s="156">
        <v>0</v>
      </c>
      <c r="Y24" s="156">
        <v>0</v>
      </c>
      <c r="Z24" s="156">
        <f t="shared" si="8"/>
        <v>0</v>
      </c>
      <c r="AA24" s="156">
        <f t="shared" si="9"/>
        <v>0</v>
      </c>
    </row>
    <row r="25" spans="1:30">
      <c r="A25" s="52">
        <f t="shared" si="10"/>
        <v>12</v>
      </c>
      <c r="C25" s="476">
        <v>5.91E-2</v>
      </c>
      <c r="D25" s="61">
        <v>5.91E-2</v>
      </c>
      <c r="E25" s="156">
        <v>9</v>
      </c>
      <c r="G25" s="52">
        <v>9</v>
      </c>
      <c r="H25" s="231">
        <v>0</v>
      </c>
      <c r="I25" s="231">
        <f t="shared" si="2"/>
        <v>0</v>
      </c>
      <c r="J25" s="231">
        <f t="shared" si="3"/>
        <v>0</v>
      </c>
      <c r="K25" s="231">
        <f>'202109 Bk Depr'!$L$34</f>
        <v>0</v>
      </c>
      <c r="L25" s="231">
        <f>'202109 Bk Depr'!P14</f>
        <v>0</v>
      </c>
      <c r="M25" s="231">
        <f t="shared" si="4"/>
        <v>0</v>
      </c>
      <c r="N25" s="231">
        <f t="shared" si="13"/>
        <v>0</v>
      </c>
      <c r="O25" s="231">
        <f t="shared" si="0"/>
        <v>0</v>
      </c>
      <c r="P25" s="231">
        <f t="shared" si="14"/>
        <v>0</v>
      </c>
      <c r="Q25" s="27"/>
      <c r="R25" s="231">
        <f t="shared" si="11"/>
        <v>0</v>
      </c>
      <c r="S25" s="231">
        <f t="shared" si="12"/>
        <v>0</v>
      </c>
      <c r="T25" s="247" t="str">
        <f>'Tax Depr 2021-Dist'!X30</f>
        <v>93/365</v>
      </c>
      <c r="U25" s="231">
        <f>U24+S25*93/365</f>
        <v>0</v>
      </c>
      <c r="V25" s="572"/>
      <c r="W25" s="468"/>
      <c r="X25" s="156">
        <v>0</v>
      </c>
      <c r="Y25" s="156">
        <v>0</v>
      </c>
      <c r="Z25" s="156">
        <f t="shared" si="8"/>
        <v>0</v>
      </c>
      <c r="AA25" s="156">
        <f t="shared" si="9"/>
        <v>0</v>
      </c>
    </row>
    <row r="26" spans="1:30">
      <c r="A26" s="52">
        <f t="shared" si="10"/>
        <v>13</v>
      </c>
      <c r="C26" s="476">
        <v>5.8999999999999997E-2</v>
      </c>
      <c r="D26" s="61">
        <v>5.8999999999999997E-2</v>
      </c>
      <c r="E26" s="156">
        <v>10</v>
      </c>
      <c r="G26" s="52">
        <v>10</v>
      </c>
      <c r="H26" s="231">
        <v>0</v>
      </c>
      <c r="I26" s="231">
        <f t="shared" si="2"/>
        <v>0</v>
      </c>
      <c r="J26" s="231">
        <f t="shared" si="3"/>
        <v>0</v>
      </c>
      <c r="K26" s="231">
        <f>'202110 Bk Depr'!$L$34</f>
        <v>0</v>
      </c>
      <c r="L26" s="231">
        <f>'202110 Bk Depr'!P14</f>
        <v>0</v>
      </c>
      <c r="M26" s="231">
        <f t="shared" si="4"/>
        <v>0</v>
      </c>
      <c r="N26" s="231">
        <f t="shared" si="13"/>
        <v>0</v>
      </c>
      <c r="O26" s="231">
        <f t="shared" si="0"/>
        <v>0</v>
      </c>
      <c r="P26" s="231">
        <f t="shared" si="14"/>
        <v>0</v>
      </c>
      <c r="Q26" s="27"/>
      <c r="R26" s="231">
        <f t="shared" si="11"/>
        <v>0</v>
      </c>
      <c r="S26" s="231">
        <f t="shared" si="12"/>
        <v>0</v>
      </c>
      <c r="T26" s="247" t="str">
        <f>'Tax Depr 2021-Dist'!X31</f>
        <v>62/365</v>
      </c>
      <c r="U26" s="231">
        <f>U25+S26*62/365</f>
        <v>0</v>
      </c>
      <c r="V26" s="572"/>
      <c r="W26" s="468"/>
      <c r="X26" s="156">
        <v>0</v>
      </c>
      <c r="Y26" s="156">
        <v>0</v>
      </c>
      <c r="Z26" s="156">
        <f t="shared" si="8"/>
        <v>0</v>
      </c>
      <c r="AA26" s="156">
        <f t="shared" si="9"/>
        <v>0</v>
      </c>
    </row>
    <row r="27" spans="1:30">
      <c r="A27" s="52">
        <f t="shared" si="10"/>
        <v>14</v>
      </c>
      <c r="C27" s="476">
        <v>5.91E-2</v>
      </c>
      <c r="D27" s="61">
        <v>5.91E-2</v>
      </c>
      <c r="E27" s="156">
        <v>11</v>
      </c>
      <c r="G27" s="52">
        <v>11</v>
      </c>
      <c r="H27" s="231">
        <v>0</v>
      </c>
      <c r="I27" s="231">
        <f t="shared" si="2"/>
        <v>0</v>
      </c>
      <c r="J27" s="231">
        <f t="shared" si="3"/>
        <v>0</v>
      </c>
      <c r="K27" s="231">
        <f>'202111 Bk Depr'!$L$34</f>
        <v>0</v>
      </c>
      <c r="L27" s="231">
        <f>'202111 Bk Depr'!P14</f>
        <v>0</v>
      </c>
      <c r="M27" s="231">
        <f t="shared" si="4"/>
        <v>0</v>
      </c>
      <c r="N27" s="231">
        <f t="shared" si="13"/>
        <v>0</v>
      </c>
      <c r="O27" s="231">
        <f t="shared" si="0"/>
        <v>0</v>
      </c>
      <c r="P27" s="231">
        <f t="shared" si="14"/>
        <v>0</v>
      </c>
      <c r="Q27" s="27"/>
      <c r="R27" s="231">
        <f t="shared" si="11"/>
        <v>0</v>
      </c>
      <c r="S27" s="231">
        <f t="shared" si="12"/>
        <v>0</v>
      </c>
      <c r="T27" s="247" t="str">
        <f>'Tax Depr 2021-Dist'!X32</f>
        <v>32/365</v>
      </c>
      <c r="U27" s="231">
        <f>U26+S27*32/365</f>
        <v>0</v>
      </c>
      <c r="V27" s="572"/>
      <c r="W27" s="468"/>
      <c r="X27" s="156">
        <v>0</v>
      </c>
      <c r="Y27" s="156">
        <v>0</v>
      </c>
      <c r="Z27" s="156">
        <f t="shared" si="8"/>
        <v>0</v>
      </c>
      <c r="AA27" s="156">
        <f t="shared" si="9"/>
        <v>0</v>
      </c>
    </row>
    <row r="28" spans="1:30">
      <c r="A28" s="52">
        <f t="shared" si="10"/>
        <v>15</v>
      </c>
      <c r="C28" s="476">
        <v>5.8999999999999997E-2</v>
      </c>
      <c r="D28" s="61">
        <v>5.8999999999999997E-2</v>
      </c>
      <c r="E28" s="156">
        <v>12</v>
      </c>
      <c r="G28" s="52">
        <v>12</v>
      </c>
      <c r="H28" s="231">
        <v>0</v>
      </c>
      <c r="I28" s="231">
        <f t="shared" si="2"/>
        <v>0</v>
      </c>
      <c r="J28" s="231">
        <f t="shared" si="3"/>
        <v>0</v>
      </c>
      <c r="K28" s="231">
        <f>'202112 Bk Depr'!$L$34</f>
        <v>0</v>
      </c>
      <c r="L28" s="231">
        <f>'202112 Bk Depr'!P14</f>
        <v>0</v>
      </c>
      <c r="M28" s="231">
        <f t="shared" si="4"/>
        <v>0</v>
      </c>
      <c r="N28" s="231">
        <f t="shared" si="13"/>
        <v>0</v>
      </c>
      <c r="O28" s="231">
        <f t="shared" si="0"/>
        <v>0</v>
      </c>
      <c r="P28" s="231">
        <f t="shared" si="14"/>
        <v>0</v>
      </c>
      <c r="Q28" s="27"/>
      <c r="R28" s="231">
        <f>R27+N28+O28+P28+Q28</f>
        <v>0</v>
      </c>
      <c r="S28" s="231">
        <f t="shared" si="12"/>
        <v>0</v>
      </c>
      <c r="T28" s="247" t="str">
        <f>'Tax Depr 2021-Dist'!X33</f>
        <v>1/365</v>
      </c>
      <c r="U28" s="231">
        <f>U27+S28*1/365</f>
        <v>0</v>
      </c>
      <c r="V28" s="572"/>
      <c r="W28" s="468"/>
      <c r="X28" s="156">
        <v>0</v>
      </c>
      <c r="Y28" s="156">
        <v>0</v>
      </c>
      <c r="Z28" s="156">
        <f t="shared" si="8"/>
        <v>0</v>
      </c>
      <c r="AA28" s="156">
        <f t="shared" si="9"/>
        <v>0</v>
      </c>
    </row>
    <row r="29" spans="1:30">
      <c r="A29" s="52">
        <f t="shared" si="10"/>
        <v>16</v>
      </c>
      <c r="C29" s="476">
        <v>5.91E-2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 t="str">
        <f t="shared" ref="Q29:Q43" si="15">IF(P29="","",P29*0.389)</f>
        <v/>
      </c>
      <c r="R29" s="62"/>
      <c r="U29" s="27"/>
    </row>
    <row r="30" spans="1:30">
      <c r="A30" s="52">
        <f t="shared" si="10"/>
        <v>17</v>
      </c>
      <c r="C30" s="476">
        <v>5.8999999999999997E-2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 t="str">
        <f t="shared" si="15"/>
        <v/>
      </c>
      <c r="R30" s="27" t="str">
        <f t="shared" ref="R30:R43" si="16">IF(N30="","",R29+N30)</f>
        <v/>
      </c>
    </row>
    <row r="31" spans="1:30">
      <c r="A31" s="52">
        <f t="shared" si="10"/>
        <v>18</v>
      </c>
      <c r="C31" s="476">
        <v>5.91E-2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 t="str">
        <f t="shared" si="15"/>
        <v/>
      </c>
      <c r="R31" s="27" t="str">
        <f t="shared" si="16"/>
        <v/>
      </c>
    </row>
    <row r="32" spans="1:30">
      <c r="A32" s="52">
        <f t="shared" si="10"/>
        <v>19</v>
      </c>
      <c r="C32" s="476">
        <v>2.9499999999999998E-2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 t="str">
        <f t="shared" si="15"/>
        <v/>
      </c>
      <c r="R32" s="27" t="str">
        <f t="shared" si="16"/>
        <v/>
      </c>
    </row>
    <row r="33" spans="1:21">
      <c r="A33" s="52">
        <f t="shared" si="10"/>
        <v>20</v>
      </c>
      <c r="C33" s="61">
        <v>0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 t="str">
        <f t="shared" si="15"/>
        <v/>
      </c>
      <c r="R33" s="27" t="str">
        <f t="shared" si="16"/>
        <v/>
      </c>
    </row>
    <row r="34" spans="1:21">
      <c r="A34" s="52">
        <f t="shared" si="10"/>
        <v>21</v>
      </c>
      <c r="C34" s="61">
        <v>0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 t="str">
        <f t="shared" si="15"/>
        <v/>
      </c>
      <c r="R34" s="27" t="str">
        <f t="shared" si="16"/>
        <v/>
      </c>
    </row>
    <row r="35" spans="1:21">
      <c r="A35" s="52">
        <f t="shared" si="10"/>
        <v>22</v>
      </c>
      <c r="C35" s="61">
        <v>0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 t="str">
        <f t="shared" si="15"/>
        <v/>
      </c>
      <c r="R35" s="27" t="str">
        <f t="shared" si="16"/>
        <v/>
      </c>
    </row>
    <row r="36" spans="1:21">
      <c r="A36" s="52">
        <f t="shared" si="10"/>
        <v>23</v>
      </c>
      <c r="C36" s="61">
        <v>0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 t="str">
        <f t="shared" si="15"/>
        <v/>
      </c>
      <c r="R36" s="27" t="str">
        <f t="shared" si="16"/>
        <v/>
      </c>
    </row>
    <row r="37" spans="1:21">
      <c r="A37" s="52">
        <f t="shared" si="10"/>
        <v>24</v>
      </c>
      <c r="C37" s="61">
        <v>0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 t="str">
        <f t="shared" si="15"/>
        <v/>
      </c>
      <c r="R37" s="27" t="str">
        <f t="shared" si="16"/>
        <v/>
      </c>
    </row>
    <row r="38" spans="1:21">
      <c r="A38" s="52">
        <f t="shared" si="10"/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 t="str">
        <f t="shared" si="15"/>
        <v/>
      </c>
      <c r="R38" s="27" t="str">
        <f t="shared" si="16"/>
        <v/>
      </c>
    </row>
    <row r="39" spans="1:21">
      <c r="A39" s="52">
        <f t="shared" si="10"/>
        <v>26</v>
      </c>
      <c r="C39" s="61">
        <v>0</v>
      </c>
      <c r="E39" s="156">
        <v>23</v>
      </c>
      <c r="H39" s="27"/>
      <c r="I39" s="27"/>
      <c r="J39" s="27"/>
      <c r="M39" s="27"/>
      <c r="N39" s="27"/>
      <c r="O39" s="27"/>
      <c r="P39" s="27"/>
      <c r="Q39" s="27" t="str">
        <f t="shared" si="15"/>
        <v/>
      </c>
      <c r="R39" s="27" t="str">
        <f t="shared" si="16"/>
        <v/>
      </c>
    </row>
    <row r="40" spans="1:21">
      <c r="A40" s="52">
        <f t="shared" si="10"/>
        <v>27</v>
      </c>
      <c r="C40" s="61">
        <v>0</v>
      </c>
      <c r="E40" s="156">
        <v>24</v>
      </c>
      <c r="H40" s="27"/>
      <c r="I40" s="27"/>
      <c r="J40" s="27"/>
      <c r="M40" s="27"/>
      <c r="N40" s="27"/>
      <c r="O40" s="27"/>
      <c r="P40" s="27"/>
      <c r="Q40" s="27" t="str">
        <f t="shared" si="15"/>
        <v/>
      </c>
      <c r="R40" s="27" t="str">
        <f t="shared" si="16"/>
        <v/>
      </c>
    </row>
    <row r="41" spans="1:21">
      <c r="A41" s="52">
        <f t="shared" si="10"/>
        <v>28</v>
      </c>
      <c r="C41" s="61">
        <v>0</v>
      </c>
      <c r="E41" s="156">
        <v>25</v>
      </c>
      <c r="H41" s="27"/>
      <c r="I41" s="27"/>
      <c r="J41" s="27"/>
      <c r="M41" s="27"/>
      <c r="N41" s="27"/>
      <c r="O41" s="27"/>
      <c r="P41" s="27"/>
      <c r="Q41" s="27" t="str">
        <f t="shared" si="15"/>
        <v/>
      </c>
      <c r="R41" s="27" t="str">
        <f t="shared" si="16"/>
        <v/>
      </c>
    </row>
    <row r="42" spans="1:21">
      <c r="A42" s="52">
        <f t="shared" si="10"/>
        <v>29</v>
      </c>
      <c r="C42" s="61">
        <v>0</v>
      </c>
      <c r="E42" s="156">
        <v>26</v>
      </c>
      <c r="H42" s="27"/>
      <c r="I42" s="27"/>
      <c r="J42" s="27"/>
      <c r="M42" s="27"/>
      <c r="N42" s="27"/>
      <c r="O42" s="27"/>
      <c r="P42" s="27"/>
      <c r="Q42" s="27" t="str">
        <f t="shared" si="15"/>
        <v/>
      </c>
      <c r="R42" s="27" t="str">
        <f t="shared" si="16"/>
        <v/>
      </c>
    </row>
    <row r="43" spans="1:21">
      <c r="A43" s="52">
        <f t="shared" si="10"/>
        <v>30</v>
      </c>
      <c r="C43" s="61">
        <v>0</v>
      </c>
      <c r="E43" s="156">
        <v>27</v>
      </c>
      <c r="J43" s="27"/>
      <c r="M43" s="27"/>
      <c r="N43" s="27"/>
      <c r="O43" s="27"/>
      <c r="P43" s="27"/>
      <c r="Q43" s="27" t="str">
        <f t="shared" si="15"/>
        <v/>
      </c>
      <c r="R43" s="27" t="str">
        <f t="shared" si="16"/>
        <v/>
      </c>
    </row>
    <row r="44" spans="1:21">
      <c r="A44" s="52">
        <f t="shared" si="10"/>
        <v>31</v>
      </c>
      <c r="H44" s="27">
        <f>SUM(H17:H43)</f>
        <v>3614047.1254000007</v>
      </c>
      <c r="I44" s="27">
        <f>SUM(I17:I43)</f>
        <v>350918.71425000002</v>
      </c>
      <c r="J44" s="27">
        <f t="shared" ref="J44:Q44" si="17">SUM(J17:J43)</f>
        <v>3964965.8396500004</v>
      </c>
      <c r="K44" s="231">
        <f t="shared" si="17"/>
        <v>746818.26</v>
      </c>
      <c r="L44" s="27">
        <f t="shared" si="17"/>
        <v>839952.28259729152</v>
      </c>
      <c r="M44" s="27">
        <f t="shared" si="17"/>
        <v>3871831.8170527089</v>
      </c>
      <c r="N44" s="27">
        <f t="shared" si="17"/>
        <v>813084.6815810689</v>
      </c>
      <c r="O44" s="27">
        <f t="shared" si="17"/>
        <v>193591.59085263545</v>
      </c>
      <c r="P44" s="27">
        <f t="shared" si="17"/>
        <v>-40654.234079053444</v>
      </c>
      <c r="Q44" s="231">
        <f t="shared" si="17"/>
        <v>0</v>
      </c>
      <c r="R44" s="27">
        <f>AVERAGE(R16:R28)</f>
        <v>702717.91750486952</v>
      </c>
      <c r="U44" s="27">
        <f>AVERAGE(U16:U28)</f>
        <v>646048.32067598787</v>
      </c>
    </row>
    <row r="45" spans="1:21">
      <c r="H45" s="27"/>
      <c r="I45" s="27"/>
      <c r="J45" s="27"/>
      <c r="K45" s="27"/>
      <c r="L45" s="27"/>
      <c r="R45" s="27"/>
    </row>
    <row r="46" spans="1:21">
      <c r="B46" s="60" t="s">
        <v>163</v>
      </c>
      <c r="C46" s="52" t="s">
        <v>617</v>
      </c>
      <c r="D46" s="245"/>
      <c r="O46" s="48"/>
      <c r="P46" s="48"/>
      <c r="Q46" s="48"/>
    </row>
    <row r="47" spans="1:21">
      <c r="B47" s="60" t="s">
        <v>164</v>
      </c>
      <c r="C47" s="52" t="s">
        <v>616</v>
      </c>
      <c r="D47" s="245"/>
      <c r="O47" s="48"/>
      <c r="P47" s="48"/>
      <c r="Q47" s="48"/>
    </row>
    <row r="48" spans="1:21">
      <c r="A48" s="54"/>
      <c r="B48" s="54"/>
      <c r="C48" s="54"/>
      <c r="D48" s="54" t="s">
        <v>24</v>
      </c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49"/>
      <c r="P48" s="49"/>
      <c r="Q48" s="49"/>
      <c r="R48" s="54"/>
    </row>
    <row r="49" spans="1:18" ht="25.5">
      <c r="A49" s="54"/>
      <c r="B49" s="54"/>
      <c r="C49" s="55"/>
      <c r="D49" s="54" t="s">
        <v>25</v>
      </c>
      <c r="E49" s="55" t="s">
        <v>555</v>
      </c>
      <c r="F49" s="54"/>
      <c r="G49" s="54"/>
      <c r="H49" s="54"/>
      <c r="I49" s="54"/>
      <c r="J49" s="54" t="s">
        <v>3</v>
      </c>
      <c r="K49" s="54" t="s">
        <v>35</v>
      </c>
      <c r="L49" s="54"/>
      <c r="M49" s="54"/>
      <c r="N49" s="55" t="s">
        <v>179</v>
      </c>
      <c r="R49" s="49"/>
    </row>
    <row r="50" spans="1:18">
      <c r="A50" s="54" t="s">
        <v>4</v>
      </c>
      <c r="B50" s="54"/>
      <c r="C50" s="54"/>
      <c r="D50" s="54" t="s">
        <v>26</v>
      </c>
      <c r="E50" s="54" t="s">
        <v>556</v>
      </c>
      <c r="F50" s="54"/>
      <c r="G50" s="54"/>
      <c r="H50" s="54">
        <v>2020</v>
      </c>
      <c r="I50" s="54">
        <v>2021</v>
      </c>
      <c r="J50" s="54" t="s">
        <v>34</v>
      </c>
      <c r="K50" s="54" t="s">
        <v>36</v>
      </c>
      <c r="L50" s="54" t="s">
        <v>38</v>
      </c>
      <c r="M50" s="54"/>
      <c r="N50" s="54" t="s">
        <v>34</v>
      </c>
      <c r="R50" s="49"/>
    </row>
    <row r="51" spans="1:18">
      <c r="A51" s="457" t="s">
        <v>5</v>
      </c>
      <c r="B51" s="457"/>
      <c r="C51" s="457"/>
      <c r="D51" s="457" t="s">
        <v>2</v>
      </c>
      <c r="E51" s="457" t="s">
        <v>557</v>
      </c>
      <c r="F51" s="457"/>
      <c r="G51" s="457" t="s">
        <v>105</v>
      </c>
      <c r="H51" s="457" t="s">
        <v>20</v>
      </c>
      <c r="I51" s="457" t="s">
        <v>20</v>
      </c>
      <c r="J51" s="457" t="s">
        <v>0</v>
      </c>
      <c r="K51" s="457" t="s">
        <v>37</v>
      </c>
      <c r="L51" s="457" t="s">
        <v>0</v>
      </c>
      <c r="M51" s="457" t="s">
        <v>39</v>
      </c>
      <c r="N51" s="56" t="s">
        <v>453</v>
      </c>
      <c r="R51" s="49"/>
    </row>
    <row r="52" spans="1:18">
      <c r="C52" s="57"/>
      <c r="D52" s="57" t="s">
        <v>69</v>
      </c>
      <c r="E52" s="57"/>
      <c r="F52" s="58"/>
      <c r="G52" s="58"/>
      <c r="H52" s="59" t="s">
        <v>163</v>
      </c>
      <c r="I52" s="59" t="s">
        <v>164</v>
      </c>
      <c r="R52" s="50"/>
    </row>
    <row r="53" spans="1:18">
      <c r="A53" s="52">
        <v>1</v>
      </c>
      <c r="C53" s="57" t="s">
        <v>69</v>
      </c>
      <c r="D53" s="59"/>
      <c r="E53" s="57"/>
      <c r="H53" s="231">
        <f>H11</f>
        <v>76085202.640000001</v>
      </c>
      <c r="I53" s="27">
        <f>I11</f>
        <v>14036748.57</v>
      </c>
      <c r="J53" s="62"/>
      <c r="R53" s="50"/>
    </row>
    <row r="54" spans="1:18">
      <c r="A54" s="52">
        <v>2</v>
      </c>
      <c r="C54" s="57" t="s">
        <v>72</v>
      </c>
      <c r="D54" s="59"/>
      <c r="E54" s="57"/>
      <c r="H54" s="231">
        <f>H12</f>
        <v>0</v>
      </c>
      <c r="I54" s="231">
        <f>I12</f>
        <v>0</v>
      </c>
      <c r="R54" s="50"/>
    </row>
    <row r="55" spans="1:18">
      <c r="A55" s="52">
        <v>3</v>
      </c>
      <c r="C55" s="57" t="s">
        <v>182</v>
      </c>
      <c r="D55" s="59"/>
      <c r="E55" s="57"/>
      <c r="H55" s="460" t="s">
        <v>394</v>
      </c>
      <c r="I55" s="460" t="s">
        <v>394</v>
      </c>
      <c r="R55" s="50"/>
    </row>
    <row r="56" spans="1:18">
      <c r="C56" s="59"/>
      <c r="E56" s="59"/>
      <c r="R56" s="50"/>
    </row>
    <row r="57" spans="1:18">
      <c r="C57" s="54" t="s">
        <v>561</v>
      </c>
      <c r="H57" s="195"/>
      <c r="I57" s="195"/>
      <c r="J57" s="195"/>
      <c r="K57" s="195"/>
      <c r="L57" s="244"/>
      <c r="R57" s="50"/>
    </row>
    <row r="58" spans="1:18">
      <c r="C58" s="54" t="s">
        <v>562</v>
      </c>
      <c r="H58" s="59" t="s">
        <v>163</v>
      </c>
      <c r="I58" s="59" t="s">
        <v>164</v>
      </c>
      <c r="R58" s="51"/>
    </row>
    <row r="59" spans="1:18">
      <c r="A59" s="52">
        <f>A55+1</f>
        <v>4</v>
      </c>
      <c r="C59" s="476">
        <v>0.05</v>
      </c>
      <c r="D59" s="61">
        <v>0.05</v>
      </c>
      <c r="E59" s="156">
        <v>1</v>
      </c>
      <c r="G59" s="52">
        <v>1</v>
      </c>
      <c r="H59" s="231">
        <f>$H$53*$C$60/12</f>
        <v>602341.18756666675</v>
      </c>
      <c r="I59" s="231">
        <f>I17</f>
        <v>6529.0810833333335</v>
      </c>
      <c r="J59" s="231">
        <f>SUM(H59:I59)</f>
        <v>608870.2686500001</v>
      </c>
      <c r="K59" s="231">
        <f>K17</f>
        <v>86.69</v>
      </c>
      <c r="L59" s="231">
        <f>L17</f>
        <v>131317.34946541666</v>
      </c>
      <c r="M59" s="231">
        <f>J59+K59-L59</f>
        <v>477639.60918458342</v>
      </c>
      <c r="N59" s="231">
        <f>M59*0.05</f>
        <v>23881.980459229173</v>
      </c>
      <c r="R59" s="51"/>
    </row>
    <row r="60" spans="1:18">
      <c r="A60" s="52">
        <f>A59+1</f>
        <v>5</v>
      </c>
      <c r="C60" s="476">
        <v>9.5000000000000001E-2</v>
      </c>
      <c r="D60" s="61">
        <v>9.5000000000000001E-2</v>
      </c>
      <c r="E60" s="156">
        <v>2</v>
      </c>
      <c r="G60" s="52">
        <v>2</v>
      </c>
      <c r="H60" s="231">
        <f t="shared" ref="H60:H64" si="18">$H$53*$C$60/12</f>
        <v>602341.18756666675</v>
      </c>
      <c r="I60" s="231">
        <f t="shared" ref="I60:I70" si="19">I18</f>
        <v>19029.468666666668</v>
      </c>
      <c r="J60" s="231">
        <f t="shared" ref="J60:J70" si="20">SUM(H60:I60)</f>
        <v>621370.6562333334</v>
      </c>
      <c r="K60" s="231">
        <f t="shared" ref="K60:L70" si="21">K18</f>
        <v>0</v>
      </c>
      <c r="L60" s="231">
        <f t="shared" si="21"/>
        <v>133937.10081479166</v>
      </c>
      <c r="M60" s="231">
        <f t="shared" ref="M60:M70" si="22">J60+K60-L60</f>
        <v>487433.55541854177</v>
      </c>
      <c r="N60" s="231">
        <f t="shared" ref="N60:N70" si="23">M60*0.05</f>
        <v>24371.67777092709</v>
      </c>
      <c r="R60" s="51"/>
    </row>
    <row r="61" spans="1:18">
      <c r="A61" s="52">
        <f t="shared" ref="A61:A86" si="24">A60+1</f>
        <v>6</v>
      </c>
      <c r="C61" s="476">
        <v>8.5500000000000007E-2</v>
      </c>
      <c r="D61" s="61">
        <v>8.5500000000000007E-2</v>
      </c>
      <c r="E61" s="156">
        <v>3</v>
      </c>
      <c r="G61" s="52">
        <v>3</v>
      </c>
      <c r="H61" s="231">
        <f t="shared" si="18"/>
        <v>602341.18756666675</v>
      </c>
      <c r="I61" s="231">
        <f t="shared" si="19"/>
        <v>44587.291500000014</v>
      </c>
      <c r="J61" s="231">
        <f t="shared" si="20"/>
        <v>646928.4790666668</v>
      </c>
      <c r="K61" s="231">
        <f t="shared" si="21"/>
        <v>27248.06</v>
      </c>
      <c r="L61" s="231">
        <f t="shared" si="21"/>
        <v>137391.93834479168</v>
      </c>
      <c r="M61" s="231">
        <f t="shared" si="22"/>
        <v>536784.60072187521</v>
      </c>
      <c r="N61" s="231">
        <f t="shared" si="23"/>
        <v>26839.230036093762</v>
      </c>
      <c r="R61" s="51"/>
    </row>
    <row r="62" spans="1:18">
      <c r="A62" s="52">
        <f t="shared" si="24"/>
        <v>7</v>
      </c>
      <c r="C62" s="476">
        <v>7.6999999999999999E-2</v>
      </c>
      <c r="D62" s="61">
        <v>7.6999999999999999E-2</v>
      </c>
      <c r="E62" s="156">
        <v>4</v>
      </c>
      <c r="G62" s="52">
        <v>4</v>
      </c>
      <c r="H62" s="231">
        <f t="shared" si="18"/>
        <v>602341.18756666675</v>
      </c>
      <c r="I62" s="231">
        <f t="shared" si="19"/>
        <v>50666.60075000002</v>
      </c>
      <c r="J62" s="231">
        <f t="shared" si="20"/>
        <v>653007.78831666673</v>
      </c>
      <c r="K62" s="231">
        <f t="shared" si="21"/>
        <v>142808.63</v>
      </c>
      <c r="L62" s="231">
        <f t="shared" si="21"/>
        <v>140963.82464791666</v>
      </c>
      <c r="M62" s="231">
        <f t="shared" si="22"/>
        <v>654852.59366875002</v>
      </c>
      <c r="N62" s="231">
        <f t="shared" si="23"/>
        <v>32742.629683437503</v>
      </c>
      <c r="R62" s="51"/>
    </row>
    <row r="63" spans="1:18">
      <c r="A63" s="52">
        <f t="shared" si="24"/>
        <v>8</v>
      </c>
      <c r="C63" s="476">
        <v>6.93E-2</v>
      </c>
      <c r="D63" s="61">
        <v>6.93E-2</v>
      </c>
      <c r="E63" s="156">
        <v>5</v>
      </c>
      <c r="G63" s="52">
        <v>5</v>
      </c>
      <c r="H63" s="231">
        <f t="shared" si="18"/>
        <v>602341.18756666675</v>
      </c>
      <c r="I63" s="231">
        <f t="shared" si="19"/>
        <v>101174.54883333331</v>
      </c>
      <c r="J63" s="231">
        <f t="shared" si="20"/>
        <v>703515.73640000005</v>
      </c>
      <c r="K63" s="231">
        <f t="shared" si="21"/>
        <v>415206.42</v>
      </c>
      <c r="L63" s="231">
        <f t="shared" si="21"/>
        <v>145271.99211999998</v>
      </c>
      <c r="M63" s="27">
        <f t="shared" si="22"/>
        <v>973450.16428000003</v>
      </c>
      <c r="N63" s="27">
        <f t="shared" si="23"/>
        <v>48672.508214000001</v>
      </c>
      <c r="R63" s="51"/>
    </row>
    <row r="64" spans="1:18">
      <c r="A64" s="52">
        <f t="shared" si="24"/>
        <v>9</v>
      </c>
      <c r="C64" s="476">
        <v>6.2300000000000001E-2</v>
      </c>
      <c r="D64" s="61">
        <v>6.2300000000000001E-2</v>
      </c>
      <c r="E64" s="156">
        <v>6</v>
      </c>
      <c r="G64" s="52">
        <v>6</v>
      </c>
      <c r="H64" s="231">
        <f t="shared" si="18"/>
        <v>602341.18756666675</v>
      </c>
      <c r="I64" s="231">
        <f t="shared" si="19"/>
        <v>128931.72341666669</v>
      </c>
      <c r="J64" s="231">
        <f t="shared" si="20"/>
        <v>731272.91098333348</v>
      </c>
      <c r="K64" s="231">
        <f t="shared" si="21"/>
        <v>161468.46</v>
      </c>
      <c r="L64" s="231">
        <f t="shared" si="21"/>
        <v>151070.077204375</v>
      </c>
      <c r="M64" s="27">
        <f t="shared" si="22"/>
        <v>741671.2937789585</v>
      </c>
      <c r="N64" s="27">
        <f t="shared" si="23"/>
        <v>37083.564688947925</v>
      </c>
      <c r="R64" s="51"/>
    </row>
    <row r="65" spans="1:18">
      <c r="A65" s="52">
        <f t="shared" si="24"/>
        <v>10</v>
      </c>
      <c r="C65" s="476">
        <v>5.8999999999999997E-2</v>
      </c>
      <c r="D65" s="61">
        <v>5.8999999999999997E-2</v>
      </c>
      <c r="E65" s="156">
        <v>7</v>
      </c>
      <c r="G65" s="52">
        <v>7</v>
      </c>
      <c r="H65" s="231">
        <v>0</v>
      </c>
      <c r="I65" s="231">
        <f t="shared" si="19"/>
        <v>0</v>
      </c>
      <c r="J65" s="231">
        <f t="shared" si="20"/>
        <v>0</v>
      </c>
      <c r="K65" s="231">
        <f t="shared" si="21"/>
        <v>0</v>
      </c>
      <c r="L65" s="231">
        <f t="shared" si="21"/>
        <v>0</v>
      </c>
      <c r="M65" s="27">
        <f t="shared" si="22"/>
        <v>0</v>
      </c>
      <c r="N65" s="27">
        <f t="shared" si="23"/>
        <v>0</v>
      </c>
      <c r="R65" s="51"/>
    </row>
    <row r="66" spans="1:18">
      <c r="A66" s="52">
        <f t="shared" si="24"/>
        <v>11</v>
      </c>
      <c r="C66" s="476">
        <v>5.8999999999999997E-2</v>
      </c>
      <c r="D66" s="61">
        <v>5.8999999999999997E-2</v>
      </c>
      <c r="E66" s="156">
        <v>8</v>
      </c>
      <c r="G66" s="52">
        <v>8</v>
      </c>
      <c r="H66" s="231">
        <v>0</v>
      </c>
      <c r="I66" s="231">
        <f t="shared" si="19"/>
        <v>0</v>
      </c>
      <c r="J66" s="231">
        <f t="shared" si="20"/>
        <v>0</v>
      </c>
      <c r="K66" s="231">
        <f t="shared" si="21"/>
        <v>0</v>
      </c>
      <c r="L66" s="231">
        <f t="shared" si="21"/>
        <v>0</v>
      </c>
      <c r="M66" s="27">
        <f t="shared" si="22"/>
        <v>0</v>
      </c>
      <c r="N66" s="27">
        <f t="shared" si="23"/>
        <v>0</v>
      </c>
      <c r="R66" s="51"/>
    </row>
    <row r="67" spans="1:18">
      <c r="A67" s="52">
        <f t="shared" si="24"/>
        <v>12</v>
      </c>
      <c r="C67" s="476">
        <v>5.91E-2</v>
      </c>
      <c r="D67" s="61">
        <v>5.91E-2</v>
      </c>
      <c r="E67" s="156">
        <v>9</v>
      </c>
      <c r="G67" s="52">
        <v>9</v>
      </c>
      <c r="H67" s="231">
        <v>0</v>
      </c>
      <c r="I67" s="231">
        <f t="shared" si="19"/>
        <v>0</v>
      </c>
      <c r="J67" s="231">
        <f t="shared" si="20"/>
        <v>0</v>
      </c>
      <c r="K67" s="231">
        <f t="shared" si="21"/>
        <v>0</v>
      </c>
      <c r="L67" s="231">
        <f t="shared" si="21"/>
        <v>0</v>
      </c>
      <c r="M67" s="27">
        <f t="shared" si="22"/>
        <v>0</v>
      </c>
      <c r="N67" s="27">
        <f t="shared" si="23"/>
        <v>0</v>
      </c>
      <c r="R67" s="51"/>
    </row>
    <row r="68" spans="1:18">
      <c r="A68" s="52">
        <f t="shared" si="24"/>
        <v>13</v>
      </c>
      <c r="C68" s="476">
        <v>5.8999999999999997E-2</v>
      </c>
      <c r="D68" s="61">
        <v>5.8999999999999997E-2</v>
      </c>
      <c r="E68" s="156">
        <v>10</v>
      </c>
      <c r="G68" s="52">
        <v>10</v>
      </c>
      <c r="H68" s="231">
        <v>0</v>
      </c>
      <c r="I68" s="231">
        <f t="shared" si="19"/>
        <v>0</v>
      </c>
      <c r="J68" s="231">
        <f t="shared" si="20"/>
        <v>0</v>
      </c>
      <c r="K68" s="231">
        <f t="shared" si="21"/>
        <v>0</v>
      </c>
      <c r="L68" s="231">
        <f t="shared" si="21"/>
        <v>0</v>
      </c>
      <c r="M68" s="27">
        <f t="shared" si="22"/>
        <v>0</v>
      </c>
      <c r="N68" s="27">
        <f t="shared" si="23"/>
        <v>0</v>
      </c>
      <c r="R68" s="51"/>
    </row>
    <row r="69" spans="1:18">
      <c r="A69" s="52">
        <f t="shared" si="24"/>
        <v>14</v>
      </c>
      <c r="C69" s="476">
        <v>5.91E-2</v>
      </c>
      <c r="D69" s="61">
        <v>5.91E-2</v>
      </c>
      <c r="E69" s="156">
        <v>11</v>
      </c>
      <c r="G69" s="52">
        <v>11</v>
      </c>
      <c r="H69" s="231">
        <v>0</v>
      </c>
      <c r="I69" s="231">
        <f t="shared" si="19"/>
        <v>0</v>
      </c>
      <c r="J69" s="231">
        <f t="shared" si="20"/>
        <v>0</v>
      </c>
      <c r="K69" s="231">
        <f t="shared" si="21"/>
        <v>0</v>
      </c>
      <c r="L69" s="231">
        <f t="shared" si="21"/>
        <v>0</v>
      </c>
      <c r="M69" s="27">
        <f t="shared" si="22"/>
        <v>0</v>
      </c>
      <c r="N69" s="27">
        <f t="shared" si="23"/>
        <v>0</v>
      </c>
      <c r="R69" s="51"/>
    </row>
    <row r="70" spans="1:18">
      <c r="A70" s="52">
        <f t="shared" si="24"/>
        <v>15</v>
      </c>
      <c r="C70" s="476">
        <v>5.8999999999999997E-2</v>
      </c>
      <c r="D70" s="61">
        <v>5.8999999999999997E-2</v>
      </c>
      <c r="E70" s="156">
        <v>12</v>
      </c>
      <c r="G70" s="52">
        <v>12</v>
      </c>
      <c r="H70" s="231">
        <v>0</v>
      </c>
      <c r="I70" s="231">
        <f t="shared" si="19"/>
        <v>0</v>
      </c>
      <c r="J70" s="231">
        <f t="shared" si="20"/>
        <v>0</v>
      </c>
      <c r="K70" s="231">
        <f t="shared" si="21"/>
        <v>0</v>
      </c>
      <c r="L70" s="231">
        <f t="shared" si="21"/>
        <v>0</v>
      </c>
      <c r="M70" s="27">
        <f t="shared" si="22"/>
        <v>0</v>
      </c>
      <c r="N70" s="27">
        <f t="shared" si="23"/>
        <v>0</v>
      </c>
      <c r="R70" s="51"/>
    </row>
    <row r="71" spans="1:18">
      <c r="A71" s="52">
        <f t="shared" si="24"/>
        <v>16</v>
      </c>
      <c r="C71" s="476">
        <v>5.91E-2</v>
      </c>
      <c r="D71" s="61">
        <v>5.91E-2</v>
      </c>
      <c r="E71" s="156">
        <v>13</v>
      </c>
      <c r="H71" s="27"/>
      <c r="I71" s="27"/>
      <c r="J71" s="27"/>
      <c r="K71" s="27"/>
      <c r="L71" s="27"/>
      <c r="M71" s="27" t="str">
        <f t="shared" ref="M71:M85" si="25">IF(L71=0,"",J71+K71-L71)</f>
        <v/>
      </c>
      <c r="N71" s="27" t="str">
        <f t="shared" ref="N71:N85" si="26">IF(M71="","",M71*0.389)</f>
        <v/>
      </c>
      <c r="O71" s="51"/>
      <c r="P71" s="51"/>
      <c r="Q71" s="51"/>
      <c r="R71" s="27" t="str">
        <f t="shared" ref="R71:R85" si="27">IF(N71="","",R70+N71)</f>
        <v/>
      </c>
    </row>
    <row r="72" spans="1:18">
      <c r="A72" s="52">
        <f t="shared" si="24"/>
        <v>17</v>
      </c>
      <c r="C72" s="476">
        <v>5.8999999999999997E-2</v>
      </c>
      <c r="D72" s="61">
        <v>5.8999999999999997E-2</v>
      </c>
      <c r="E72" s="156">
        <v>14</v>
      </c>
      <c r="H72" s="27"/>
      <c r="I72" s="27"/>
      <c r="J72" s="27"/>
      <c r="K72" s="27"/>
      <c r="L72" s="27"/>
      <c r="M72" s="27" t="str">
        <f t="shared" si="25"/>
        <v/>
      </c>
      <c r="N72" s="27" t="str">
        <f t="shared" si="26"/>
        <v/>
      </c>
      <c r="O72" s="51"/>
      <c r="P72" s="51"/>
      <c r="Q72" s="51"/>
      <c r="R72" s="27" t="str">
        <f t="shared" si="27"/>
        <v/>
      </c>
    </row>
    <row r="73" spans="1:18">
      <c r="A73" s="52">
        <f t="shared" si="24"/>
        <v>18</v>
      </c>
      <c r="C73" s="476">
        <v>5.91E-2</v>
      </c>
      <c r="D73" s="61">
        <v>5.91E-2</v>
      </c>
      <c r="E73" s="156">
        <v>15</v>
      </c>
      <c r="H73" s="27"/>
      <c r="I73" s="27"/>
      <c r="J73" s="27"/>
      <c r="K73" s="27"/>
      <c r="L73" s="27"/>
      <c r="M73" s="27" t="str">
        <f t="shared" si="25"/>
        <v/>
      </c>
      <c r="N73" s="27" t="str">
        <f t="shared" si="26"/>
        <v/>
      </c>
      <c r="O73" s="51"/>
      <c r="P73" s="51"/>
      <c r="Q73" s="51"/>
      <c r="R73" s="27" t="str">
        <f t="shared" si="27"/>
        <v/>
      </c>
    </row>
    <row r="74" spans="1:18">
      <c r="A74" s="52">
        <f t="shared" si="24"/>
        <v>19</v>
      </c>
      <c r="C74" s="476">
        <v>2.9499999999999998E-2</v>
      </c>
      <c r="D74" s="61">
        <v>2.9499999999999998E-2</v>
      </c>
      <c r="E74" s="156">
        <v>16</v>
      </c>
      <c r="H74" s="27"/>
      <c r="I74" s="27"/>
      <c r="J74" s="27"/>
      <c r="K74" s="27"/>
      <c r="L74" s="27"/>
      <c r="M74" s="27" t="str">
        <f t="shared" si="25"/>
        <v/>
      </c>
      <c r="N74" s="27" t="str">
        <f t="shared" si="26"/>
        <v/>
      </c>
      <c r="O74" s="51"/>
      <c r="P74" s="51"/>
      <c r="Q74" s="51"/>
      <c r="R74" s="27" t="str">
        <f t="shared" si="27"/>
        <v/>
      </c>
    </row>
    <row r="75" spans="1:18">
      <c r="A75" s="52">
        <f t="shared" si="24"/>
        <v>20</v>
      </c>
      <c r="C75" s="61">
        <v>0</v>
      </c>
      <c r="D75" s="61">
        <v>0</v>
      </c>
      <c r="E75" s="156">
        <v>17</v>
      </c>
      <c r="H75" s="27"/>
      <c r="I75" s="27"/>
      <c r="J75" s="27"/>
      <c r="K75" s="27"/>
      <c r="L75" s="27"/>
      <c r="M75" s="27" t="str">
        <f t="shared" si="25"/>
        <v/>
      </c>
      <c r="N75" s="27" t="str">
        <f t="shared" si="26"/>
        <v/>
      </c>
      <c r="O75" s="51"/>
      <c r="P75" s="51"/>
      <c r="Q75" s="51"/>
      <c r="R75" s="27" t="str">
        <f t="shared" si="27"/>
        <v/>
      </c>
    </row>
    <row r="76" spans="1:18">
      <c r="A76" s="52">
        <f t="shared" si="24"/>
        <v>21</v>
      </c>
      <c r="C76" s="61">
        <v>0</v>
      </c>
      <c r="D76" s="61">
        <v>0</v>
      </c>
      <c r="E76" s="156">
        <v>18</v>
      </c>
      <c r="H76" s="27"/>
      <c r="I76" s="27"/>
      <c r="J76" s="27"/>
      <c r="K76" s="27"/>
      <c r="L76" s="27"/>
      <c r="M76" s="27" t="str">
        <f t="shared" si="25"/>
        <v/>
      </c>
      <c r="N76" s="27" t="str">
        <f t="shared" si="26"/>
        <v/>
      </c>
      <c r="O76" s="51"/>
      <c r="P76" s="51"/>
      <c r="Q76" s="51"/>
      <c r="R76" s="27" t="str">
        <f t="shared" si="27"/>
        <v/>
      </c>
    </row>
    <row r="77" spans="1:18">
      <c r="A77" s="52">
        <f t="shared" si="24"/>
        <v>22</v>
      </c>
      <c r="C77" s="61">
        <v>0</v>
      </c>
      <c r="D77" s="61">
        <v>0</v>
      </c>
      <c r="E77" s="156">
        <v>19</v>
      </c>
      <c r="H77" s="27"/>
      <c r="I77" s="27"/>
      <c r="J77" s="27"/>
      <c r="K77" s="27"/>
      <c r="L77" s="27"/>
      <c r="M77" s="27" t="str">
        <f t="shared" si="25"/>
        <v/>
      </c>
      <c r="N77" s="27" t="str">
        <f t="shared" si="26"/>
        <v/>
      </c>
      <c r="O77" s="51"/>
      <c r="P77" s="51"/>
      <c r="Q77" s="51"/>
      <c r="R77" s="27" t="str">
        <f t="shared" si="27"/>
        <v/>
      </c>
    </row>
    <row r="78" spans="1:18">
      <c r="A78" s="52">
        <f t="shared" si="24"/>
        <v>23</v>
      </c>
      <c r="C78" s="61">
        <v>0</v>
      </c>
      <c r="D78" s="61">
        <v>0</v>
      </c>
      <c r="E78" s="156">
        <v>20</v>
      </c>
      <c r="H78" s="27"/>
      <c r="I78" s="27"/>
      <c r="J78" s="27"/>
      <c r="K78" s="27"/>
      <c r="L78" s="27"/>
      <c r="M78" s="27" t="str">
        <f t="shared" si="25"/>
        <v/>
      </c>
      <c r="N78" s="27" t="str">
        <f t="shared" si="26"/>
        <v/>
      </c>
      <c r="O78" s="51"/>
      <c r="P78" s="51"/>
      <c r="Q78" s="51"/>
      <c r="R78" s="27" t="str">
        <f t="shared" si="27"/>
        <v/>
      </c>
    </row>
    <row r="79" spans="1:18">
      <c r="A79" s="52">
        <f t="shared" si="24"/>
        <v>24</v>
      </c>
      <c r="C79" s="61">
        <v>0</v>
      </c>
      <c r="D79" s="61">
        <v>0</v>
      </c>
      <c r="E79" s="156">
        <v>21</v>
      </c>
      <c r="H79" s="27"/>
      <c r="I79" s="27"/>
      <c r="J79" s="27"/>
      <c r="K79" s="27"/>
      <c r="L79" s="27"/>
      <c r="M79" s="27" t="str">
        <f t="shared" si="25"/>
        <v/>
      </c>
      <c r="N79" s="27" t="str">
        <f t="shared" si="26"/>
        <v/>
      </c>
      <c r="O79" s="51"/>
      <c r="P79" s="51"/>
      <c r="Q79" s="51"/>
      <c r="R79" s="27" t="str">
        <f t="shared" si="27"/>
        <v/>
      </c>
    </row>
    <row r="80" spans="1:18">
      <c r="A80" s="52">
        <f t="shared" si="24"/>
        <v>25</v>
      </c>
      <c r="C80" s="61">
        <v>0</v>
      </c>
      <c r="D80" s="61">
        <v>0</v>
      </c>
      <c r="E80" s="156">
        <v>22</v>
      </c>
      <c r="H80" s="27"/>
      <c r="I80" s="27"/>
      <c r="J80" s="27"/>
      <c r="K80" s="27"/>
      <c r="L80" s="27"/>
      <c r="M80" s="27" t="str">
        <f t="shared" si="25"/>
        <v/>
      </c>
      <c r="N80" s="27" t="str">
        <f t="shared" si="26"/>
        <v/>
      </c>
      <c r="O80" s="51"/>
      <c r="P80" s="51"/>
      <c r="Q80" s="51"/>
      <c r="R80" s="27" t="str">
        <f t="shared" si="27"/>
        <v/>
      </c>
    </row>
    <row r="81" spans="1:18">
      <c r="A81" s="52">
        <f t="shared" si="24"/>
        <v>26</v>
      </c>
      <c r="C81" s="61">
        <v>0</v>
      </c>
      <c r="E81" s="156">
        <v>23</v>
      </c>
      <c r="H81" s="27"/>
      <c r="I81" s="27"/>
      <c r="J81" s="27"/>
      <c r="M81" s="27" t="str">
        <f t="shared" si="25"/>
        <v/>
      </c>
      <c r="N81" s="27" t="str">
        <f t="shared" si="26"/>
        <v/>
      </c>
      <c r="O81" s="51"/>
      <c r="P81" s="51"/>
      <c r="Q81" s="51"/>
      <c r="R81" s="27" t="str">
        <f t="shared" si="27"/>
        <v/>
      </c>
    </row>
    <row r="82" spans="1:18">
      <c r="A82" s="52">
        <f t="shared" si="24"/>
        <v>27</v>
      </c>
      <c r="C82" s="61">
        <v>0</v>
      </c>
      <c r="E82" s="156">
        <v>24</v>
      </c>
      <c r="H82" s="27"/>
      <c r="I82" s="27"/>
      <c r="J82" s="27"/>
      <c r="M82" s="27" t="str">
        <f t="shared" si="25"/>
        <v/>
      </c>
      <c r="N82" s="27" t="str">
        <f t="shared" si="26"/>
        <v/>
      </c>
      <c r="O82" s="51"/>
      <c r="P82" s="51"/>
      <c r="Q82" s="51"/>
      <c r="R82" s="27" t="str">
        <f t="shared" si="27"/>
        <v/>
      </c>
    </row>
    <row r="83" spans="1:18">
      <c r="A83" s="52">
        <f t="shared" si="24"/>
        <v>28</v>
      </c>
      <c r="C83" s="61">
        <v>0</v>
      </c>
      <c r="E83" s="156">
        <v>25</v>
      </c>
      <c r="H83" s="27"/>
      <c r="I83" s="27"/>
      <c r="J83" s="27"/>
      <c r="M83" s="27" t="str">
        <f t="shared" si="25"/>
        <v/>
      </c>
      <c r="N83" s="27" t="str">
        <f t="shared" si="26"/>
        <v/>
      </c>
      <c r="O83" s="51"/>
      <c r="P83" s="51"/>
      <c r="Q83" s="51"/>
      <c r="R83" s="27" t="str">
        <f t="shared" si="27"/>
        <v/>
      </c>
    </row>
    <row r="84" spans="1:18">
      <c r="A84" s="52">
        <f t="shared" si="24"/>
        <v>29</v>
      </c>
      <c r="C84" s="61">
        <v>0</v>
      </c>
      <c r="E84" s="156">
        <v>26</v>
      </c>
      <c r="H84" s="27"/>
      <c r="I84" s="27"/>
      <c r="J84" s="27"/>
      <c r="M84" s="27" t="str">
        <f t="shared" si="25"/>
        <v/>
      </c>
      <c r="N84" s="27" t="str">
        <f t="shared" si="26"/>
        <v/>
      </c>
      <c r="O84" s="51"/>
      <c r="P84" s="51"/>
      <c r="Q84" s="51"/>
      <c r="R84" s="27" t="str">
        <f t="shared" si="27"/>
        <v/>
      </c>
    </row>
    <row r="85" spans="1:18">
      <c r="A85" s="52">
        <f t="shared" si="24"/>
        <v>30</v>
      </c>
      <c r="C85" s="61">
        <v>0</v>
      </c>
      <c r="E85" s="156">
        <v>27</v>
      </c>
      <c r="J85" s="27"/>
      <c r="M85" s="27" t="str">
        <f t="shared" si="25"/>
        <v/>
      </c>
      <c r="N85" s="27" t="str">
        <f t="shared" si="26"/>
        <v/>
      </c>
      <c r="R85" s="27" t="str">
        <f t="shared" si="27"/>
        <v/>
      </c>
    </row>
    <row r="86" spans="1:18">
      <c r="A86" s="52">
        <f t="shared" si="24"/>
        <v>31</v>
      </c>
      <c r="H86" s="27">
        <f t="shared" ref="H86:N86" si="28">SUM(H59:H85)</f>
        <v>3614047.1254000007</v>
      </c>
      <c r="I86" s="27">
        <f t="shared" si="28"/>
        <v>350918.71425000002</v>
      </c>
      <c r="J86" s="27">
        <f t="shared" si="28"/>
        <v>3964965.8396500004</v>
      </c>
      <c r="K86" s="231">
        <f t="shared" si="28"/>
        <v>746818.26</v>
      </c>
      <c r="L86" s="27">
        <f t="shared" si="28"/>
        <v>839952.28259729152</v>
      </c>
      <c r="M86" s="27">
        <f t="shared" si="28"/>
        <v>3871831.8170527089</v>
      </c>
      <c r="N86" s="27">
        <f t="shared" si="28"/>
        <v>193591.59085263545</v>
      </c>
      <c r="O86" s="27"/>
      <c r="P86" s="27"/>
      <c r="Q86" s="27"/>
      <c r="R86" s="27"/>
    </row>
    <row r="87" spans="1:18">
      <c r="H87" s="27"/>
      <c r="I87" s="27"/>
      <c r="J87" s="27"/>
      <c r="K87" s="27"/>
      <c r="L87" s="27"/>
      <c r="R87" s="27"/>
    </row>
    <row r="88" spans="1:18">
      <c r="B88" s="60" t="s">
        <v>163</v>
      </c>
      <c r="C88" s="52" t="s">
        <v>617</v>
      </c>
    </row>
    <row r="89" spans="1:18">
      <c r="B89" s="60" t="s">
        <v>164</v>
      </c>
      <c r="C89" s="52" t="s">
        <v>616</v>
      </c>
    </row>
  </sheetData>
  <dataValidations count="1">
    <dataValidation type="decimal" operator="lessThanOrEqual" allowBlank="1" showInputMessage="1" showErrorMessage="1" errorTitle="Error" error="Value should be negative." sqref="Q16" xr:uid="{FB8E3E2C-F583-43EB-80C9-3B324BBC707E}">
      <formula1>0</formula1>
    </dataValidation>
  </dataValidations>
  <pageMargins left="0.7" right="0.7" top="0.75" bottom="0.75" header="0.3" footer="0.3"/>
  <pageSetup scale="44" orientation="landscape" r:id="rId1"/>
  <headerFooter>
    <oddFooter>&amp;R&amp;"Times New Roman,Bold"&amp;17Exhibit 4
Page 18 of 18&amp;L&amp;1#&amp;"Calibri"&amp;14&amp;K000000Business Use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BF381-2596-415E-8393-5430A337FE48}">
  <sheetPr>
    <tabColor theme="5" tint="0.39997558519241921"/>
  </sheetPr>
  <dimension ref="A3:W173"/>
  <sheetViews>
    <sheetView zoomScale="70" zoomScaleNormal="70" workbookViewId="0"/>
  </sheetViews>
  <sheetFormatPr defaultColWidth="8.7109375" defaultRowHeight="15"/>
  <cols>
    <col min="1" max="1" width="33.42578125" style="443" bestFit="1" customWidth="1"/>
    <col min="2" max="2" width="17" style="443" bestFit="1" customWidth="1"/>
    <col min="3" max="3" width="31.7109375" style="443" customWidth="1"/>
    <col min="4" max="4" width="27.140625" style="443" bestFit="1" customWidth="1"/>
    <col min="5" max="10" width="15.7109375" style="443" bestFit="1" customWidth="1"/>
    <col min="11" max="11" width="17.7109375" style="443" bestFit="1" customWidth="1"/>
    <col min="12" max="14" width="14" style="443" bestFit="1" customWidth="1"/>
    <col min="15" max="15" width="28" style="443" bestFit="1" customWidth="1"/>
    <col min="16" max="16" width="14" style="443" bestFit="1" customWidth="1"/>
    <col min="17" max="17" width="16.85546875" style="443" bestFit="1" customWidth="1"/>
    <col min="18" max="18" width="18.140625" style="443" bestFit="1" customWidth="1"/>
    <col min="19" max="19" width="8.7109375" style="443"/>
    <col min="20" max="20" width="31.85546875" style="443" customWidth="1"/>
    <col min="21" max="21" width="7" style="443" bestFit="1" customWidth="1"/>
    <col min="22" max="22" width="19.140625" style="443" customWidth="1"/>
    <col min="23" max="23" width="7" style="443" bestFit="1" customWidth="1"/>
    <col min="24" max="16384" width="8.7109375" style="443"/>
  </cols>
  <sheetData>
    <row r="3" spans="1:18">
      <c r="B3" s="444"/>
      <c r="G3" s="513" t="s">
        <v>688</v>
      </c>
    </row>
    <row r="4" spans="1:18">
      <c r="F4" s="1592" t="s">
        <v>735</v>
      </c>
      <c r="G4" s="1592"/>
      <c r="H4" s="1592"/>
      <c r="I4" s="1592"/>
    </row>
    <row r="5" spans="1:18">
      <c r="F5" s="1592"/>
      <c r="G5" s="1592"/>
      <c r="H5" s="1592"/>
      <c r="I5" s="1592"/>
    </row>
    <row r="7" spans="1:18">
      <c r="A7" s="443" t="s">
        <v>581</v>
      </c>
      <c r="B7" s="443" t="s">
        <v>582</v>
      </c>
      <c r="C7" s="443" t="s">
        <v>106</v>
      </c>
      <c r="D7" s="443" t="s">
        <v>583</v>
      </c>
      <c r="E7" s="443" t="s">
        <v>584</v>
      </c>
      <c r="F7" s="443" t="s">
        <v>585</v>
      </c>
      <c r="G7" s="443" t="s">
        <v>586</v>
      </c>
      <c r="H7" s="443" t="s">
        <v>587</v>
      </c>
      <c r="I7" s="443" t="s">
        <v>588</v>
      </c>
      <c r="J7" s="443" t="s">
        <v>589</v>
      </c>
      <c r="K7" s="443" t="s">
        <v>590</v>
      </c>
      <c r="L7" s="443" t="s">
        <v>591</v>
      </c>
      <c r="M7" s="443" t="s">
        <v>592</v>
      </c>
      <c r="N7" s="443" t="s">
        <v>593</v>
      </c>
      <c r="O7" s="443" t="s">
        <v>594</v>
      </c>
      <c r="P7" s="443" t="s">
        <v>595</v>
      </c>
      <c r="Q7" s="443" t="s">
        <v>3</v>
      </c>
    </row>
    <row r="8" spans="1:18" ht="45">
      <c r="A8" s="445" t="s">
        <v>604</v>
      </c>
      <c r="B8" s="443" t="s">
        <v>605</v>
      </c>
      <c r="C8" s="456">
        <v>414000002</v>
      </c>
      <c r="D8" s="456" t="s">
        <v>632</v>
      </c>
      <c r="E8" s="443">
        <f>SUMIFS(E$46:E$139,$C$46:$C$139,$C8)</f>
        <v>662596.68999999994</v>
      </c>
      <c r="F8" s="443">
        <f t="shared" ref="F8:J8" si="0">SUMIFS(F$46:F$139,$C$46:$C$139,$C8)</f>
        <v>428192.89</v>
      </c>
      <c r="G8" s="443">
        <f t="shared" si="0"/>
        <v>884771.78</v>
      </c>
      <c r="H8" s="443">
        <f t="shared" si="0"/>
        <v>648440.88</v>
      </c>
      <c r="I8" s="443">
        <f t="shared" si="0"/>
        <v>630926.49</v>
      </c>
      <c r="J8" s="443">
        <f t="shared" si="0"/>
        <v>703796.86</v>
      </c>
      <c r="K8" s="507"/>
      <c r="L8" s="507"/>
      <c r="M8" s="507"/>
      <c r="N8" s="507"/>
      <c r="O8" s="507"/>
      <c r="P8" s="507"/>
      <c r="Q8" s="446">
        <f>SUM(E8:P8)</f>
        <v>3958725.5900000003</v>
      </c>
      <c r="R8" s="447" t="s">
        <v>606</v>
      </c>
    </row>
    <row r="9" spans="1:18">
      <c r="A9" s="445" t="s">
        <v>607</v>
      </c>
      <c r="B9" s="443" t="s">
        <v>605</v>
      </c>
      <c r="C9" s="456" t="s">
        <v>111</v>
      </c>
      <c r="D9" s="456" t="s">
        <v>112</v>
      </c>
      <c r="E9" s="443">
        <f t="shared" ref="E9:P19" si="1">SUMIFS(E$46:E$139,$C$46:$C$139,$C9)</f>
        <v>204324.05</v>
      </c>
      <c r="F9" s="443">
        <f t="shared" si="1"/>
        <v>131895.74</v>
      </c>
      <c r="G9" s="443">
        <f t="shared" si="1"/>
        <v>231847.89</v>
      </c>
      <c r="H9" s="443">
        <f t="shared" si="1"/>
        <v>237394.04</v>
      </c>
      <c r="I9" s="443">
        <f t="shared" si="1"/>
        <v>176749.38</v>
      </c>
      <c r="J9" s="443">
        <f t="shared" si="1"/>
        <v>213741.32</v>
      </c>
      <c r="K9" s="443">
        <f t="shared" si="1"/>
        <v>144080.04</v>
      </c>
      <c r="L9" s="443">
        <f t="shared" si="1"/>
        <v>139877.62</v>
      </c>
      <c r="M9" s="443">
        <f t="shared" si="1"/>
        <v>167516.69</v>
      </c>
      <c r="N9" s="443">
        <f t="shared" si="1"/>
        <v>102989.62</v>
      </c>
      <c r="O9" s="443">
        <f t="shared" si="1"/>
        <v>132529.81</v>
      </c>
      <c r="P9" s="443">
        <f t="shared" si="1"/>
        <v>161450.93</v>
      </c>
      <c r="Q9" s="446">
        <f t="shared" ref="Q9:Q28" si="2">SUM(E9:P9)</f>
        <v>2044397.1300000001</v>
      </c>
      <c r="R9" s="448" t="s">
        <v>606</v>
      </c>
    </row>
    <row r="10" spans="1:18">
      <c r="A10" s="445" t="s">
        <v>607</v>
      </c>
      <c r="B10" s="443" t="s">
        <v>605</v>
      </c>
      <c r="C10" s="456" t="s">
        <v>113</v>
      </c>
      <c r="D10" s="456" t="s">
        <v>114</v>
      </c>
      <c r="E10" s="443">
        <f t="shared" si="1"/>
        <v>94.46</v>
      </c>
      <c r="F10" s="443">
        <f t="shared" si="1"/>
        <v>0</v>
      </c>
      <c r="G10" s="443">
        <f t="shared" si="1"/>
        <v>5344.93</v>
      </c>
      <c r="H10" s="443">
        <f t="shared" si="1"/>
        <v>2543.96</v>
      </c>
      <c r="I10" s="443">
        <f t="shared" si="1"/>
        <v>7860.03</v>
      </c>
      <c r="J10" s="443">
        <f t="shared" si="1"/>
        <v>2404.9899999999998</v>
      </c>
      <c r="K10" s="443">
        <f t="shared" si="1"/>
        <v>5066.97</v>
      </c>
      <c r="L10" s="443">
        <f t="shared" si="1"/>
        <v>4256.5600000000004</v>
      </c>
      <c r="M10" s="443">
        <f t="shared" si="1"/>
        <v>6500.51</v>
      </c>
      <c r="N10" s="443">
        <f t="shared" si="1"/>
        <v>2786.33</v>
      </c>
      <c r="O10" s="443">
        <f t="shared" si="1"/>
        <v>8280.33</v>
      </c>
      <c r="P10" s="443">
        <f t="shared" si="1"/>
        <v>9465.06</v>
      </c>
      <c r="Q10" s="446">
        <f t="shared" si="2"/>
        <v>54604.130000000005</v>
      </c>
      <c r="R10" s="448" t="s">
        <v>606</v>
      </c>
    </row>
    <row r="11" spans="1:18">
      <c r="A11" s="445" t="s">
        <v>607</v>
      </c>
      <c r="B11" s="443" t="s">
        <v>605</v>
      </c>
      <c r="C11" s="456" t="s">
        <v>115</v>
      </c>
      <c r="D11" s="456" t="s">
        <v>116</v>
      </c>
      <c r="E11" s="443">
        <f t="shared" si="1"/>
        <v>1501.94</v>
      </c>
      <c r="F11" s="443">
        <f t="shared" si="1"/>
        <v>0</v>
      </c>
      <c r="G11" s="443">
        <f t="shared" si="1"/>
        <v>580.98</v>
      </c>
      <c r="H11" s="443">
        <f t="shared" si="1"/>
        <v>8002.97</v>
      </c>
      <c r="I11" s="443">
        <f t="shared" si="1"/>
        <v>7554.77</v>
      </c>
      <c r="J11" s="443">
        <f t="shared" si="1"/>
        <v>28440.22</v>
      </c>
      <c r="K11" s="443">
        <f t="shared" si="1"/>
        <v>17111.98</v>
      </c>
      <c r="L11" s="443">
        <f t="shared" si="1"/>
        <v>0.46</v>
      </c>
      <c r="M11" s="443">
        <f t="shared" si="1"/>
        <v>3891.24</v>
      </c>
      <c r="N11" s="443">
        <f t="shared" si="1"/>
        <v>272.02999999999997</v>
      </c>
      <c r="O11" s="443">
        <f t="shared" si="1"/>
        <v>1672.38</v>
      </c>
      <c r="P11" s="443">
        <f t="shared" si="1"/>
        <v>1058.8599999999999</v>
      </c>
      <c r="Q11" s="446">
        <f t="shared" si="2"/>
        <v>70087.83</v>
      </c>
      <c r="R11" s="448" t="s">
        <v>606</v>
      </c>
    </row>
    <row r="12" spans="1:18">
      <c r="A12" s="445" t="s">
        <v>607</v>
      </c>
      <c r="B12" s="443" t="s">
        <v>605</v>
      </c>
      <c r="C12" s="456" t="s">
        <v>117</v>
      </c>
      <c r="D12" s="456" t="s">
        <v>118</v>
      </c>
      <c r="E12" s="443">
        <f t="shared" si="1"/>
        <v>347108.11</v>
      </c>
      <c r="F12" s="443">
        <f t="shared" si="1"/>
        <v>312802.46000000002</v>
      </c>
      <c r="G12" s="443">
        <f t="shared" si="1"/>
        <v>369455.84</v>
      </c>
      <c r="H12" s="443">
        <f t="shared" si="1"/>
        <v>379750.68</v>
      </c>
      <c r="I12" s="443">
        <f t="shared" si="1"/>
        <v>414102.24</v>
      </c>
      <c r="J12" s="443">
        <f t="shared" si="1"/>
        <v>368490.1</v>
      </c>
      <c r="K12" s="443">
        <f t="shared" si="1"/>
        <v>455671.75</v>
      </c>
      <c r="L12" s="443">
        <f t="shared" si="1"/>
        <v>306290.02</v>
      </c>
      <c r="M12" s="443">
        <f t="shared" si="1"/>
        <v>368353.56</v>
      </c>
      <c r="N12" s="443">
        <f t="shared" si="1"/>
        <v>398965.33</v>
      </c>
      <c r="O12" s="443">
        <f t="shared" si="1"/>
        <v>456292.96</v>
      </c>
      <c r="P12" s="443">
        <f t="shared" si="1"/>
        <v>455867.51</v>
      </c>
      <c r="Q12" s="446">
        <f t="shared" si="2"/>
        <v>4633150.5600000005</v>
      </c>
      <c r="R12" s="448" t="s">
        <v>606</v>
      </c>
    </row>
    <row r="13" spans="1:18">
      <c r="A13" s="445" t="s">
        <v>607</v>
      </c>
      <c r="B13" s="443" t="s">
        <v>605</v>
      </c>
      <c r="C13" s="456" t="s">
        <v>119</v>
      </c>
      <c r="D13" s="456" t="s">
        <v>216</v>
      </c>
      <c r="E13" s="443">
        <f t="shared" si="1"/>
        <v>16743.099999999999</v>
      </c>
      <c r="F13" s="443">
        <f t="shared" si="1"/>
        <v>4927.24</v>
      </c>
      <c r="G13" s="443">
        <f t="shared" si="1"/>
        <v>9434.3700000000008</v>
      </c>
      <c r="H13" s="443">
        <f t="shared" si="1"/>
        <v>7908.38</v>
      </c>
      <c r="I13" s="443">
        <f t="shared" si="1"/>
        <v>2911.94</v>
      </c>
      <c r="J13" s="443">
        <f t="shared" si="1"/>
        <v>2229.1</v>
      </c>
      <c r="K13" s="443">
        <f t="shared" si="1"/>
        <v>1836.21</v>
      </c>
      <c r="L13" s="443">
        <f t="shared" si="1"/>
        <v>870.51</v>
      </c>
      <c r="M13" s="443">
        <f t="shared" si="1"/>
        <v>7700.11</v>
      </c>
      <c r="N13" s="443">
        <f t="shared" si="1"/>
        <v>12314.88</v>
      </c>
      <c r="O13" s="443">
        <f t="shared" si="1"/>
        <v>6321.72</v>
      </c>
      <c r="P13" s="443">
        <f t="shared" si="1"/>
        <v>10888.81</v>
      </c>
      <c r="Q13" s="446">
        <f t="shared" si="2"/>
        <v>84086.37</v>
      </c>
      <c r="R13" s="448" t="s">
        <v>606</v>
      </c>
    </row>
    <row r="14" spans="1:18">
      <c r="A14" s="445" t="s">
        <v>607</v>
      </c>
      <c r="B14" s="443" t="s">
        <v>605</v>
      </c>
      <c r="C14" s="456" t="s">
        <v>288</v>
      </c>
      <c r="D14" s="456" t="s">
        <v>289</v>
      </c>
      <c r="E14" s="443">
        <f t="shared" si="1"/>
        <v>390.49</v>
      </c>
      <c r="F14" s="443">
        <f t="shared" si="1"/>
        <v>2630.3</v>
      </c>
      <c r="G14" s="443">
        <f t="shared" si="1"/>
        <v>0</v>
      </c>
      <c r="H14" s="443">
        <f t="shared" si="1"/>
        <v>1126.56</v>
      </c>
      <c r="I14" s="443">
        <f t="shared" si="1"/>
        <v>1128.5</v>
      </c>
      <c r="J14" s="443">
        <f t="shared" si="1"/>
        <v>1264.44</v>
      </c>
      <c r="K14" s="443">
        <f t="shared" si="1"/>
        <v>0</v>
      </c>
      <c r="L14" s="443">
        <f t="shared" si="1"/>
        <v>0</v>
      </c>
      <c r="M14" s="443">
        <f t="shared" si="1"/>
        <v>-825.88</v>
      </c>
      <c r="N14" s="443">
        <f t="shared" si="1"/>
        <v>7241.44</v>
      </c>
      <c r="O14" s="443">
        <f t="shared" si="1"/>
        <v>27723.55</v>
      </c>
      <c r="P14" s="443">
        <f t="shared" si="1"/>
        <v>46070.53</v>
      </c>
      <c r="Q14" s="446">
        <f t="shared" si="2"/>
        <v>86749.93</v>
      </c>
      <c r="R14" s="448" t="s">
        <v>606</v>
      </c>
    </row>
    <row r="15" spans="1:18">
      <c r="A15" s="445" t="s">
        <v>608</v>
      </c>
      <c r="B15" s="443" t="s">
        <v>605</v>
      </c>
      <c r="C15" s="454" t="s">
        <v>127</v>
      </c>
      <c r="D15" s="454" t="s">
        <v>128</v>
      </c>
      <c r="E15" s="558">
        <f>E71</f>
        <v>146242.99</v>
      </c>
      <c r="F15" s="558">
        <f t="shared" ref="F15:P15" si="3">F71</f>
        <v>198503.01</v>
      </c>
      <c r="G15" s="558">
        <f t="shared" si="3"/>
        <v>188874.62</v>
      </c>
      <c r="H15" s="558">
        <f t="shared" si="3"/>
        <v>169209.41</v>
      </c>
      <c r="I15" s="558">
        <f t="shared" si="3"/>
        <v>215211.67</v>
      </c>
      <c r="J15" s="558">
        <f t="shared" si="3"/>
        <v>114737.63</v>
      </c>
      <c r="K15" s="558">
        <f t="shared" si="3"/>
        <v>181480.95999999999</v>
      </c>
      <c r="L15" s="558">
        <f t="shared" si="3"/>
        <v>116711.25</v>
      </c>
      <c r="M15" s="558">
        <f t="shared" si="3"/>
        <v>88111.06</v>
      </c>
      <c r="N15" s="558">
        <f t="shared" si="3"/>
        <v>108111.63</v>
      </c>
      <c r="O15" s="558">
        <f t="shared" si="3"/>
        <v>175215.94</v>
      </c>
      <c r="P15" s="558">
        <f t="shared" si="3"/>
        <v>153322.23999999999</v>
      </c>
      <c r="Q15" s="446">
        <f t="shared" si="2"/>
        <v>1855732.41</v>
      </c>
      <c r="R15" s="448" t="s">
        <v>606</v>
      </c>
    </row>
    <row r="16" spans="1:18">
      <c r="A16" s="445" t="s">
        <v>608</v>
      </c>
      <c r="B16" s="443" t="s">
        <v>605</v>
      </c>
      <c r="C16" s="454" t="s">
        <v>129</v>
      </c>
      <c r="D16" s="454" t="s">
        <v>130</v>
      </c>
      <c r="E16" s="443">
        <f t="shared" si="1"/>
        <v>0</v>
      </c>
      <c r="F16" s="443">
        <f t="shared" si="1"/>
        <v>806.44</v>
      </c>
      <c r="G16" s="443">
        <f t="shared" si="1"/>
        <v>0</v>
      </c>
      <c r="H16" s="443">
        <f t="shared" si="1"/>
        <v>0</v>
      </c>
      <c r="I16" s="443">
        <f t="shared" si="1"/>
        <v>0</v>
      </c>
      <c r="J16" s="443">
        <f t="shared" si="1"/>
        <v>0</v>
      </c>
      <c r="K16" s="443">
        <f t="shared" si="1"/>
        <v>0</v>
      </c>
      <c r="L16" s="443">
        <f t="shared" si="1"/>
        <v>366.31</v>
      </c>
      <c r="M16" s="443">
        <f t="shared" si="1"/>
        <v>0</v>
      </c>
      <c r="N16" s="443">
        <f t="shared" si="1"/>
        <v>478.73</v>
      </c>
      <c r="O16" s="443">
        <f t="shared" si="1"/>
        <v>0</v>
      </c>
      <c r="P16" s="443">
        <f t="shared" si="1"/>
        <v>2205.09</v>
      </c>
      <c r="Q16" s="446">
        <f t="shared" si="2"/>
        <v>3856.57</v>
      </c>
      <c r="R16" s="448" t="s">
        <v>606</v>
      </c>
    </row>
    <row r="17" spans="1:20">
      <c r="A17" s="445" t="s">
        <v>609</v>
      </c>
      <c r="B17" s="443" t="s">
        <v>605</v>
      </c>
      <c r="C17" s="455" t="s">
        <v>310</v>
      </c>
      <c r="D17" s="455" t="s">
        <v>311</v>
      </c>
      <c r="E17" s="443">
        <f t="shared" si="1"/>
        <v>2486898.46</v>
      </c>
      <c r="F17" s="443">
        <f t="shared" si="1"/>
        <v>1333073.3799999999</v>
      </c>
      <c r="G17" s="443">
        <f t="shared" si="1"/>
        <v>2014853.9</v>
      </c>
      <c r="H17" s="443">
        <f t="shared" si="1"/>
        <v>2562410.9500000002</v>
      </c>
      <c r="I17" s="443">
        <f t="shared" si="1"/>
        <v>1155430.01</v>
      </c>
      <c r="J17" s="443">
        <f t="shared" si="1"/>
        <v>1000173.07</v>
      </c>
      <c r="K17" s="507"/>
      <c r="L17" s="507"/>
      <c r="M17" s="507"/>
      <c r="N17" s="507"/>
      <c r="O17" s="507"/>
      <c r="P17" s="507"/>
      <c r="Q17" s="446">
        <f t="shared" si="2"/>
        <v>10552839.770000001</v>
      </c>
      <c r="R17" s="448">
        <v>44500</v>
      </c>
      <c r="T17" s="449"/>
    </row>
    <row r="18" spans="1:20">
      <c r="A18" s="445" t="s">
        <v>609</v>
      </c>
      <c r="B18" s="443" t="s">
        <v>605</v>
      </c>
      <c r="C18" s="455" t="s">
        <v>312</v>
      </c>
      <c r="D18" s="455" t="s">
        <v>313</v>
      </c>
      <c r="E18" s="443">
        <f t="shared" si="1"/>
        <v>937127.61</v>
      </c>
      <c r="F18" s="443">
        <f t="shared" si="1"/>
        <v>230080.95</v>
      </c>
      <c r="G18" s="443">
        <f t="shared" si="1"/>
        <v>159854.42000000001</v>
      </c>
      <c r="H18" s="443">
        <f t="shared" si="1"/>
        <v>385028.72</v>
      </c>
      <c r="I18" s="443">
        <f t="shared" si="1"/>
        <v>340329.5</v>
      </c>
      <c r="J18" s="443">
        <f t="shared" si="1"/>
        <v>759491.72</v>
      </c>
      <c r="K18" s="507"/>
      <c r="L18" s="507"/>
      <c r="M18" s="507"/>
      <c r="N18" s="507"/>
      <c r="O18" s="507"/>
      <c r="P18" s="507"/>
      <c r="Q18" s="446">
        <f t="shared" si="2"/>
        <v>2811912.92</v>
      </c>
      <c r="R18" s="448">
        <v>44135</v>
      </c>
    </row>
    <row r="19" spans="1:20">
      <c r="A19" s="445" t="s">
        <v>609</v>
      </c>
      <c r="B19" s="443" t="s">
        <v>605</v>
      </c>
      <c r="C19" s="455" t="s">
        <v>314</v>
      </c>
      <c r="D19" s="455" t="s">
        <v>315</v>
      </c>
      <c r="E19" s="443">
        <f t="shared" si="1"/>
        <v>629851.85000000009</v>
      </c>
      <c r="F19" s="443">
        <f t="shared" si="1"/>
        <v>1269965.56</v>
      </c>
      <c r="G19" s="443">
        <f t="shared" si="1"/>
        <v>2384786.91</v>
      </c>
      <c r="H19" s="443">
        <f t="shared" si="1"/>
        <v>1252050.5</v>
      </c>
      <c r="I19" s="443">
        <f t="shared" si="1"/>
        <v>3066299.54</v>
      </c>
      <c r="J19" s="443">
        <f t="shared" si="1"/>
        <v>2621881.29</v>
      </c>
      <c r="K19" s="507"/>
      <c r="L19" s="507"/>
      <c r="M19" s="507"/>
      <c r="N19" s="507"/>
      <c r="O19" s="507"/>
      <c r="P19" s="507"/>
      <c r="Q19" s="446">
        <f t="shared" si="2"/>
        <v>11224835.649999999</v>
      </c>
      <c r="R19" s="448">
        <v>44135</v>
      </c>
    </row>
    <row r="20" spans="1:20">
      <c r="A20" s="445" t="s">
        <v>607</v>
      </c>
      <c r="B20" s="443" t="s">
        <v>610</v>
      </c>
      <c r="C20" s="456" t="s">
        <v>113</v>
      </c>
      <c r="D20" s="456" t="s">
        <v>114</v>
      </c>
      <c r="E20" s="443">
        <f t="shared" ref="E20:P26" si="4">SUMIFS(E$149:E$169,$C$149:$C$169,$C20)</f>
        <v>0</v>
      </c>
      <c r="F20" s="443">
        <f t="shared" si="4"/>
        <v>0</v>
      </c>
      <c r="G20" s="443">
        <f t="shared" si="4"/>
        <v>0</v>
      </c>
      <c r="H20" s="443">
        <f t="shared" si="4"/>
        <v>0</v>
      </c>
      <c r="I20" s="443">
        <f t="shared" si="4"/>
        <v>0</v>
      </c>
      <c r="J20" s="443">
        <f t="shared" si="4"/>
        <v>0</v>
      </c>
      <c r="K20" s="443">
        <f t="shared" si="4"/>
        <v>1344.61</v>
      </c>
      <c r="L20" s="443">
        <f t="shared" si="4"/>
        <v>1164.17</v>
      </c>
      <c r="M20" s="443">
        <f t="shared" si="4"/>
        <v>0</v>
      </c>
      <c r="N20" s="443">
        <f t="shared" si="4"/>
        <v>0</v>
      </c>
      <c r="O20" s="443">
        <f t="shared" si="4"/>
        <v>0</v>
      </c>
      <c r="P20" s="443">
        <f t="shared" si="4"/>
        <v>0</v>
      </c>
      <c r="Q20" s="446">
        <f t="shared" si="2"/>
        <v>2508.7799999999997</v>
      </c>
      <c r="R20" s="448" t="s">
        <v>606</v>
      </c>
    </row>
    <row r="21" spans="1:20">
      <c r="A21" s="445" t="s">
        <v>607</v>
      </c>
      <c r="B21" s="443" t="s">
        <v>610</v>
      </c>
      <c r="C21" s="456" t="s">
        <v>115</v>
      </c>
      <c r="D21" s="456" t="s">
        <v>116</v>
      </c>
      <c r="E21" s="443">
        <f t="shared" si="4"/>
        <v>0</v>
      </c>
      <c r="F21" s="443">
        <f t="shared" si="4"/>
        <v>0</v>
      </c>
      <c r="G21" s="443">
        <f t="shared" si="4"/>
        <v>0</v>
      </c>
      <c r="H21" s="443">
        <f t="shared" si="4"/>
        <v>0</v>
      </c>
      <c r="I21" s="443">
        <f t="shared" si="4"/>
        <v>0</v>
      </c>
      <c r="J21" s="443">
        <f t="shared" si="4"/>
        <v>0</v>
      </c>
      <c r="K21" s="443">
        <f t="shared" si="4"/>
        <v>0</v>
      </c>
      <c r="L21" s="443">
        <f t="shared" si="4"/>
        <v>0</v>
      </c>
      <c r="M21" s="443">
        <f t="shared" si="4"/>
        <v>0</v>
      </c>
      <c r="N21" s="443">
        <f t="shared" si="4"/>
        <v>0</v>
      </c>
      <c r="O21" s="443">
        <f t="shared" si="4"/>
        <v>0</v>
      </c>
      <c r="P21" s="443">
        <f t="shared" si="4"/>
        <v>0</v>
      </c>
      <c r="Q21" s="446">
        <f t="shared" si="2"/>
        <v>0</v>
      </c>
      <c r="R21" s="448" t="s">
        <v>606</v>
      </c>
    </row>
    <row r="22" spans="1:20">
      <c r="A22" s="445" t="s">
        <v>607</v>
      </c>
      <c r="B22" s="443" t="s">
        <v>610</v>
      </c>
      <c r="C22" s="456" t="s">
        <v>119</v>
      </c>
      <c r="D22" s="456" t="s">
        <v>216</v>
      </c>
      <c r="E22" s="443">
        <f t="shared" si="4"/>
        <v>0</v>
      </c>
      <c r="F22" s="443">
        <f t="shared" si="4"/>
        <v>0</v>
      </c>
      <c r="G22" s="443">
        <f t="shared" si="4"/>
        <v>0</v>
      </c>
      <c r="H22" s="443">
        <f t="shared" si="4"/>
        <v>0</v>
      </c>
      <c r="I22" s="443">
        <f t="shared" si="4"/>
        <v>0</v>
      </c>
      <c r="J22" s="443">
        <f t="shared" si="4"/>
        <v>0</v>
      </c>
      <c r="K22" s="443">
        <f t="shared" si="4"/>
        <v>0</v>
      </c>
      <c r="L22" s="443">
        <f t="shared" si="4"/>
        <v>0</v>
      </c>
      <c r="M22" s="443">
        <f t="shared" si="4"/>
        <v>1630.37</v>
      </c>
      <c r="N22" s="443">
        <f t="shared" si="4"/>
        <v>0</v>
      </c>
      <c r="O22" s="443">
        <f t="shared" si="4"/>
        <v>0</v>
      </c>
      <c r="P22" s="443">
        <f t="shared" si="4"/>
        <v>0</v>
      </c>
      <c r="Q22" s="446">
        <f t="shared" si="2"/>
        <v>1630.37</v>
      </c>
      <c r="R22" s="448" t="s">
        <v>606</v>
      </c>
    </row>
    <row r="23" spans="1:20">
      <c r="A23" s="445" t="s">
        <v>608</v>
      </c>
      <c r="B23" s="443" t="s">
        <v>610</v>
      </c>
      <c r="C23" s="454" t="s">
        <v>127</v>
      </c>
      <c r="D23" s="454" t="s">
        <v>128</v>
      </c>
      <c r="E23" s="443">
        <f t="shared" si="4"/>
        <v>8201.0499999999993</v>
      </c>
      <c r="F23" s="443">
        <f t="shared" si="4"/>
        <v>37536.910000000003</v>
      </c>
      <c r="G23" s="443">
        <f t="shared" si="4"/>
        <v>16599.73</v>
      </c>
      <c r="H23" s="443">
        <f t="shared" si="4"/>
        <v>29980.080000000002</v>
      </c>
      <c r="I23" s="443">
        <f t="shared" si="4"/>
        <v>37827.15</v>
      </c>
      <c r="J23" s="443">
        <f t="shared" si="4"/>
        <v>44721</v>
      </c>
      <c r="K23" s="443">
        <f t="shared" si="4"/>
        <v>41244.06</v>
      </c>
      <c r="L23" s="443">
        <f t="shared" si="4"/>
        <v>19295.29</v>
      </c>
      <c r="M23" s="443">
        <f t="shared" si="4"/>
        <v>34802.129999999997</v>
      </c>
      <c r="N23" s="443">
        <f t="shared" si="4"/>
        <v>23969.97</v>
      </c>
      <c r="O23" s="443">
        <f t="shared" si="4"/>
        <v>26019.93</v>
      </c>
      <c r="P23" s="443">
        <f t="shared" si="4"/>
        <v>21493.72</v>
      </c>
      <c r="Q23" s="446">
        <f t="shared" si="2"/>
        <v>341691.02</v>
      </c>
      <c r="R23" s="448" t="s">
        <v>606</v>
      </c>
    </row>
    <row r="24" spans="1:20">
      <c r="A24" s="445" t="s">
        <v>609</v>
      </c>
      <c r="B24" s="443" t="s">
        <v>610</v>
      </c>
      <c r="C24" s="455" t="s">
        <v>310</v>
      </c>
      <c r="D24" s="455" t="s">
        <v>311</v>
      </c>
      <c r="E24" s="443">
        <f t="shared" si="4"/>
        <v>86.69</v>
      </c>
      <c r="F24" s="443">
        <f t="shared" si="4"/>
        <v>0</v>
      </c>
      <c r="G24" s="443">
        <f t="shared" si="4"/>
        <v>0</v>
      </c>
      <c r="H24" s="443">
        <f t="shared" si="4"/>
        <v>0</v>
      </c>
      <c r="I24" s="443">
        <f t="shared" si="4"/>
        <v>0</v>
      </c>
      <c r="J24" s="443">
        <f t="shared" si="4"/>
        <v>0</v>
      </c>
      <c r="K24" s="507"/>
      <c r="L24" s="507"/>
      <c r="M24" s="507"/>
      <c r="N24" s="507"/>
      <c r="O24" s="507"/>
      <c r="P24" s="507"/>
      <c r="Q24" s="446">
        <f t="shared" si="2"/>
        <v>86.69</v>
      </c>
      <c r="R24" s="448">
        <v>44500</v>
      </c>
    </row>
    <row r="25" spans="1:20">
      <c r="A25" s="445" t="s">
        <v>609</v>
      </c>
      <c r="B25" s="443" t="s">
        <v>610</v>
      </c>
      <c r="C25" s="455" t="s">
        <v>312</v>
      </c>
      <c r="D25" s="455" t="s">
        <v>313</v>
      </c>
      <c r="E25" s="443">
        <f t="shared" si="4"/>
        <v>0</v>
      </c>
      <c r="F25" s="443">
        <f t="shared" si="4"/>
        <v>0</v>
      </c>
      <c r="G25" s="443">
        <f t="shared" si="4"/>
        <v>0</v>
      </c>
      <c r="H25" s="443">
        <f t="shared" si="4"/>
        <v>0</v>
      </c>
      <c r="I25" s="443">
        <f t="shared" si="4"/>
        <v>0</v>
      </c>
      <c r="J25" s="443">
        <f t="shared" si="4"/>
        <v>0</v>
      </c>
      <c r="K25" s="507"/>
      <c r="L25" s="507"/>
      <c r="M25" s="507"/>
      <c r="N25" s="507"/>
      <c r="O25" s="507"/>
      <c r="P25" s="507"/>
      <c r="Q25" s="446">
        <f t="shared" si="2"/>
        <v>0</v>
      </c>
      <c r="R25" s="448">
        <v>44135</v>
      </c>
    </row>
    <row r="26" spans="1:20">
      <c r="A26" s="445" t="s">
        <v>609</v>
      </c>
      <c r="B26" s="443" t="s">
        <v>610</v>
      </c>
      <c r="C26" s="455" t="s">
        <v>314</v>
      </c>
      <c r="D26" s="455" t="s">
        <v>315</v>
      </c>
      <c r="E26" s="443">
        <f t="shared" si="4"/>
        <v>0</v>
      </c>
      <c r="F26" s="443">
        <f t="shared" si="4"/>
        <v>0</v>
      </c>
      <c r="G26" s="443">
        <f t="shared" si="4"/>
        <v>27248.06</v>
      </c>
      <c r="H26" s="443">
        <f t="shared" si="4"/>
        <v>142808.63</v>
      </c>
      <c r="I26" s="443">
        <f t="shared" si="4"/>
        <v>415206.42</v>
      </c>
      <c r="J26" s="443">
        <f t="shared" si="4"/>
        <v>161468.46</v>
      </c>
      <c r="K26" s="507"/>
      <c r="L26" s="507"/>
      <c r="M26" s="507"/>
      <c r="N26" s="507"/>
      <c r="O26" s="507"/>
      <c r="P26" s="507"/>
      <c r="Q26" s="446">
        <f t="shared" si="2"/>
        <v>746731.57</v>
      </c>
      <c r="R26" s="448">
        <v>44135</v>
      </c>
    </row>
    <row r="27" spans="1:20">
      <c r="A27" s="445" t="s">
        <v>608</v>
      </c>
      <c r="B27" s="443" t="s">
        <v>611</v>
      </c>
      <c r="C27" s="454" t="s">
        <v>129</v>
      </c>
      <c r="D27" s="454" t="s">
        <v>130</v>
      </c>
      <c r="E27" s="443">
        <f t="shared" ref="E27:P28" si="5">SUMIFS(E$149:E$169,$C$149:$C$169,$C27)</f>
        <v>51305.59</v>
      </c>
      <c r="F27" s="443">
        <f t="shared" si="5"/>
        <v>74381.7</v>
      </c>
      <c r="G27" s="443">
        <f t="shared" si="5"/>
        <v>62907.19</v>
      </c>
      <c r="H27" s="443">
        <f t="shared" si="5"/>
        <v>55015.66</v>
      </c>
      <c r="I27" s="443">
        <f t="shared" si="5"/>
        <v>41045.83</v>
      </c>
      <c r="J27" s="443">
        <f t="shared" si="5"/>
        <v>38584.519999999997</v>
      </c>
      <c r="K27" s="443">
        <f t="shared" si="5"/>
        <v>22956.28</v>
      </c>
      <c r="L27" s="443">
        <f t="shared" si="5"/>
        <v>18651.080000000002</v>
      </c>
      <c r="M27" s="443">
        <f t="shared" si="5"/>
        <v>24769.95</v>
      </c>
      <c r="N27" s="443">
        <f t="shared" si="5"/>
        <v>105517.43000000001</v>
      </c>
      <c r="O27" s="443">
        <f t="shared" si="5"/>
        <v>13490.68</v>
      </c>
      <c r="P27" s="443">
        <f t="shared" si="5"/>
        <v>14221.65</v>
      </c>
      <c r="Q27" s="446">
        <f t="shared" si="2"/>
        <v>522847.56000000006</v>
      </c>
      <c r="R27" s="448" t="s">
        <v>606</v>
      </c>
    </row>
    <row r="28" spans="1:20" ht="45">
      <c r="A28" s="445" t="s">
        <v>604</v>
      </c>
      <c r="B28" s="443" t="s">
        <v>610</v>
      </c>
      <c r="C28" s="456">
        <v>414000002</v>
      </c>
      <c r="D28" s="456" t="s">
        <v>632</v>
      </c>
      <c r="E28" s="443">
        <f t="shared" si="5"/>
        <v>371519.62</v>
      </c>
      <c r="F28" s="443">
        <f t="shared" si="5"/>
        <v>213477.75</v>
      </c>
      <c r="G28" s="443">
        <f t="shared" si="5"/>
        <v>369156.64</v>
      </c>
      <c r="H28" s="443">
        <f t="shared" si="5"/>
        <v>243144.77</v>
      </c>
      <c r="I28" s="443">
        <f t="shared" si="5"/>
        <v>172816.67</v>
      </c>
      <c r="J28" s="443">
        <f t="shared" si="5"/>
        <v>195975.6</v>
      </c>
      <c r="K28" s="507"/>
      <c r="L28" s="507"/>
      <c r="M28" s="507"/>
      <c r="N28" s="507"/>
      <c r="O28" s="507"/>
      <c r="P28" s="507"/>
      <c r="Q28" s="446">
        <f t="shared" si="2"/>
        <v>1566091.05</v>
      </c>
      <c r="R28" s="447" t="s">
        <v>606</v>
      </c>
    </row>
    <row r="29" spans="1:20">
      <c r="A29" s="445" t="s">
        <v>608</v>
      </c>
      <c r="B29" s="443" t="s">
        <v>605</v>
      </c>
      <c r="C29" s="454" t="s">
        <v>127</v>
      </c>
      <c r="D29" s="454" t="s">
        <v>128</v>
      </c>
      <c r="E29" s="557">
        <f>E49</f>
        <v>252.79</v>
      </c>
      <c r="F29" s="557">
        <f t="shared" ref="F29:J29" si="6">F49</f>
        <v>255.39</v>
      </c>
      <c r="G29" s="557">
        <f t="shared" si="6"/>
        <v>352.23</v>
      </c>
      <c r="H29" s="557">
        <f t="shared" si="6"/>
        <v>290.2</v>
      </c>
      <c r="I29" s="557">
        <f t="shared" si="6"/>
        <v>301.13</v>
      </c>
      <c r="J29" s="557">
        <f t="shared" si="6"/>
        <v>222.16</v>
      </c>
      <c r="K29" s="507"/>
      <c r="L29" s="507"/>
      <c r="M29" s="507"/>
      <c r="N29" s="507"/>
      <c r="O29" s="507"/>
      <c r="P29" s="507"/>
      <c r="Q29" s="446">
        <f>SUM(E29:P29)</f>
        <v>1673.8999999999999</v>
      </c>
      <c r="R29" s="448" t="s">
        <v>606</v>
      </c>
    </row>
    <row r="30" spans="1:20">
      <c r="B30" s="450" t="s">
        <v>612</v>
      </c>
      <c r="C30" s="450"/>
      <c r="D30" s="450"/>
      <c r="E30" s="451">
        <f t="shared" ref="E30:Q30" si="7">SUM(E8:E19,E29)</f>
        <v>5433132.54</v>
      </c>
      <c r="F30" s="451">
        <f t="shared" si="7"/>
        <v>3913133.3600000003</v>
      </c>
      <c r="G30" s="451">
        <f t="shared" si="7"/>
        <v>6250157.870000001</v>
      </c>
      <c r="H30" s="451">
        <f t="shared" si="7"/>
        <v>5654157.25</v>
      </c>
      <c r="I30" s="451">
        <f t="shared" si="7"/>
        <v>6018805.2000000002</v>
      </c>
      <c r="J30" s="451">
        <f t="shared" si="7"/>
        <v>5816872.8999999994</v>
      </c>
      <c r="K30" s="451">
        <f t="shared" si="7"/>
        <v>805247.90999999992</v>
      </c>
      <c r="L30" s="451">
        <f t="shared" si="7"/>
        <v>568372.7300000001</v>
      </c>
      <c r="M30" s="451">
        <f t="shared" si="7"/>
        <v>641247.29</v>
      </c>
      <c r="N30" s="451">
        <f t="shared" si="7"/>
        <v>633159.99</v>
      </c>
      <c r="O30" s="451">
        <f t="shared" si="7"/>
        <v>808036.69</v>
      </c>
      <c r="P30" s="451">
        <f t="shared" si="7"/>
        <v>840329.03</v>
      </c>
      <c r="Q30" s="451">
        <f t="shared" si="7"/>
        <v>37382652.759999998</v>
      </c>
    </row>
    <row r="31" spans="1:20">
      <c r="B31" s="450" t="s">
        <v>613</v>
      </c>
      <c r="C31" s="450"/>
      <c r="D31" s="450"/>
      <c r="E31" s="451">
        <f t="shared" ref="E31:Q31" si="8">SUM(E20:E28)</f>
        <v>431112.95</v>
      </c>
      <c r="F31" s="451">
        <f t="shared" si="8"/>
        <v>325396.36</v>
      </c>
      <c r="G31" s="451">
        <f t="shared" si="8"/>
        <v>475911.62</v>
      </c>
      <c r="H31" s="451">
        <f t="shared" si="8"/>
        <v>470949.14</v>
      </c>
      <c r="I31" s="451">
        <f t="shared" si="8"/>
        <v>666896.07000000007</v>
      </c>
      <c r="J31" s="451">
        <f t="shared" si="8"/>
        <v>440749.57999999996</v>
      </c>
      <c r="K31" s="451">
        <f t="shared" si="8"/>
        <v>65544.95</v>
      </c>
      <c r="L31" s="451">
        <f t="shared" si="8"/>
        <v>39110.54</v>
      </c>
      <c r="M31" s="451">
        <f t="shared" si="8"/>
        <v>61202.45</v>
      </c>
      <c r="N31" s="451">
        <f t="shared" si="8"/>
        <v>129487.40000000001</v>
      </c>
      <c r="O31" s="451">
        <f t="shared" si="8"/>
        <v>39510.61</v>
      </c>
      <c r="P31" s="451">
        <f t="shared" si="8"/>
        <v>35715.370000000003</v>
      </c>
      <c r="Q31" s="451">
        <f t="shared" si="8"/>
        <v>3181587.04</v>
      </c>
    </row>
    <row r="32" spans="1:20" ht="15.75" thickBot="1">
      <c r="B32" s="452" t="s">
        <v>614</v>
      </c>
      <c r="C32" s="452"/>
      <c r="D32" s="452"/>
      <c r="E32" s="453">
        <f>SUM(E30:E31)</f>
        <v>5864245.4900000002</v>
      </c>
      <c r="F32" s="453">
        <f t="shared" ref="F32:Q32" si="9">SUM(F30:F31)</f>
        <v>4238529.7200000007</v>
      </c>
      <c r="G32" s="453">
        <f t="shared" si="9"/>
        <v>6726069.4900000012</v>
      </c>
      <c r="H32" s="453">
        <f t="shared" si="9"/>
        <v>6125106.3899999997</v>
      </c>
      <c r="I32" s="453">
        <f t="shared" si="9"/>
        <v>6685701.2700000005</v>
      </c>
      <c r="J32" s="453">
        <f t="shared" si="9"/>
        <v>6257622.4799999995</v>
      </c>
      <c r="K32" s="453">
        <f t="shared" si="9"/>
        <v>870792.85999999987</v>
      </c>
      <c r="L32" s="453">
        <f t="shared" si="9"/>
        <v>607483.27000000014</v>
      </c>
      <c r="M32" s="453">
        <f t="shared" si="9"/>
        <v>702449.74</v>
      </c>
      <c r="N32" s="453">
        <f t="shared" si="9"/>
        <v>762647.39</v>
      </c>
      <c r="O32" s="453">
        <f t="shared" si="9"/>
        <v>847547.29999999993</v>
      </c>
      <c r="P32" s="453">
        <f t="shared" si="9"/>
        <v>876044.4</v>
      </c>
      <c r="Q32" s="453">
        <f t="shared" si="9"/>
        <v>40564239.799999997</v>
      </c>
    </row>
    <row r="33" spans="2:23" ht="15.75" thickTop="1">
      <c r="B33" s="447"/>
      <c r="C33" s="447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</row>
    <row r="34" spans="2:23">
      <c r="D34" s="447"/>
      <c r="E34" s="446"/>
      <c r="F34" s="446"/>
      <c r="G34" s="446"/>
      <c r="H34" s="446"/>
      <c r="I34" s="446"/>
      <c r="J34" s="446"/>
      <c r="K34" s="446"/>
      <c r="L34" s="446"/>
      <c r="M34" s="446"/>
      <c r="N34" s="634"/>
      <c r="O34" s="634"/>
      <c r="P34" s="635"/>
      <c r="Q34" s="634"/>
      <c r="R34" s="634"/>
    </row>
    <row r="35" spans="2:23">
      <c r="D35" s="447"/>
      <c r="E35" s="446"/>
      <c r="F35" s="446"/>
      <c r="G35" s="446"/>
      <c r="H35" s="446"/>
      <c r="I35" s="446"/>
      <c r="J35" s="446"/>
      <c r="K35" s="446"/>
      <c r="L35" s="446"/>
      <c r="M35" s="446"/>
      <c r="N35" s="634"/>
      <c r="O35" s="634"/>
      <c r="P35" s="635"/>
      <c r="Q35" s="634"/>
      <c r="R35" s="634"/>
    </row>
    <row r="36" spans="2:23">
      <c r="D36" s="447"/>
      <c r="E36" s="446"/>
      <c r="F36" s="446"/>
      <c r="G36" s="446"/>
      <c r="H36" s="446"/>
      <c r="I36" s="446"/>
      <c r="J36" s="446"/>
      <c r="K36" s="446"/>
      <c r="L36" s="446"/>
      <c r="M36" s="446"/>
      <c r="N36" s="634"/>
      <c r="O36" s="634"/>
      <c r="P36" s="635"/>
      <c r="Q36" s="634"/>
      <c r="R36" s="634"/>
    </row>
    <row r="37" spans="2:23">
      <c r="C37" s="637"/>
      <c r="D37" s="638"/>
      <c r="E37" s="639"/>
      <c r="F37" s="639"/>
      <c r="G37" s="639"/>
      <c r="H37" s="639"/>
      <c r="I37" s="639"/>
      <c r="J37" s="639"/>
      <c r="K37" s="639"/>
      <c r="L37" s="639"/>
      <c r="M37" s="639"/>
      <c r="N37" s="640"/>
      <c r="O37" s="640"/>
      <c r="P37" s="641"/>
      <c r="Q37" s="640"/>
      <c r="R37" s="640"/>
      <c r="S37" s="637"/>
      <c r="T37" s="637"/>
      <c r="U37" s="637"/>
      <c r="V37" s="637"/>
    </row>
    <row r="38" spans="2:23">
      <c r="C38" s="637"/>
      <c r="D38" s="638"/>
      <c r="E38" s="639"/>
      <c r="F38" s="639"/>
      <c r="G38" s="639"/>
      <c r="H38" s="639"/>
      <c r="I38" s="639"/>
      <c r="J38" s="639"/>
      <c r="K38" s="639"/>
      <c r="L38" s="639"/>
      <c r="M38" s="639"/>
      <c r="N38" s="639"/>
      <c r="O38" s="639"/>
      <c r="P38" s="637"/>
      <c r="Q38" s="637"/>
      <c r="R38" s="637"/>
      <c r="S38" s="637"/>
      <c r="T38" s="637"/>
      <c r="U38" s="637"/>
      <c r="V38" s="637"/>
    </row>
    <row r="39" spans="2:23" ht="15.75">
      <c r="C39" s="642" t="s">
        <v>724</v>
      </c>
      <c r="D39" s="642"/>
      <c r="E39" s="642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2"/>
      <c r="Q39" s="642"/>
      <c r="R39" s="643"/>
      <c r="S39" s="641"/>
      <c r="T39" s="641"/>
      <c r="U39" s="641"/>
      <c r="V39" s="641"/>
      <c r="W39" s="636"/>
    </row>
    <row r="40" spans="2:23" ht="15.75">
      <c r="C40" s="642" t="s">
        <v>725</v>
      </c>
      <c r="D40" s="642"/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 t="s">
        <v>638</v>
      </c>
      <c r="R40" s="644">
        <f>Q32-SUM(Q46:Q50,Q56:Q73,Q85:Q87,Q93:Q95,Q108:Q125,Q134:Q139,Q149:Q161,Q167:Q169)</f>
        <v>0</v>
      </c>
      <c r="S40" s="641"/>
      <c r="T40" s="641"/>
      <c r="U40" s="641"/>
      <c r="V40" s="641"/>
      <c r="W40" s="636"/>
    </row>
    <row r="41" spans="2:23"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372"/>
      <c r="R41" s="372"/>
      <c r="S41" s="641"/>
      <c r="T41" s="641"/>
      <c r="U41" s="641"/>
      <c r="V41" s="641"/>
      <c r="W41" s="636"/>
    </row>
    <row r="42" spans="2:23">
      <c r="C42" s="372"/>
      <c r="D42" s="372"/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O42" s="372"/>
      <c r="P42" s="372"/>
      <c r="Q42" s="372"/>
      <c r="R42" s="372"/>
      <c r="S42" s="641"/>
      <c r="T42" s="641"/>
      <c r="U42" s="641"/>
      <c r="V42" s="641"/>
      <c r="W42" s="636"/>
    </row>
    <row r="43" spans="2:23" ht="15.75">
      <c r="C43" s="645" t="s">
        <v>726</v>
      </c>
      <c r="D43" s="537"/>
      <c r="E43" s="538"/>
      <c r="F43" s="538"/>
      <c r="G43" s="538"/>
      <c r="H43" s="538"/>
      <c r="I43" s="538"/>
      <c r="J43" s="538"/>
      <c r="K43" s="538"/>
      <c r="L43" s="537"/>
      <c r="M43" s="537"/>
      <c r="N43" s="539"/>
      <c r="O43" s="540"/>
      <c r="P43" s="539"/>
      <c r="Q43" s="541"/>
      <c r="R43" s="372"/>
      <c r="S43" s="641"/>
      <c r="T43" s="641" t="s">
        <v>736</v>
      </c>
      <c r="U43" s="641" t="s">
        <v>738</v>
      </c>
      <c r="V43" s="641" t="s">
        <v>737</v>
      </c>
      <c r="W43" s="641" t="s">
        <v>738</v>
      </c>
    </row>
    <row r="44" spans="2:23" ht="23.25">
      <c r="C44" s="372"/>
      <c r="D44" s="646">
        <v>237620</v>
      </c>
      <c r="E44" s="646"/>
      <c r="F44" s="646"/>
      <c r="G44" s="646"/>
      <c r="H44" s="646"/>
      <c r="I44" s="646"/>
      <c r="J44" s="646"/>
      <c r="K44" s="646"/>
      <c r="L44" s="646"/>
      <c r="M44" s="646"/>
      <c r="N44" s="646"/>
      <c r="O44" s="646"/>
      <c r="P44" s="646"/>
      <c r="Q44" s="646"/>
      <c r="R44" s="372"/>
      <c r="S44" s="641"/>
      <c r="T44" s="641" t="s">
        <v>120</v>
      </c>
      <c r="U44" s="641" t="e">
        <f>MATCH(T44,$C$8:$C$29,0)</f>
        <v>#N/A</v>
      </c>
      <c r="V44" s="641">
        <v>414000001</v>
      </c>
      <c r="W44" s="641" t="e">
        <f>MATCH(V44,$C$8:$C$29,0)</f>
        <v>#N/A</v>
      </c>
    </row>
    <row r="45" spans="2:23" ht="15.75">
      <c r="C45" s="647" t="s">
        <v>106</v>
      </c>
      <c r="D45" s="648" t="s">
        <v>727</v>
      </c>
      <c r="E45" s="649">
        <v>44197</v>
      </c>
      <c r="F45" s="649">
        <v>44228</v>
      </c>
      <c r="G45" s="649">
        <v>44256</v>
      </c>
      <c r="H45" s="649">
        <v>44287</v>
      </c>
      <c r="I45" s="649">
        <v>44317</v>
      </c>
      <c r="J45" s="649">
        <v>44348</v>
      </c>
      <c r="K45" s="649">
        <v>44378</v>
      </c>
      <c r="L45" s="649">
        <v>44409</v>
      </c>
      <c r="M45" s="649">
        <v>44440</v>
      </c>
      <c r="N45" s="649">
        <v>44470</v>
      </c>
      <c r="O45" s="649">
        <v>44501</v>
      </c>
      <c r="P45" s="649">
        <v>44531</v>
      </c>
      <c r="Q45" s="650" t="s">
        <v>728</v>
      </c>
      <c r="R45" s="643"/>
      <c r="S45" s="641"/>
      <c r="T45" s="641" t="s">
        <v>123</v>
      </c>
      <c r="U45" s="641" t="e">
        <f t="shared" ref="U45:U67" si="10">MATCH(T45,$C$8:$C$29,0)</f>
        <v>#N/A</v>
      </c>
      <c r="V45" s="641">
        <v>414000002</v>
      </c>
      <c r="W45" s="641">
        <f t="shared" ref="W45:W59" si="11">MATCH(V45,$C$8:$C$29,0)</f>
        <v>1</v>
      </c>
    </row>
    <row r="46" spans="2:23" ht="15.75">
      <c r="C46" s="651" t="s">
        <v>120</v>
      </c>
      <c r="D46" s="543">
        <v>5015934.0099999979</v>
      </c>
      <c r="E46" s="543">
        <v>0</v>
      </c>
      <c r="F46" s="543">
        <v>0</v>
      </c>
      <c r="G46" s="543">
        <v>0</v>
      </c>
      <c r="H46" s="543">
        <v>0</v>
      </c>
      <c r="I46" s="543">
        <v>0</v>
      </c>
      <c r="J46" s="543">
        <v>0</v>
      </c>
      <c r="K46" s="543">
        <v>0</v>
      </c>
      <c r="L46" s="543"/>
      <c r="M46" s="543"/>
      <c r="N46" s="543"/>
      <c r="O46" s="543"/>
      <c r="P46" s="543"/>
      <c r="Q46" s="652">
        <f>SUM(E46:P46)</f>
        <v>0</v>
      </c>
      <c r="R46" s="372"/>
      <c r="S46" s="641"/>
      <c r="T46" s="641" t="s">
        <v>125</v>
      </c>
      <c r="U46" s="641" t="e">
        <f t="shared" si="10"/>
        <v>#N/A</v>
      </c>
      <c r="V46" s="641" t="s">
        <v>113</v>
      </c>
      <c r="W46" s="641">
        <f t="shared" si="11"/>
        <v>3</v>
      </c>
    </row>
    <row r="47" spans="2:23" ht="15.75">
      <c r="C47" s="651" t="s">
        <v>123</v>
      </c>
      <c r="D47" s="543">
        <v>1300314.7599999998</v>
      </c>
      <c r="E47" s="543">
        <v>0</v>
      </c>
      <c r="F47" s="543">
        <v>0</v>
      </c>
      <c r="G47" s="543">
        <v>0</v>
      </c>
      <c r="H47" s="543">
        <v>0</v>
      </c>
      <c r="I47" s="543">
        <v>0</v>
      </c>
      <c r="J47" s="543">
        <v>0</v>
      </c>
      <c r="K47" s="543">
        <v>0</v>
      </c>
      <c r="L47" s="543"/>
      <c r="M47" s="543"/>
      <c r="N47" s="543"/>
      <c r="O47" s="543"/>
      <c r="P47" s="543"/>
      <c r="Q47" s="652">
        <f t="shared" ref="Q47:Q50" si="12">SUM(E47:P47)</f>
        <v>0</v>
      </c>
      <c r="R47" s="372"/>
      <c r="S47" s="641"/>
      <c r="T47" s="641" t="s">
        <v>127</v>
      </c>
      <c r="U47" s="641">
        <f t="shared" si="10"/>
        <v>8</v>
      </c>
      <c r="V47" s="641" t="s">
        <v>115</v>
      </c>
      <c r="W47" s="641">
        <f t="shared" si="11"/>
        <v>4</v>
      </c>
    </row>
    <row r="48" spans="2:23" ht="15.75">
      <c r="C48" s="651" t="s">
        <v>125</v>
      </c>
      <c r="D48" s="543">
        <v>973573.12</v>
      </c>
      <c r="E48" s="543">
        <v>0</v>
      </c>
      <c r="F48" s="543">
        <v>0</v>
      </c>
      <c r="G48" s="543">
        <v>0</v>
      </c>
      <c r="H48" s="543">
        <v>0</v>
      </c>
      <c r="I48" s="543">
        <v>0</v>
      </c>
      <c r="J48" s="543">
        <v>0</v>
      </c>
      <c r="K48" s="543">
        <v>0</v>
      </c>
      <c r="L48" s="543"/>
      <c r="M48" s="543"/>
      <c r="N48" s="543"/>
      <c r="O48" s="543"/>
      <c r="P48" s="543"/>
      <c r="Q48" s="652">
        <f t="shared" si="12"/>
        <v>0</v>
      </c>
      <c r="R48" s="372"/>
      <c r="S48" s="641"/>
      <c r="T48" s="641" t="s">
        <v>189</v>
      </c>
      <c r="U48" s="641" t="e">
        <f t="shared" si="10"/>
        <v>#N/A</v>
      </c>
      <c r="V48" s="641" t="s">
        <v>119</v>
      </c>
      <c r="W48" s="641">
        <f t="shared" si="11"/>
        <v>6</v>
      </c>
    </row>
    <row r="49" spans="3:23" ht="15.75">
      <c r="C49" s="651" t="s">
        <v>127</v>
      </c>
      <c r="D49" s="543">
        <v>95.239999999899737</v>
      </c>
      <c r="E49" s="543">
        <v>252.79</v>
      </c>
      <c r="F49" s="543">
        <v>255.39</v>
      </c>
      <c r="G49" s="543">
        <v>352.23</v>
      </c>
      <c r="H49" s="543">
        <v>290.2</v>
      </c>
      <c r="I49" s="543">
        <v>301.13</v>
      </c>
      <c r="J49" s="543">
        <v>222.16</v>
      </c>
      <c r="K49" s="543">
        <v>0</v>
      </c>
      <c r="L49" s="543"/>
      <c r="M49" s="543"/>
      <c r="N49" s="543"/>
      <c r="O49" s="543"/>
      <c r="P49" s="543"/>
      <c r="Q49" s="652">
        <f t="shared" si="12"/>
        <v>1673.8999999999999</v>
      </c>
      <c r="R49" s="372"/>
      <c r="S49" s="641"/>
      <c r="T49" s="641">
        <v>414000001</v>
      </c>
      <c r="U49" s="641" t="e">
        <f t="shared" si="10"/>
        <v>#N/A</v>
      </c>
      <c r="V49" s="641" t="s">
        <v>220</v>
      </c>
      <c r="W49" s="641" t="e">
        <f t="shared" si="11"/>
        <v>#N/A</v>
      </c>
    </row>
    <row r="50" spans="3:23" ht="15.75">
      <c r="C50" s="651" t="s">
        <v>189</v>
      </c>
      <c r="D50" s="543">
        <v>154624.56000000003</v>
      </c>
      <c r="E50" s="543">
        <v>0</v>
      </c>
      <c r="F50" s="543">
        <v>0</v>
      </c>
      <c r="G50" s="543">
        <v>0</v>
      </c>
      <c r="H50" s="543">
        <v>0</v>
      </c>
      <c r="I50" s="543">
        <v>0</v>
      </c>
      <c r="J50" s="543">
        <v>0</v>
      </c>
      <c r="K50" s="543">
        <v>0</v>
      </c>
      <c r="L50" s="543"/>
      <c r="M50" s="543"/>
      <c r="N50" s="543"/>
      <c r="O50" s="543"/>
      <c r="P50" s="543"/>
      <c r="Q50" s="652">
        <f t="shared" si="12"/>
        <v>0</v>
      </c>
      <c r="R50" s="372"/>
      <c r="S50" s="641"/>
      <c r="T50" s="641">
        <v>414000002</v>
      </c>
      <c r="U50" s="641">
        <f t="shared" si="10"/>
        <v>1</v>
      </c>
      <c r="V50" s="641" t="s">
        <v>120</v>
      </c>
      <c r="W50" s="641" t="e">
        <f t="shared" si="11"/>
        <v>#N/A</v>
      </c>
    </row>
    <row r="51" spans="3:23" ht="15.75">
      <c r="C51" s="372"/>
      <c r="D51" s="542">
        <f>SUM(D46:D50)</f>
        <v>7444541.6899999976</v>
      </c>
      <c r="E51" s="542">
        <f t="shared" ref="E51:Q51" si="13">SUM(E46:E50)</f>
        <v>252.79</v>
      </c>
      <c r="F51" s="542">
        <f t="shared" si="13"/>
        <v>255.39</v>
      </c>
      <c r="G51" s="542">
        <f t="shared" si="13"/>
        <v>352.23</v>
      </c>
      <c r="H51" s="542">
        <f t="shared" si="13"/>
        <v>290.2</v>
      </c>
      <c r="I51" s="542">
        <f t="shared" si="13"/>
        <v>301.13</v>
      </c>
      <c r="J51" s="542">
        <f t="shared" si="13"/>
        <v>222.16</v>
      </c>
      <c r="K51" s="542">
        <f t="shared" si="13"/>
        <v>0</v>
      </c>
      <c r="L51" s="542">
        <f t="shared" si="13"/>
        <v>0</v>
      </c>
      <c r="M51" s="542">
        <f t="shared" si="13"/>
        <v>0</v>
      </c>
      <c r="N51" s="542">
        <f t="shared" si="13"/>
        <v>0</v>
      </c>
      <c r="O51" s="542">
        <f t="shared" si="13"/>
        <v>0</v>
      </c>
      <c r="P51" s="542">
        <f t="shared" si="13"/>
        <v>0</v>
      </c>
      <c r="Q51" s="542">
        <f t="shared" si="13"/>
        <v>1673.8999999999999</v>
      </c>
      <c r="R51" s="372"/>
      <c r="S51" s="641"/>
      <c r="T51" s="641" t="s">
        <v>111</v>
      </c>
      <c r="U51" s="641">
        <f t="shared" si="10"/>
        <v>2</v>
      </c>
      <c r="V51" s="641" t="s">
        <v>123</v>
      </c>
      <c r="W51" s="641" t="e">
        <f t="shared" si="11"/>
        <v>#N/A</v>
      </c>
    </row>
    <row r="52" spans="3:23"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  <c r="Q52" s="372"/>
      <c r="R52" s="372"/>
      <c r="S52" s="641"/>
      <c r="T52" s="641" t="s">
        <v>113</v>
      </c>
      <c r="U52" s="641">
        <f t="shared" si="10"/>
        <v>3</v>
      </c>
      <c r="V52" s="641" t="s">
        <v>125</v>
      </c>
      <c r="W52" s="641" t="e">
        <f t="shared" si="11"/>
        <v>#N/A</v>
      </c>
    </row>
    <row r="53" spans="3:23"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O53" s="372"/>
      <c r="P53" s="372"/>
      <c r="Q53" s="372"/>
      <c r="R53" s="372"/>
      <c r="S53" s="641"/>
      <c r="T53" s="641" t="s">
        <v>115</v>
      </c>
      <c r="U53" s="641">
        <f t="shared" si="10"/>
        <v>4</v>
      </c>
      <c r="V53" s="641" t="s">
        <v>127</v>
      </c>
      <c r="W53" s="641">
        <f t="shared" si="11"/>
        <v>8</v>
      </c>
    </row>
    <row r="54" spans="3:23" ht="23.25">
      <c r="C54" s="372"/>
      <c r="D54" s="646">
        <v>238020</v>
      </c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372"/>
      <c r="S54" s="641"/>
      <c r="T54" s="641" t="s">
        <v>220</v>
      </c>
      <c r="U54" s="641" t="e">
        <f t="shared" si="10"/>
        <v>#N/A</v>
      </c>
      <c r="V54" s="641" t="s">
        <v>129</v>
      </c>
      <c r="W54" s="641">
        <f t="shared" si="11"/>
        <v>9</v>
      </c>
    </row>
    <row r="55" spans="3:23" ht="15.75">
      <c r="C55" s="647" t="s">
        <v>106</v>
      </c>
      <c r="D55" s="648" t="s">
        <v>727</v>
      </c>
      <c r="E55" s="649">
        <v>44197</v>
      </c>
      <c r="F55" s="649">
        <v>44228</v>
      </c>
      <c r="G55" s="649">
        <v>44256</v>
      </c>
      <c r="H55" s="649">
        <v>44287</v>
      </c>
      <c r="I55" s="649">
        <v>44317</v>
      </c>
      <c r="J55" s="649">
        <v>44348</v>
      </c>
      <c r="K55" s="649">
        <v>44378</v>
      </c>
      <c r="L55" s="649">
        <v>44409</v>
      </c>
      <c r="M55" s="649">
        <v>44440</v>
      </c>
      <c r="N55" s="649">
        <v>44470</v>
      </c>
      <c r="O55" s="649">
        <v>44501</v>
      </c>
      <c r="P55" s="649">
        <v>44531</v>
      </c>
      <c r="Q55" s="650" t="s">
        <v>728</v>
      </c>
      <c r="R55" s="643"/>
      <c r="S55" s="641"/>
      <c r="T55" s="641" t="s">
        <v>117</v>
      </c>
      <c r="U55" s="641">
        <f t="shared" si="10"/>
        <v>5</v>
      </c>
      <c r="V55" s="641" t="s">
        <v>342</v>
      </c>
      <c r="W55" s="641" t="e">
        <f t="shared" si="11"/>
        <v>#N/A</v>
      </c>
    </row>
    <row r="56" spans="3:23" ht="15.75">
      <c r="C56" s="651">
        <v>414000001</v>
      </c>
      <c r="D56" s="543">
        <v>9168768.2200000007</v>
      </c>
      <c r="E56" s="543">
        <v>0</v>
      </c>
      <c r="F56" s="543">
        <v>0</v>
      </c>
      <c r="G56" s="543">
        <v>0</v>
      </c>
      <c r="H56" s="543">
        <v>0</v>
      </c>
      <c r="I56" s="543">
        <v>0</v>
      </c>
      <c r="J56" s="543">
        <v>0</v>
      </c>
      <c r="K56" s="543">
        <v>0</v>
      </c>
      <c r="L56" s="543"/>
      <c r="M56" s="543"/>
      <c r="N56" s="543"/>
      <c r="O56" s="543"/>
      <c r="P56" s="543"/>
      <c r="Q56" s="652">
        <f>SUM(E56:P56)</f>
        <v>0</v>
      </c>
      <c r="R56" s="372"/>
      <c r="S56" s="641"/>
      <c r="T56" s="641" t="s">
        <v>119</v>
      </c>
      <c r="U56" s="641">
        <f t="shared" si="10"/>
        <v>6</v>
      </c>
      <c r="V56" s="641" t="s">
        <v>189</v>
      </c>
      <c r="W56" s="641" t="e">
        <f t="shared" si="11"/>
        <v>#N/A</v>
      </c>
    </row>
    <row r="57" spans="3:23" ht="15.75">
      <c r="C57" s="651">
        <v>414000002</v>
      </c>
      <c r="D57" s="543">
        <v>7332782.71</v>
      </c>
      <c r="E57" s="543">
        <v>662596.68999999994</v>
      </c>
      <c r="F57" s="543">
        <v>428192.89</v>
      </c>
      <c r="G57" s="543">
        <v>884771.78</v>
      </c>
      <c r="H57" s="543">
        <v>648440.88</v>
      </c>
      <c r="I57" s="543">
        <v>630926.49</v>
      </c>
      <c r="J57" s="543">
        <v>703796.86</v>
      </c>
      <c r="K57" s="543">
        <v>0</v>
      </c>
      <c r="L57" s="543"/>
      <c r="M57" s="543"/>
      <c r="N57" s="543"/>
      <c r="O57" s="543"/>
      <c r="P57" s="543"/>
      <c r="Q57" s="652">
        <f t="shared" ref="Q57:Q73" si="14">SUM(E57:P57)</f>
        <v>3958725.5900000003</v>
      </c>
      <c r="R57" s="372"/>
      <c r="S57" s="641"/>
      <c r="T57" s="641" t="s">
        <v>288</v>
      </c>
      <c r="U57" s="641">
        <f t="shared" si="10"/>
        <v>7</v>
      </c>
      <c r="V57" s="641" t="s">
        <v>310</v>
      </c>
      <c r="W57" s="641">
        <f t="shared" si="11"/>
        <v>10</v>
      </c>
    </row>
    <row r="58" spans="3:23" ht="15.75">
      <c r="C58" s="651" t="s">
        <v>111</v>
      </c>
      <c r="D58" s="543">
        <v>8260326.7899999991</v>
      </c>
      <c r="E58" s="543">
        <v>204324.05</v>
      </c>
      <c r="F58" s="543">
        <v>131895.74</v>
      </c>
      <c r="G58" s="543">
        <v>231847.89</v>
      </c>
      <c r="H58" s="543">
        <v>237394.04</v>
      </c>
      <c r="I58" s="543">
        <v>176749.38</v>
      </c>
      <c r="J58" s="543">
        <v>213741.32</v>
      </c>
      <c r="K58" s="543">
        <v>144080.04</v>
      </c>
      <c r="L58" s="543">
        <v>139877.62</v>
      </c>
      <c r="M58" s="543">
        <v>167516.69</v>
      </c>
      <c r="N58" s="543">
        <v>102989.62</v>
      </c>
      <c r="O58" s="543">
        <v>132529.81</v>
      </c>
      <c r="P58" s="543">
        <v>161450.93</v>
      </c>
      <c r="Q58" s="652">
        <f t="shared" si="14"/>
        <v>2044397.1300000001</v>
      </c>
      <c r="R58" s="372"/>
      <c r="S58" s="641"/>
      <c r="T58" s="641" t="s">
        <v>122</v>
      </c>
      <c r="U58" s="641" t="e">
        <f t="shared" si="10"/>
        <v>#N/A</v>
      </c>
      <c r="V58" s="641" t="s">
        <v>312</v>
      </c>
      <c r="W58" s="641">
        <f t="shared" si="11"/>
        <v>11</v>
      </c>
    </row>
    <row r="59" spans="3:23" ht="15.75">
      <c r="C59" s="651" t="s">
        <v>113</v>
      </c>
      <c r="D59" s="543">
        <v>184326.19999999998</v>
      </c>
      <c r="E59" s="543">
        <v>94.46</v>
      </c>
      <c r="F59" s="543">
        <v>0</v>
      </c>
      <c r="G59" s="543">
        <v>5344.93</v>
      </c>
      <c r="H59" s="543">
        <v>2543.96</v>
      </c>
      <c r="I59" s="543">
        <v>7860.03</v>
      </c>
      <c r="J59" s="543">
        <v>2404.9899999999998</v>
      </c>
      <c r="K59" s="543">
        <v>5066.97</v>
      </c>
      <c r="L59" s="543">
        <v>4256.5600000000004</v>
      </c>
      <c r="M59" s="543">
        <v>6500.51</v>
      </c>
      <c r="N59" s="543">
        <v>2786.33</v>
      </c>
      <c r="O59" s="543">
        <v>8280.33</v>
      </c>
      <c r="P59" s="543">
        <v>9465.06</v>
      </c>
      <c r="Q59" s="652">
        <f t="shared" si="14"/>
        <v>54604.130000000005</v>
      </c>
      <c r="R59" s="372"/>
      <c r="S59" s="641"/>
      <c r="T59" s="641" t="s">
        <v>302</v>
      </c>
      <c r="U59" s="641" t="e">
        <f t="shared" si="10"/>
        <v>#N/A</v>
      </c>
      <c r="V59" s="641" t="s">
        <v>314</v>
      </c>
      <c r="W59" s="641">
        <f t="shared" si="11"/>
        <v>12</v>
      </c>
    </row>
    <row r="60" spans="3:23" ht="15.75">
      <c r="C60" s="651" t="s">
        <v>115</v>
      </c>
      <c r="D60" s="543">
        <v>596905.94999999984</v>
      </c>
      <c r="E60" s="543">
        <v>1501.94</v>
      </c>
      <c r="F60" s="543">
        <v>0</v>
      </c>
      <c r="G60" s="543">
        <v>580.98</v>
      </c>
      <c r="H60" s="543">
        <v>8002.97</v>
      </c>
      <c r="I60" s="543">
        <v>7554.77</v>
      </c>
      <c r="J60" s="543">
        <v>28440.22</v>
      </c>
      <c r="K60" s="543">
        <v>17111.98</v>
      </c>
      <c r="L60" s="543">
        <v>0.46</v>
      </c>
      <c r="M60" s="543">
        <v>3891.24</v>
      </c>
      <c r="N60" s="543">
        <v>272.02999999999997</v>
      </c>
      <c r="O60" s="543">
        <v>1672.38</v>
      </c>
      <c r="P60" s="543">
        <v>1058.8599999999999</v>
      </c>
      <c r="Q60" s="652">
        <f t="shared" si="14"/>
        <v>70087.83</v>
      </c>
      <c r="R60" s="372"/>
      <c r="S60" s="641"/>
      <c r="T60" s="641" t="s">
        <v>129</v>
      </c>
      <c r="U60" s="641">
        <f t="shared" si="10"/>
        <v>9</v>
      </c>
      <c r="V60" s="641"/>
      <c r="W60" s="641"/>
    </row>
    <row r="61" spans="3:23" ht="15.75">
      <c r="C61" s="651" t="s">
        <v>220</v>
      </c>
      <c r="D61" s="543">
        <v>4903883.0900000026</v>
      </c>
      <c r="E61" s="543">
        <v>0</v>
      </c>
      <c r="F61" s="543">
        <v>0</v>
      </c>
      <c r="G61" s="543">
        <v>0</v>
      </c>
      <c r="H61" s="543">
        <v>0</v>
      </c>
      <c r="I61" s="543">
        <v>0</v>
      </c>
      <c r="J61" s="543">
        <v>0</v>
      </c>
      <c r="K61" s="543">
        <v>0</v>
      </c>
      <c r="L61" s="543"/>
      <c r="M61" s="543"/>
      <c r="N61" s="543"/>
      <c r="O61" s="543"/>
      <c r="P61" s="543"/>
      <c r="Q61" s="652">
        <f t="shared" si="14"/>
        <v>0</v>
      </c>
      <c r="R61" s="372"/>
      <c r="S61" s="641"/>
      <c r="T61" s="641" t="s">
        <v>342</v>
      </c>
      <c r="U61" s="641" t="e">
        <f t="shared" si="10"/>
        <v>#N/A</v>
      </c>
      <c r="V61" s="641"/>
      <c r="W61" s="641"/>
    </row>
    <row r="62" spans="3:23" ht="15.75">
      <c r="C62" s="651" t="s">
        <v>117</v>
      </c>
      <c r="D62" s="543">
        <v>16623847.200000003</v>
      </c>
      <c r="E62" s="543">
        <v>347108.11</v>
      </c>
      <c r="F62" s="543">
        <v>312802.46000000002</v>
      </c>
      <c r="G62" s="543">
        <v>369455.84</v>
      </c>
      <c r="H62" s="543">
        <v>379750.68</v>
      </c>
      <c r="I62" s="543">
        <v>414102.24</v>
      </c>
      <c r="J62" s="543">
        <v>368490.1</v>
      </c>
      <c r="K62" s="543">
        <v>455671.75</v>
      </c>
      <c r="L62" s="543">
        <v>306290.02</v>
      </c>
      <c r="M62" s="543">
        <v>368353.56</v>
      </c>
      <c r="N62" s="543">
        <v>398965.33</v>
      </c>
      <c r="O62" s="543">
        <v>456292.96</v>
      </c>
      <c r="P62" s="543">
        <v>455867.51</v>
      </c>
      <c r="Q62" s="652">
        <f t="shared" si="14"/>
        <v>4633150.5600000005</v>
      </c>
      <c r="R62" s="372"/>
      <c r="S62" s="641"/>
      <c r="T62" s="641" t="s">
        <v>681</v>
      </c>
      <c r="U62" s="641" t="e">
        <f t="shared" si="10"/>
        <v>#N/A</v>
      </c>
      <c r="V62" s="641"/>
      <c r="W62" s="641"/>
    </row>
    <row r="63" spans="3:23" ht="15.75">
      <c r="C63" s="651" t="s">
        <v>119</v>
      </c>
      <c r="D63" s="543">
        <v>194712.35000000003</v>
      </c>
      <c r="E63" s="543">
        <v>16743.099999999999</v>
      </c>
      <c r="F63" s="543">
        <v>4927.24</v>
      </c>
      <c r="G63" s="543">
        <v>9434.3700000000008</v>
      </c>
      <c r="H63" s="543">
        <v>7908.38</v>
      </c>
      <c r="I63" s="543">
        <v>2911.94</v>
      </c>
      <c r="J63" s="543">
        <v>2229.1</v>
      </c>
      <c r="K63" s="543">
        <v>1836.21</v>
      </c>
      <c r="L63" s="543">
        <v>870.51</v>
      </c>
      <c r="M63" s="543">
        <v>7700.11</v>
      </c>
      <c r="N63" s="543">
        <v>12314.88</v>
      </c>
      <c r="O63" s="543">
        <v>6321.72</v>
      </c>
      <c r="P63" s="543">
        <v>10888.81</v>
      </c>
      <c r="Q63" s="652">
        <f t="shared" si="14"/>
        <v>84086.37</v>
      </c>
      <c r="R63" s="372"/>
      <c r="S63" s="641"/>
      <c r="T63" s="641" t="s">
        <v>316</v>
      </c>
      <c r="U63" s="641" t="e">
        <f t="shared" si="10"/>
        <v>#N/A</v>
      </c>
      <c r="V63" s="641"/>
      <c r="W63" s="641"/>
    </row>
    <row r="64" spans="3:23" ht="15.75">
      <c r="C64" s="651" t="s">
        <v>288</v>
      </c>
      <c r="D64" s="543">
        <v>179349.96</v>
      </c>
      <c r="E64" s="543">
        <v>390.49</v>
      </c>
      <c r="F64" s="543">
        <v>2630.3</v>
      </c>
      <c r="G64" s="543">
        <v>0</v>
      </c>
      <c r="H64" s="543">
        <v>1126.56</v>
      </c>
      <c r="I64" s="543">
        <v>1128.5</v>
      </c>
      <c r="J64" s="543">
        <v>1264.44</v>
      </c>
      <c r="K64" s="543">
        <v>0</v>
      </c>
      <c r="L64" s="543">
        <v>0</v>
      </c>
      <c r="M64" s="543">
        <v>-825.88</v>
      </c>
      <c r="N64" s="543">
        <v>7241.44</v>
      </c>
      <c r="O64" s="543">
        <v>27723.55</v>
      </c>
      <c r="P64" s="543">
        <v>46070.53</v>
      </c>
      <c r="Q64" s="652">
        <f t="shared" si="14"/>
        <v>86749.93</v>
      </c>
      <c r="R64" s="372"/>
      <c r="S64" s="641"/>
      <c r="T64" s="641" t="s">
        <v>442</v>
      </c>
      <c r="U64" s="641" t="e">
        <f t="shared" si="10"/>
        <v>#N/A</v>
      </c>
      <c r="V64" s="641"/>
      <c r="W64" s="641"/>
    </row>
    <row r="65" spans="3:23" ht="15.75">
      <c r="C65" s="651" t="s">
        <v>120</v>
      </c>
      <c r="D65" s="543">
        <v>362496.27</v>
      </c>
      <c r="E65" s="543">
        <v>0</v>
      </c>
      <c r="F65" s="543">
        <v>0</v>
      </c>
      <c r="G65" s="543">
        <v>0</v>
      </c>
      <c r="H65" s="543">
        <v>0</v>
      </c>
      <c r="I65" s="543">
        <v>0</v>
      </c>
      <c r="J65" s="543">
        <v>0</v>
      </c>
      <c r="K65" s="543">
        <v>0</v>
      </c>
      <c r="L65" s="543"/>
      <c r="M65" s="543"/>
      <c r="N65" s="543"/>
      <c r="O65" s="543"/>
      <c r="P65" s="543"/>
      <c r="Q65" s="652">
        <f t="shared" si="14"/>
        <v>0</v>
      </c>
      <c r="R65" s="372"/>
      <c r="S65" s="641"/>
      <c r="T65" s="641" t="s">
        <v>310</v>
      </c>
      <c r="U65" s="641">
        <f t="shared" si="10"/>
        <v>10</v>
      </c>
      <c r="V65" s="641"/>
      <c r="W65" s="641"/>
    </row>
    <row r="66" spans="3:23" ht="15.75">
      <c r="C66" s="651" t="s">
        <v>122</v>
      </c>
      <c r="D66" s="543">
        <v>7217380.2400000012</v>
      </c>
      <c r="E66" s="543">
        <v>0</v>
      </c>
      <c r="F66" s="543">
        <v>0</v>
      </c>
      <c r="G66" s="543">
        <v>0</v>
      </c>
      <c r="H66" s="543">
        <v>0</v>
      </c>
      <c r="I66" s="543">
        <v>0</v>
      </c>
      <c r="J66" s="543">
        <v>0</v>
      </c>
      <c r="K66" s="543">
        <v>0</v>
      </c>
      <c r="L66" s="543"/>
      <c r="M66" s="543"/>
      <c r="N66" s="543"/>
      <c r="O66" s="543"/>
      <c r="P66" s="543"/>
      <c r="Q66" s="652">
        <f t="shared" si="14"/>
        <v>0</v>
      </c>
      <c r="R66" s="372"/>
      <c r="S66" s="641"/>
      <c r="T66" s="641" t="s">
        <v>312</v>
      </c>
      <c r="U66" s="641">
        <f t="shared" si="10"/>
        <v>11</v>
      </c>
      <c r="V66" s="641"/>
      <c r="W66" s="641"/>
    </row>
    <row r="67" spans="3:23" ht="15.75">
      <c r="C67" s="651" t="s">
        <v>302</v>
      </c>
      <c r="D67" s="543">
        <v>0</v>
      </c>
      <c r="E67" s="543">
        <v>0</v>
      </c>
      <c r="F67" s="543">
        <v>0</v>
      </c>
      <c r="G67" s="543">
        <v>0</v>
      </c>
      <c r="H67" s="543">
        <v>0</v>
      </c>
      <c r="I67" s="543">
        <v>0</v>
      </c>
      <c r="J67" s="543">
        <v>0</v>
      </c>
      <c r="K67" s="543">
        <v>0</v>
      </c>
      <c r="L67" s="543"/>
      <c r="M67" s="543"/>
      <c r="N67" s="543"/>
      <c r="O67" s="543"/>
      <c r="P67" s="543"/>
      <c r="Q67" s="652">
        <f t="shared" si="14"/>
        <v>0</v>
      </c>
      <c r="R67" s="372"/>
      <c r="S67" s="641"/>
      <c r="T67" s="641" t="s">
        <v>314</v>
      </c>
      <c r="U67" s="641">
        <f t="shared" si="10"/>
        <v>12</v>
      </c>
      <c r="V67" s="641"/>
      <c r="W67" s="641"/>
    </row>
    <row r="68" spans="3:23" ht="15.75">
      <c r="C68" s="651" t="s">
        <v>189</v>
      </c>
      <c r="D68" s="543">
        <v>720580.50000000012</v>
      </c>
      <c r="E68" s="543">
        <v>0</v>
      </c>
      <c r="F68" s="543">
        <v>0</v>
      </c>
      <c r="G68" s="543">
        <v>0</v>
      </c>
      <c r="H68" s="543">
        <v>0</v>
      </c>
      <c r="I68" s="543">
        <v>0</v>
      </c>
      <c r="J68" s="543">
        <v>0</v>
      </c>
      <c r="K68" s="543">
        <v>0</v>
      </c>
      <c r="L68" s="543"/>
      <c r="M68" s="543"/>
      <c r="N68" s="543"/>
      <c r="O68" s="543"/>
      <c r="P68" s="543"/>
      <c r="Q68" s="652">
        <f t="shared" si="14"/>
        <v>0</v>
      </c>
      <c r="R68" s="372"/>
      <c r="S68" s="641"/>
      <c r="T68" s="643"/>
      <c r="U68" s="641"/>
      <c r="V68" s="641"/>
      <c r="W68" s="636"/>
    </row>
    <row r="69" spans="3:23" ht="15.75">
      <c r="C69" s="651" t="s">
        <v>123</v>
      </c>
      <c r="D69" s="543">
        <v>0</v>
      </c>
      <c r="E69" s="543">
        <v>0</v>
      </c>
      <c r="F69" s="543">
        <v>0</v>
      </c>
      <c r="G69" s="543">
        <v>0</v>
      </c>
      <c r="H69" s="543">
        <v>0</v>
      </c>
      <c r="I69" s="543">
        <v>0</v>
      </c>
      <c r="J69" s="543">
        <v>0</v>
      </c>
      <c r="K69" s="543">
        <v>0</v>
      </c>
      <c r="L69" s="543"/>
      <c r="M69" s="543"/>
      <c r="N69" s="543"/>
      <c r="O69" s="543"/>
      <c r="P69" s="543"/>
      <c r="Q69" s="652">
        <f t="shared" si="14"/>
        <v>0</v>
      </c>
      <c r="R69" s="372"/>
      <c r="S69" s="641"/>
      <c r="T69" s="643"/>
      <c r="U69" s="641"/>
      <c r="V69" s="641"/>
      <c r="W69" s="636"/>
    </row>
    <row r="70" spans="3:23" ht="15.75">
      <c r="C70" s="651" t="s">
        <v>125</v>
      </c>
      <c r="D70" s="543">
        <v>0</v>
      </c>
      <c r="E70" s="543">
        <v>0</v>
      </c>
      <c r="F70" s="543">
        <v>0</v>
      </c>
      <c r="G70" s="543">
        <v>0</v>
      </c>
      <c r="H70" s="543">
        <v>0</v>
      </c>
      <c r="I70" s="543">
        <v>0</v>
      </c>
      <c r="J70" s="543">
        <v>0</v>
      </c>
      <c r="K70" s="543">
        <v>0</v>
      </c>
      <c r="L70" s="543"/>
      <c r="M70" s="543"/>
      <c r="N70" s="543"/>
      <c r="O70" s="543"/>
      <c r="P70" s="543"/>
      <c r="Q70" s="652">
        <f t="shared" si="14"/>
        <v>0</v>
      </c>
      <c r="R70" s="372"/>
      <c r="S70" s="641"/>
      <c r="T70" s="643"/>
      <c r="U70" s="641"/>
      <c r="V70" s="641"/>
      <c r="W70" s="636"/>
    </row>
    <row r="71" spans="3:23" ht="15.75">
      <c r="C71" s="651" t="s">
        <v>127</v>
      </c>
      <c r="D71" s="543">
        <v>9409920.5500000026</v>
      </c>
      <c r="E71" s="543">
        <v>146242.99</v>
      </c>
      <c r="F71" s="543">
        <v>198503.01</v>
      </c>
      <c r="G71" s="543">
        <v>188874.62</v>
      </c>
      <c r="H71" s="543">
        <v>169209.41</v>
      </c>
      <c r="I71" s="543">
        <v>215211.67</v>
      </c>
      <c r="J71" s="543">
        <v>114737.63</v>
      </c>
      <c r="K71" s="543">
        <v>181480.95999999999</v>
      </c>
      <c r="L71" s="543">
        <v>116711.25</v>
      </c>
      <c r="M71" s="543">
        <v>88111.06</v>
      </c>
      <c r="N71" s="543">
        <v>108111.63</v>
      </c>
      <c r="O71" s="543">
        <v>175215.94</v>
      </c>
      <c r="P71" s="543">
        <v>153322.23999999999</v>
      </c>
      <c r="Q71" s="652">
        <f t="shared" si="14"/>
        <v>1855732.41</v>
      </c>
      <c r="R71" s="372"/>
      <c r="S71" s="641"/>
      <c r="T71" s="643"/>
      <c r="U71" s="641"/>
      <c r="V71" s="641"/>
      <c r="W71" s="636"/>
    </row>
    <row r="72" spans="3:23" ht="15.75">
      <c r="C72" s="651" t="s">
        <v>129</v>
      </c>
      <c r="D72" s="543">
        <v>92402.950000000012</v>
      </c>
      <c r="E72" s="543">
        <v>0</v>
      </c>
      <c r="F72" s="543">
        <v>806.44</v>
      </c>
      <c r="G72" s="543"/>
      <c r="H72" s="543">
        <v>0</v>
      </c>
      <c r="I72" s="543"/>
      <c r="J72" s="543"/>
      <c r="K72" s="543">
        <v>0</v>
      </c>
      <c r="L72" s="543">
        <v>366.31</v>
      </c>
      <c r="M72" s="543">
        <v>0</v>
      </c>
      <c r="N72" s="543">
        <v>478.73</v>
      </c>
      <c r="O72" s="543">
        <v>0</v>
      </c>
      <c r="P72" s="543">
        <v>2205.09</v>
      </c>
      <c r="Q72" s="652">
        <f t="shared" si="14"/>
        <v>3856.57</v>
      </c>
      <c r="R72" s="372"/>
      <c r="S72" s="641"/>
      <c r="T72" s="643"/>
      <c r="U72" s="641"/>
      <c r="V72" s="641"/>
      <c r="W72" s="636"/>
    </row>
    <row r="73" spans="3:23" ht="15.75">
      <c r="C73" s="651" t="s">
        <v>342</v>
      </c>
      <c r="D73" s="543">
        <v>0</v>
      </c>
      <c r="E73" s="543">
        <v>0</v>
      </c>
      <c r="F73" s="543">
        <v>0</v>
      </c>
      <c r="G73" s="543"/>
      <c r="H73" s="543">
        <v>0</v>
      </c>
      <c r="I73" s="543"/>
      <c r="J73" s="543"/>
      <c r="K73" s="543">
        <v>0</v>
      </c>
      <c r="L73" s="543"/>
      <c r="M73" s="543"/>
      <c r="N73" s="543"/>
      <c r="O73" s="543"/>
      <c r="P73" s="543"/>
      <c r="Q73" s="652">
        <f t="shared" si="14"/>
        <v>0</v>
      </c>
      <c r="R73" s="372"/>
      <c r="S73" s="641"/>
      <c r="T73" s="643"/>
      <c r="U73" s="641"/>
      <c r="V73" s="641"/>
      <c r="W73" s="636"/>
    </row>
    <row r="74" spans="3:23" ht="15.75">
      <c r="C74" s="372"/>
      <c r="D74" s="542">
        <f>SUM(D56:D73)</f>
        <v>65247682.980000019</v>
      </c>
      <c r="E74" s="542">
        <f t="shared" ref="E74:Q74" si="15">SUM(E56:E73)</f>
        <v>1379001.83</v>
      </c>
      <c r="F74" s="542">
        <f t="shared" si="15"/>
        <v>1079758.08</v>
      </c>
      <c r="G74" s="542">
        <f t="shared" si="15"/>
        <v>1690310.4100000001</v>
      </c>
      <c r="H74" s="542">
        <f t="shared" si="15"/>
        <v>1454376.88</v>
      </c>
      <c r="I74" s="542">
        <f t="shared" si="15"/>
        <v>1456445.02</v>
      </c>
      <c r="J74" s="542">
        <f t="shared" si="15"/>
        <v>1435104.6599999997</v>
      </c>
      <c r="K74" s="542">
        <f t="shared" si="15"/>
        <v>805247.90999999992</v>
      </c>
      <c r="L74" s="542">
        <f t="shared" si="15"/>
        <v>568372.7300000001</v>
      </c>
      <c r="M74" s="542">
        <f t="shared" si="15"/>
        <v>641247.29</v>
      </c>
      <c r="N74" s="542">
        <f t="shared" si="15"/>
        <v>633159.99</v>
      </c>
      <c r="O74" s="542">
        <f t="shared" si="15"/>
        <v>808036.69</v>
      </c>
      <c r="P74" s="542">
        <f t="shared" si="15"/>
        <v>840329.03</v>
      </c>
      <c r="Q74" s="542">
        <f t="shared" si="15"/>
        <v>12791390.520000001</v>
      </c>
      <c r="R74" s="372"/>
      <c r="S74" s="641"/>
      <c r="T74" s="643"/>
      <c r="U74" s="641"/>
      <c r="V74" s="641"/>
      <c r="W74" s="636"/>
    </row>
    <row r="75" spans="3:23">
      <c r="C75" s="372"/>
      <c r="D75" s="372"/>
      <c r="E75" s="372"/>
      <c r="F75" s="372"/>
      <c r="G75" s="372"/>
      <c r="H75" s="372"/>
      <c r="I75" s="372"/>
      <c r="J75" s="372"/>
      <c r="K75" s="372"/>
      <c r="L75" s="372"/>
      <c r="M75" s="372"/>
      <c r="N75" s="372"/>
      <c r="O75" s="372"/>
      <c r="P75" s="372"/>
      <c r="Q75" s="372"/>
      <c r="R75" s="372"/>
      <c r="S75" s="641"/>
      <c r="T75" s="643"/>
      <c r="U75" s="641"/>
      <c r="V75" s="641"/>
      <c r="W75" s="636"/>
    </row>
    <row r="76" spans="3:23" ht="15.75" thickBot="1">
      <c r="C76" s="372"/>
      <c r="D76" s="372"/>
      <c r="E76" s="372"/>
      <c r="F76" s="372"/>
      <c r="G76" s="372"/>
      <c r="H76" s="372"/>
      <c r="I76" s="372"/>
      <c r="J76" s="372"/>
      <c r="K76" s="372"/>
      <c r="L76" s="372"/>
      <c r="M76" s="372"/>
      <c r="N76" s="372"/>
      <c r="O76" s="372"/>
      <c r="P76" s="372"/>
      <c r="Q76" s="372"/>
      <c r="R76" s="372"/>
      <c r="S76" s="641"/>
      <c r="T76" s="643"/>
      <c r="U76" s="641"/>
      <c r="V76" s="641"/>
      <c r="W76" s="636"/>
    </row>
    <row r="77" spans="3:23" ht="16.5" thickBot="1">
      <c r="C77" s="653" t="s">
        <v>3</v>
      </c>
      <c r="D77" s="654">
        <f>SUM(D74,D51)</f>
        <v>72692224.670000017</v>
      </c>
      <c r="E77" s="654">
        <f t="shared" ref="E77:Q77" si="16">SUM(E74,E51)</f>
        <v>1379254.62</v>
      </c>
      <c r="F77" s="654">
        <f t="shared" si="16"/>
        <v>1080013.47</v>
      </c>
      <c r="G77" s="654">
        <f t="shared" si="16"/>
        <v>1690662.6400000001</v>
      </c>
      <c r="H77" s="654">
        <f t="shared" si="16"/>
        <v>1454667.0799999998</v>
      </c>
      <c r="I77" s="654">
        <f t="shared" si="16"/>
        <v>1456746.15</v>
      </c>
      <c r="J77" s="654">
        <f t="shared" si="16"/>
        <v>1435326.8199999996</v>
      </c>
      <c r="K77" s="654">
        <f t="shared" si="16"/>
        <v>805247.90999999992</v>
      </c>
      <c r="L77" s="654">
        <f t="shared" si="16"/>
        <v>568372.7300000001</v>
      </c>
      <c r="M77" s="654">
        <f t="shared" si="16"/>
        <v>641247.29</v>
      </c>
      <c r="N77" s="654">
        <f t="shared" si="16"/>
        <v>633159.99</v>
      </c>
      <c r="O77" s="654">
        <f t="shared" si="16"/>
        <v>808036.69</v>
      </c>
      <c r="P77" s="654">
        <f t="shared" si="16"/>
        <v>840329.03</v>
      </c>
      <c r="Q77" s="654">
        <f t="shared" si="16"/>
        <v>12793064.420000002</v>
      </c>
      <c r="R77" s="372"/>
      <c r="S77" s="641"/>
      <c r="T77" s="643"/>
      <c r="U77" s="641"/>
      <c r="V77" s="641"/>
      <c r="W77" s="636"/>
    </row>
    <row r="78" spans="3:23" ht="15.75">
      <c r="C78" s="372"/>
      <c r="D78" s="655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497">
        <v>0</v>
      </c>
      <c r="R78" s="372" t="s">
        <v>729</v>
      </c>
      <c r="S78" s="641"/>
      <c r="T78" s="643"/>
      <c r="U78" s="641"/>
      <c r="V78" s="641"/>
      <c r="W78" s="636"/>
    </row>
    <row r="79" spans="3:23" ht="15.75">
      <c r="C79" s="372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544">
        <v>40883311.150000006</v>
      </c>
      <c r="R79" s="372" t="s">
        <v>730</v>
      </c>
      <c r="S79" s="641"/>
      <c r="T79" s="643"/>
      <c r="U79" s="641"/>
      <c r="V79" s="641"/>
      <c r="W79" s="636"/>
    </row>
    <row r="80" spans="3:23">
      <c r="C80" s="372"/>
      <c r="D80" s="372"/>
      <c r="E80" s="372"/>
      <c r="F80" s="372"/>
      <c r="G80" s="372"/>
      <c r="H80" s="372"/>
      <c r="I80" s="372"/>
      <c r="J80" s="372"/>
      <c r="K80" s="372"/>
      <c r="L80" s="372"/>
      <c r="M80" s="372"/>
      <c r="N80" s="372"/>
      <c r="O80" s="372"/>
      <c r="P80" s="372"/>
      <c r="Q80" s="545"/>
      <c r="R80" s="372"/>
      <c r="S80" s="641"/>
      <c r="T80" s="643"/>
      <c r="U80" s="641"/>
      <c r="V80" s="641"/>
      <c r="W80" s="636"/>
    </row>
    <row r="81" spans="3:23"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545"/>
      <c r="R81" s="372"/>
      <c r="S81" s="641"/>
      <c r="T81" s="643"/>
      <c r="U81" s="641"/>
      <c r="V81" s="641"/>
      <c r="W81" s="636"/>
    </row>
    <row r="82" spans="3:23" ht="15.75">
      <c r="C82" s="645" t="s">
        <v>731</v>
      </c>
      <c r="D82" s="537"/>
      <c r="E82" s="538"/>
      <c r="F82" s="538"/>
      <c r="G82" s="538"/>
      <c r="H82" s="538"/>
      <c r="I82" s="538"/>
      <c r="J82" s="538"/>
      <c r="K82" s="538"/>
      <c r="L82" s="537"/>
      <c r="M82" s="537"/>
      <c r="N82" s="539"/>
      <c r="O82" s="540"/>
      <c r="P82" s="539"/>
      <c r="Q82" s="541"/>
      <c r="R82" s="372"/>
      <c r="S82" s="641"/>
      <c r="T82" s="643"/>
      <c r="U82" s="641"/>
      <c r="V82" s="641"/>
      <c r="W82" s="636"/>
    </row>
    <row r="83" spans="3:23" ht="23.25">
      <c r="C83" s="372"/>
      <c r="D83" s="646">
        <v>237413</v>
      </c>
      <c r="E83" s="646"/>
      <c r="F83" s="646"/>
      <c r="G83" s="646"/>
      <c r="H83" s="646"/>
      <c r="I83" s="646"/>
      <c r="J83" s="646"/>
      <c r="K83" s="646"/>
      <c r="L83" s="646"/>
      <c r="M83" s="646"/>
      <c r="N83" s="646"/>
      <c r="O83" s="646"/>
      <c r="P83" s="646"/>
      <c r="Q83" s="646"/>
      <c r="R83" s="372"/>
      <c r="S83" s="641"/>
      <c r="T83" s="643"/>
      <c r="U83" s="641"/>
      <c r="V83" s="641"/>
      <c r="W83" s="636"/>
    </row>
    <row r="84" spans="3:23" ht="15.75">
      <c r="C84" s="647" t="s">
        <v>106</v>
      </c>
      <c r="D84" s="648" t="s">
        <v>727</v>
      </c>
      <c r="E84" s="649">
        <v>44197</v>
      </c>
      <c r="F84" s="649">
        <v>44228</v>
      </c>
      <c r="G84" s="649">
        <v>44256</v>
      </c>
      <c r="H84" s="649">
        <v>44287</v>
      </c>
      <c r="I84" s="649">
        <v>44317</v>
      </c>
      <c r="J84" s="649">
        <v>44348</v>
      </c>
      <c r="K84" s="649">
        <v>44378</v>
      </c>
      <c r="L84" s="649">
        <v>44409</v>
      </c>
      <c r="M84" s="649">
        <v>44440</v>
      </c>
      <c r="N84" s="649">
        <v>44470</v>
      </c>
      <c r="O84" s="649">
        <v>44501</v>
      </c>
      <c r="P84" s="649">
        <v>44531</v>
      </c>
      <c r="Q84" s="650" t="s">
        <v>728</v>
      </c>
      <c r="R84" s="643"/>
      <c r="S84" s="641"/>
      <c r="T84" s="643"/>
      <c r="U84" s="641"/>
      <c r="V84" s="641"/>
      <c r="W84" s="636"/>
    </row>
    <row r="85" spans="3:23" ht="15.75">
      <c r="C85" s="651" t="s">
        <v>681</v>
      </c>
      <c r="D85" s="543">
        <v>28379.7</v>
      </c>
      <c r="E85" s="543">
        <v>0</v>
      </c>
      <c r="F85" s="543">
        <v>0</v>
      </c>
      <c r="G85" s="543">
        <v>0</v>
      </c>
      <c r="H85" s="543">
        <v>0</v>
      </c>
      <c r="I85" s="543">
        <v>0</v>
      </c>
      <c r="J85" s="543">
        <v>0</v>
      </c>
      <c r="K85" s="543">
        <v>0</v>
      </c>
      <c r="L85" s="543"/>
      <c r="M85" s="543"/>
      <c r="N85" s="543"/>
      <c r="O85" s="543"/>
      <c r="P85" s="543"/>
      <c r="Q85" s="652">
        <f t="shared" ref="Q85:Q87" si="17">SUM(E85:P85)</f>
        <v>0</v>
      </c>
      <c r="R85" s="372"/>
      <c r="S85" s="641"/>
      <c r="T85" s="643"/>
      <c r="U85" s="641"/>
      <c r="V85" s="641"/>
      <c r="W85" s="636"/>
    </row>
    <row r="86" spans="3:23" ht="15.75">
      <c r="C86" s="651" t="s">
        <v>316</v>
      </c>
      <c r="D86" s="543">
        <v>260943.97</v>
      </c>
      <c r="E86" s="543">
        <v>0</v>
      </c>
      <c r="F86" s="543">
        <v>0</v>
      </c>
      <c r="G86" s="543">
        <v>0</v>
      </c>
      <c r="H86" s="543">
        <v>0</v>
      </c>
      <c r="I86" s="543">
        <v>0</v>
      </c>
      <c r="J86" s="543">
        <v>0</v>
      </c>
      <c r="K86" s="543">
        <v>0</v>
      </c>
      <c r="L86" s="543"/>
      <c r="M86" s="543"/>
      <c r="N86" s="543"/>
      <c r="O86" s="543"/>
      <c r="P86" s="543"/>
      <c r="Q86" s="652">
        <f t="shared" si="17"/>
        <v>0</v>
      </c>
      <c r="R86" s="372"/>
      <c r="S86" s="641"/>
      <c r="T86" s="643"/>
      <c r="U86" s="641"/>
      <c r="V86" s="641"/>
      <c r="W86" s="636"/>
    </row>
    <row r="87" spans="3:23" ht="15.75">
      <c r="C87" s="651" t="s">
        <v>442</v>
      </c>
      <c r="D87" s="543">
        <v>295187.87</v>
      </c>
      <c r="E87" s="543">
        <v>0</v>
      </c>
      <c r="F87" s="543">
        <v>0</v>
      </c>
      <c r="G87" s="543">
        <v>0</v>
      </c>
      <c r="H87" s="543">
        <v>0</v>
      </c>
      <c r="I87" s="543">
        <v>0</v>
      </c>
      <c r="J87" s="543">
        <v>0</v>
      </c>
      <c r="K87" s="543">
        <v>0</v>
      </c>
      <c r="L87" s="543"/>
      <c r="M87" s="543"/>
      <c r="N87" s="543"/>
      <c r="O87" s="543"/>
      <c r="P87" s="543"/>
      <c r="Q87" s="652">
        <f t="shared" si="17"/>
        <v>0</v>
      </c>
      <c r="R87" s="372"/>
      <c r="S87" s="641"/>
      <c r="T87" s="643"/>
      <c r="U87" s="641"/>
      <c r="V87" s="641"/>
      <c r="W87" s="636"/>
    </row>
    <row r="88" spans="3:23" ht="15.75">
      <c r="C88" s="372"/>
      <c r="D88" s="542">
        <f>SUM(D85:D87)</f>
        <v>584511.54</v>
      </c>
      <c r="E88" s="542">
        <f t="shared" ref="E88:Q88" si="18">SUM(E85:E87)</f>
        <v>0</v>
      </c>
      <c r="F88" s="542">
        <f t="shared" si="18"/>
        <v>0</v>
      </c>
      <c r="G88" s="542">
        <f t="shared" si="18"/>
        <v>0</v>
      </c>
      <c r="H88" s="542">
        <f t="shared" si="18"/>
        <v>0</v>
      </c>
      <c r="I88" s="542">
        <f t="shared" si="18"/>
        <v>0</v>
      </c>
      <c r="J88" s="542">
        <f t="shared" si="18"/>
        <v>0</v>
      </c>
      <c r="K88" s="542">
        <f t="shared" si="18"/>
        <v>0</v>
      </c>
      <c r="L88" s="542">
        <f t="shared" si="18"/>
        <v>0</v>
      </c>
      <c r="M88" s="542">
        <f t="shared" si="18"/>
        <v>0</v>
      </c>
      <c r="N88" s="542">
        <f t="shared" si="18"/>
        <v>0</v>
      </c>
      <c r="O88" s="542">
        <f t="shared" si="18"/>
        <v>0</v>
      </c>
      <c r="P88" s="542">
        <f t="shared" si="18"/>
        <v>0</v>
      </c>
      <c r="Q88" s="542">
        <f t="shared" si="18"/>
        <v>0</v>
      </c>
      <c r="R88" s="372"/>
      <c r="S88" s="641"/>
      <c r="T88" s="643"/>
      <c r="U88" s="641"/>
      <c r="V88" s="641"/>
      <c r="W88" s="636"/>
    </row>
    <row r="89" spans="3:23"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  <c r="P89" s="372"/>
      <c r="Q89" s="372"/>
      <c r="R89" s="372"/>
      <c r="S89" s="641"/>
      <c r="T89" s="643"/>
      <c r="U89" s="641"/>
      <c r="V89" s="641"/>
      <c r="W89" s="636"/>
    </row>
    <row r="90" spans="3:23"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  <c r="P90" s="372"/>
      <c r="Q90" s="372"/>
      <c r="R90" s="372"/>
      <c r="S90" s="641"/>
      <c r="T90" s="643"/>
      <c r="U90" s="641"/>
      <c r="V90" s="641"/>
      <c r="W90" s="636"/>
    </row>
    <row r="91" spans="3:23" ht="23.25">
      <c r="C91" s="372"/>
      <c r="D91" s="646">
        <v>236720</v>
      </c>
      <c r="E91" s="646"/>
      <c r="F91" s="646"/>
      <c r="G91" s="646"/>
      <c r="H91" s="646"/>
      <c r="I91" s="646"/>
      <c r="J91" s="646"/>
      <c r="K91" s="646"/>
      <c r="L91" s="646"/>
      <c r="M91" s="646"/>
      <c r="N91" s="646"/>
      <c r="O91" s="646"/>
      <c r="P91" s="646"/>
      <c r="Q91" s="646"/>
      <c r="R91" s="372"/>
      <c r="S91" s="641"/>
      <c r="T91" s="643"/>
      <c r="U91" s="641"/>
      <c r="V91" s="641"/>
      <c r="W91" s="636"/>
    </row>
    <row r="92" spans="3:23" ht="15.75">
      <c r="C92" s="647" t="s">
        <v>106</v>
      </c>
      <c r="D92" s="648" t="s">
        <v>727</v>
      </c>
      <c r="E92" s="649">
        <v>44197</v>
      </c>
      <c r="F92" s="649">
        <v>44228</v>
      </c>
      <c r="G92" s="649">
        <v>44256</v>
      </c>
      <c r="H92" s="649">
        <v>44287</v>
      </c>
      <c r="I92" s="649">
        <v>44317</v>
      </c>
      <c r="J92" s="649">
        <v>44348</v>
      </c>
      <c r="K92" s="649">
        <v>44378</v>
      </c>
      <c r="L92" s="649">
        <v>44409</v>
      </c>
      <c r="M92" s="649">
        <v>44440</v>
      </c>
      <c r="N92" s="649">
        <v>44470</v>
      </c>
      <c r="O92" s="649">
        <v>44501</v>
      </c>
      <c r="P92" s="649">
        <v>44531</v>
      </c>
      <c r="Q92" s="650" t="s">
        <v>728</v>
      </c>
      <c r="R92" s="643"/>
      <c r="S92" s="641"/>
      <c r="T92" s="643"/>
      <c r="U92" s="641"/>
      <c r="V92" s="641"/>
      <c r="W92" s="636"/>
    </row>
    <row r="93" spans="3:23" ht="15.75">
      <c r="C93" s="651" t="s">
        <v>310</v>
      </c>
      <c r="D93" s="543">
        <v>0</v>
      </c>
      <c r="E93" s="543">
        <v>0</v>
      </c>
      <c r="F93" s="543">
        <v>0</v>
      </c>
      <c r="G93" s="543">
        <v>0</v>
      </c>
      <c r="H93" s="543">
        <v>0</v>
      </c>
      <c r="I93" s="543">
        <v>0</v>
      </c>
      <c r="J93" s="543">
        <v>0</v>
      </c>
      <c r="K93" s="543">
        <v>0</v>
      </c>
      <c r="L93" s="543"/>
      <c r="M93" s="543"/>
      <c r="N93" s="543"/>
      <c r="O93" s="543"/>
      <c r="P93" s="543"/>
      <c r="Q93" s="652">
        <f t="shared" ref="Q93:Q95" si="19">SUM(E93:P93)</f>
        <v>0</v>
      </c>
      <c r="R93" s="372"/>
      <c r="S93" s="641"/>
      <c r="T93" s="643"/>
      <c r="U93" s="641"/>
      <c r="V93" s="641"/>
      <c r="W93" s="636"/>
    </row>
    <row r="94" spans="3:23" ht="15.75">
      <c r="C94" s="651" t="s">
        <v>312</v>
      </c>
      <c r="D94" s="543">
        <v>37831761.869999997</v>
      </c>
      <c r="E94" s="543">
        <v>937127.61</v>
      </c>
      <c r="F94" s="543">
        <v>230080.95</v>
      </c>
      <c r="G94" s="543">
        <v>159854.42000000001</v>
      </c>
      <c r="H94" s="543">
        <v>385028.72</v>
      </c>
      <c r="I94" s="543">
        <v>340329.5</v>
      </c>
      <c r="J94" s="543">
        <v>759491.72</v>
      </c>
      <c r="K94" s="543">
        <v>0</v>
      </c>
      <c r="L94" s="543"/>
      <c r="M94" s="543"/>
      <c r="N94" s="543"/>
      <c r="O94" s="543"/>
      <c r="P94" s="543"/>
      <c r="Q94" s="652">
        <f t="shared" si="19"/>
        <v>2811912.92</v>
      </c>
      <c r="R94" s="372"/>
      <c r="S94" s="641"/>
      <c r="T94" s="643"/>
      <c r="U94" s="641"/>
      <c r="V94" s="641"/>
      <c r="W94" s="636"/>
    </row>
    <row r="95" spans="3:23" ht="15.75">
      <c r="C95" s="651" t="s">
        <v>314</v>
      </c>
      <c r="D95" s="543">
        <v>38253440.770000003</v>
      </c>
      <c r="E95" s="543">
        <v>629851.85000000009</v>
      </c>
      <c r="F95" s="543">
        <v>1269965.56</v>
      </c>
      <c r="G95" s="543">
        <v>2384786.91</v>
      </c>
      <c r="H95" s="543">
        <v>1252050.5</v>
      </c>
      <c r="I95" s="543">
        <v>3066299.54</v>
      </c>
      <c r="J95" s="543">
        <v>2621881.29</v>
      </c>
      <c r="K95" s="543">
        <v>0</v>
      </c>
      <c r="L95" s="543"/>
      <c r="M95" s="543"/>
      <c r="N95" s="543"/>
      <c r="O95" s="543"/>
      <c r="P95" s="543"/>
      <c r="Q95" s="652">
        <f t="shared" si="19"/>
        <v>11224835.649999999</v>
      </c>
      <c r="R95" s="372"/>
      <c r="S95" s="641"/>
      <c r="T95" s="643"/>
      <c r="U95" s="641"/>
      <c r="V95" s="641"/>
      <c r="W95" s="636"/>
    </row>
    <row r="96" spans="3:23" ht="15.75">
      <c r="C96" s="372"/>
      <c r="D96" s="546">
        <f>SUM(D93:D95)</f>
        <v>76085202.640000001</v>
      </c>
      <c r="E96" s="546">
        <f t="shared" ref="E96:Q96" si="20">SUM(E93:E95)</f>
        <v>1566979.46</v>
      </c>
      <c r="F96" s="546">
        <f t="shared" si="20"/>
        <v>1500046.51</v>
      </c>
      <c r="G96" s="546">
        <f t="shared" si="20"/>
        <v>2544641.33</v>
      </c>
      <c r="H96" s="546">
        <f t="shared" si="20"/>
        <v>1637079.22</v>
      </c>
      <c r="I96" s="546">
        <f t="shared" si="20"/>
        <v>3406629.04</v>
      </c>
      <c r="J96" s="546">
        <f t="shared" si="20"/>
        <v>3381373.01</v>
      </c>
      <c r="K96" s="546">
        <f t="shared" si="20"/>
        <v>0</v>
      </c>
      <c r="L96" s="546">
        <f t="shared" si="20"/>
        <v>0</v>
      </c>
      <c r="M96" s="546">
        <f t="shared" si="20"/>
        <v>0</v>
      </c>
      <c r="N96" s="546">
        <f t="shared" si="20"/>
        <v>0</v>
      </c>
      <c r="O96" s="546">
        <f t="shared" si="20"/>
        <v>0</v>
      </c>
      <c r="P96" s="546">
        <f t="shared" si="20"/>
        <v>0</v>
      </c>
      <c r="Q96" s="546">
        <f t="shared" si="20"/>
        <v>14036748.569999998</v>
      </c>
      <c r="R96" s="372"/>
      <c r="S96" s="641"/>
      <c r="T96" s="643"/>
      <c r="U96" s="641"/>
      <c r="V96" s="641"/>
      <c r="W96" s="636"/>
    </row>
    <row r="97" spans="3:23" ht="16.5" thickBot="1">
      <c r="C97" s="37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505"/>
      <c r="R97" s="372"/>
      <c r="S97" s="641"/>
      <c r="T97" s="641"/>
      <c r="U97" s="641"/>
      <c r="V97" s="641"/>
      <c r="W97" s="636"/>
    </row>
    <row r="98" spans="3:23" ht="16.5" thickBot="1">
      <c r="C98" s="653" t="s">
        <v>3</v>
      </c>
      <c r="D98" s="654">
        <f>SUM(D88,D96)</f>
        <v>76669714.180000007</v>
      </c>
      <c r="E98" s="654">
        <f t="shared" ref="E98:Q98" si="21">SUM(E88,E96)</f>
        <v>1566979.46</v>
      </c>
      <c r="F98" s="654">
        <f t="shared" si="21"/>
        <v>1500046.51</v>
      </c>
      <c r="G98" s="654">
        <f t="shared" si="21"/>
        <v>2544641.33</v>
      </c>
      <c r="H98" s="654">
        <f t="shared" si="21"/>
        <v>1637079.22</v>
      </c>
      <c r="I98" s="654">
        <f t="shared" si="21"/>
        <v>3406629.04</v>
      </c>
      <c r="J98" s="654">
        <f t="shared" si="21"/>
        <v>3381373.01</v>
      </c>
      <c r="K98" s="654">
        <f t="shared" si="21"/>
        <v>0</v>
      </c>
      <c r="L98" s="654">
        <f t="shared" si="21"/>
        <v>0</v>
      </c>
      <c r="M98" s="654">
        <f t="shared" si="21"/>
        <v>0</v>
      </c>
      <c r="N98" s="654">
        <f t="shared" si="21"/>
        <v>0</v>
      </c>
      <c r="O98" s="654">
        <f t="shared" si="21"/>
        <v>0</v>
      </c>
      <c r="P98" s="654">
        <f t="shared" si="21"/>
        <v>0</v>
      </c>
      <c r="Q98" s="654">
        <f t="shared" si="21"/>
        <v>14036748.569999998</v>
      </c>
      <c r="R98" s="372"/>
      <c r="S98" s="641"/>
      <c r="T98" s="641"/>
      <c r="U98" s="641"/>
      <c r="V98" s="641"/>
      <c r="W98" s="636"/>
    </row>
    <row r="99" spans="3:23">
      <c r="C99" s="641"/>
      <c r="D99" s="641"/>
      <c r="E99" s="641"/>
      <c r="F99" s="641"/>
      <c r="G99" s="641"/>
      <c r="H99" s="641"/>
      <c r="I99" s="641"/>
      <c r="J99" s="641"/>
      <c r="K99" s="641"/>
      <c r="L99" s="641"/>
      <c r="M99" s="641"/>
      <c r="N99" s="641"/>
      <c r="O99" s="641"/>
      <c r="P99" s="641"/>
      <c r="Q99" s="641"/>
      <c r="R99" s="641"/>
      <c r="S99" s="641"/>
      <c r="T99" s="641"/>
      <c r="U99" s="641"/>
      <c r="V99" s="641"/>
      <c r="W99" s="636"/>
    </row>
    <row r="100" spans="3:23">
      <c r="C100" s="641"/>
      <c r="D100" s="641"/>
      <c r="E100" s="641"/>
      <c r="F100" s="641"/>
      <c r="G100" s="641"/>
      <c r="H100" s="641"/>
      <c r="I100" s="641"/>
      <c r="J100" s="641"/>
      <c r="K100" s="641"/>
      <c r="L100" s="641"/>
      <c r="M100" s="641"/>
      <c r="N100" s="641"/>
      <c r="O100" s="641"/>
      <c r="P100" s="641"/>
      <c r="Q100" s="641"/>
      <c r="R100" s="641"/>
      <c r="S100" s="641"/>
      <c r="T100" s="641"/>
      <c r="U100" s="641"/>
      <c r="V100" s="641"/>
      <c r="W100" s="636"/>
    </row>
    <row r="101" spans="3:23" ht="15.75">
      <c r="C101" s="642" t="s">
        <v>724</v>
      </c>
      <c r="D101" s="642"/>
      <c r="E101" s="642"/>
      <c r="F101" s="642"/>
      <c r="G101" s="642"/>
      <c r="H101" s="642"/>
      <c r="I101" s="642"/>
      <c r="J101" s="642"/>
      <c r="K101" s="642"/>
      <c r="L101" s="642"/>
      <c r="M101" s="642"/>
      <c r="N101" s="642"/>
      <c r="O101" s="642"/>
      <c r="P101" s="642"/>
      <c r="Q101" s="642"/>
      <c r="R101" s="643"/>
      <c r="S101" s="641"/>
      <c r="T101" s="641"/>
      <c r="U101" s="641"/>
      <c r="V101" s="641"/>
      <c r="W101" s="636"/>
    </row>
    <row r="102" spans="3:23" ht="15.75">
      <c r="C102" s="642" t="s">
        <v>732</v>
      </c>
      <c r="D102" s="642"/>
      <c r="E102" s="642"/>
      <c r="F102" s="642"/>
      <c r="G102" s="642"/>
      <c r="H102" s="642"/>
      <c r="I102" s="642"/>
      <c r="J102" s="642"/>
      <c r="K102" s="642"/>
      <c r="L102" s="642"/>
      <c r="M102" s="642"/>
      <c r="N102" s="642"/>
      <c r="O102" s="642"/>
      <c r="P102" s="642"/>
      <c r="Q102" s="642"/>
      <c r="R102" s="643"/>
      <c r="S102" s="641"/>
      <c r="T102" s="641"/>
      <c r="U102" s="641"/>
      <c r="V102" s="641"/>
      <c r="W102" s="636"/>
    </row>
    <row r="103" spans="3:23"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372"/>
      <c r="O103" s="372"/>
      <c r="P103" s="372"/>
      <c r="Q103" s="372"/>
      <c r="R103" s="372"/>
      <c r="S103" s="641"/>
      <c r="T103" s="641"/>
      <c r="U103" s="641"/>
      <c r="V103" s="641"/>
      <c r="W103" s="636"/>
    </row>
    <row r="104" spans="3:23">
      <c r="C104" s="372"/>
      <c r="D104" s="372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  <c r="O104" s="372"/>
      <c r="P104" s="372"/>
      <c r="Q104" s="372"/>
      <c r="R104" s="372"/>
      <c r="S104" s="641"/>
      <c r="T104" s="641"/>
      <c r="U104" s="641"/>
      <c r="V104" s="641"/>
      <c r="W104" s="636"/>
    </row>
    <row r="105" spans="3:23" ht="15.75">
      <c r="C105" s="645" t="s">
        <v>726</v>
      </c>
      <c r="D105" s="537"/>
      <c r="E105" s="538"/>
      <c r="F105" s="538"/>
      <c r="G105" s="538"/>
      <c r="H105" s="538"/>
      <c r="I105" s="538"/>
      <c r="J105" s="538"/>
      <c r="K105" s="538"/>
      <c r="L105" s="537"/>
      <c r="M105" s="537"/>
      <c r="N105" s="539"/>
      <c r="O105" s="540"/>
      <c r="P105" s="539"/>
      <c r="Q105" s="541"/>
      <c r="R105" s="372"/>
      <c r="S105" s="641"/>
      <c r="T105" s="641"/>
      <c r="U105" s="641"/>
      <c r="V105" s="641"/>
      <c r="W105" s="636"/>
    </row>
    <row r="106" spans="3:23" ht="23.25">
      <c r="C106" s="372"/>
      <c r="D106" s="646" t="s">
        <v>733</v>
      </c>
      <c r="E106" s="646"/>
      <c r="F106" s="646"/>
      <c r="G106" s="646"/>
      <c r="H106" s="646"/>
      <c r="I106" s="646"/>
      <c r="J106" s="646"/>
      <c r="K106" s="646"/>
      <c r="L106" s="646"/>
      <c r="M106" s="646"/>
      <c r="N106" s="646"/>
      <c r="O106" s="646"/>
      <c r="P106" s="646"/>
      <c r="Q106" s="646"/>
      <c r="R106" s="372"/>
      <c r="S106" s="641"/>
      <c r="T106" s="641"/>
      <c r="U106" s="641"/>
      <c r="V106" s="641"/>
      <c r="W106" s="636"/>
    </row>
    <row r="107" spans="3:23" ht="15.75">
      <c r="C107" s="647" t="s">
        <v>106</v>
      </c>
      <c r="D107" s="648" t="s">
        <v>727</v>
      </c>
      <c r="E107" s="649">
        <v>44197</v>
      </c>
      <c r="F107" s="649">
        <v>44228</v>
      </c>
      <c r="G107" s="649">
        <v>44256</v>
      </c>
      <c r="H107" s="649">
        <v>44287</v>
      </c>
      <c r="I107" s="649">
        <v>44317</v>
      </c>
      <c r="J107" s="649">
        <v>44348</v>
      </c>
      <c r="K107" s="649">
        <v>44378</v>
      </c>
      <c r="L107" s="649">
        <v>44409</v>
      </c>
      <c r="M107" s="649">
        <v>44440</v>
      </c>
      <c r="N107" s="649">
        <v>44470</v>
      </c>
      <c r="O107" s="649">
        <v>44501</v>
      </c>
      <c r="P107" s="649">
        <v>44531</v>
      </c>
      <c r="Q107" s="650" t="s">
        <v>728</v>
      </c>
      <c r="R107" s="643"/>
      <c r="S107" s="641"/>
      <c r="T107" s="641"/>
      <c r="U107" s="641"/>
      <c r="V107" s="641"/>
      <c r="W107" s="636"/>
    </row>
    <row r="108" spans="3:23" ht="15.75">
      <c r="C108" s="651">
        <v>414000001</v>
      </c>
      <c r="D108" s="543">
        <v>0</v>
      </c>
      <c r="E108" s="543">
        <v>0</v>
      </c>
      <c r="F108" s="543">
        <v>0</v>
      </c>
      <c r="G108" s="543">
        <v>0</v>
      </c>
      <c r="H108" s="543">
        <v>0</v>
      </c>
      <c r="I108" s="543">
        <v>0</v>
      </c>
      <c r="J108" s="543">
        <v>0</v>
      </c>
      <c r="K108" s="543">
        <v>0</v>
      </c>
      <c r="L108" s="543"/>
      <c r="M108" s="543"/>
      <c r="N108" s="543"/>
      <c r="O108" s="543"/>
      <c r="P108" s="543"/>
      <c r="Q108" s="652">
        <f t="shared" ref="Q108:Q125" si="22">SUM(E108:P108)</f>
        <v>0</v>
      </c>
      <c r="R108" s="372"/>
      <c r="S108" s="641"/>
      <c r="T108" s="641"/>
      <c r="U108" s="641"/>
      <c r="V108" s="641"/>
      <c r="W108" s="636"/>
    </row>
    <row r="109" spans="3:23" ht="15.75">
      <c r="C109" s="651">
        <v>414000002</v>
      </c>
      <c r="D109" s="543">
        <v>0</v>
      </c>
      <c r="E109" s="543">
        <v>0</v>
      </c>
      <c r="F109" s="543">
        <v>0</v>
      </c>
      <c r="G109" s="543">
        <v>0</v>
      </c>
      <c r="H109" s="543">
        <v>0</v>
      </c>
      <c r="I109" s="543">
        <v>0</v>
      </c>
      <c r="J109" s="543">
        <v>0</v>
      </c>
      <c r="K109" s="543">
        <v>0</v>
      </c>
      <c r="L109" s="543"/>
      <c r="M109" s="543"/>
      <c r="N109" s="543"/>
      <c r="O109" s="543"/>
      <c r="P109" s="543"/>
      <c r="Q109" s="652">
        <f t="shared" si="22"/>
        <v>0</v>
      </c>
      <c r="R109" s="372"/>
      <c r="S109" s="641"/>
      <c r="T109" s="641"/>
      <c r="U109" s="641"/>
      <c r="V109" s="641"/>
      <c r="W109" s="636"/>
    </row>
    <row r="110" spans="3:23" ht="15.75">
      <c r="C110" s="651" t="s">
        <v>111</v>
      </c>
      <c r="D110" s="543">
        <v>0</v>
      </c>
      <c r="E110" s="543">
        <v>0</v>
      </c>
      <c r="F110" s="543">
        <v>0</v>
      </c>
      <c r="G110" s="543">
        <v>0</v>
      </c>
      <c r="H110" s="543">
        <v>0</v>
      </c>
      <c r="I110" s="543">
        <v>0</v>
      </c>
      <c r="J110" s="543">
        <v>0</v>
      </c>
      <c r="K110" s="543">
        <v>0</v>
      </c>
      <c r="L110" s="543">
        <v>0</v>
      </c>
      <c r="M110" s="543">
        <v>0</v>
      </c>
      <c r="N110" s="543">
        <v>0</v>
      </c>
      <c r="O110" s="543">
        <v>0</v>
      </c>
      <c r="P110" s="543">
        <v>0</v>
      </c>
      <c r="Q110" s="652">
        <f t="shared" si="22"/>
        <v>0</v>
      </c>
      <c r="R110" s="372"/>
      <c r="S110" s="641"/>
      <c r="T110" s="641"/>
      <c r="U110" s="641"/>
      <c r="V110" s="641"/>
      <c r="W110" s="636"/>
    </row>
    <row r="111" spans="3:23" ht="15.75">
      <c r="C111" s="651" t="s">
        <v>113</v>
      </c>
      <c r="D111" s="543">
        <v>0</v>
      </c>
      <c r="E111" s="543">
        <v>0</v>
      </c>
      <c r="F111" s="543">
        <v>0</v>
      </c>
      <c r="G111" s="543">
        <v>0</v>
      </c>
      <c r="H111" s="543">
        <v>0</v>
      </c>
      <c r="I111" s="543">
        <v>0</v>
      </c>
      <c r="J111" s="543">
        <v>0</v>
      </c>
      <c r="K111" s="543">
        <v>0</v>
      </c>
      <c r="L111" s="543">
        <v>0</v>
      </c>
      <c r="M111" s="543">
        <v>0</v>
      </c>
      <c r="N111" s="543">
        <v>0</v>
      </c>
      <c r="O111" s="543">
        <v>0</v>
      </c>
      <c r="P111" s="543">
        <v>0</v>
      </c>
      <c r="Q111" s="652">
        <f t="shared" si="22"/>
        <v>0</v>
      </c>
      <c r="R111" s="372"/>
      <c r="S111" s="641"/>
      <c r="T111" s="641"/>
      <c r="U111" s="641"/>
      <c r="V111" s="641"/>
      <c r="W111" s="636"/>
    </row>
    <row r="112" spans="3:23" ht="15.75">
      <c r="C112" s="651" t="s">
        <v>115</v>
      </c>
      <c r="D112" s="543">
        <v>0</v>
      </c>
      <c r="E112" s="543">
        <v>0</v>
      </c>
      <c r="F112" s="543">
        <v>0</v>
      </c>
      <c r="G112" s="543">
        <v>0</v>
      </c>
      <c r="H112" s="543">
        <v>0</v>
      </c>
      <c r="I112" s="543">
        <v>0</v>
      </c>
      <c r="J112" s="543">
        <v>0</v>
      </c>
      <c r="K112" s="543">
        <v>0</v>
      </c>
      <c r="L112" s="543">
        <v>0</v>
      </c>
      <c r="M112" s="543">
        <v>0</v>
      </c>
      <c r="N112" s="543">
        <v>0</v>
      </c>
      <c r="O112" s="543">
        <v>0</v>
      </c>
      <c r="P112" s="543">
        <v>0</v>
      </c>
      <c r="Q112" s="652">
        <f t="shared" si="22"/>
        <v>0</v>
      </c>
      <c r="R112" s="372"/>
      <c r="S112" s="641"/>
      <c r="T112" s="641"/>
      <c r="U112" s="641"/>
      <c r="V112" s="641"/>
      <c r="W112" s="636"/>
    </row>
    <row r="113" spans="3:23" ht="15.75">
      <c r="C113" s="651" t="s">
        <v>220</v>
      </c>
      <c r="D113" s="543">
        <v>0</v>
      </c>
      <c r="E113" s="543">
        <v>0</v>
      </c>
      <c r="F113" s="543">
        <v>0</v>
      </c>
      <c r="G113" s="543">
        <v>0</v>
      </c>
      <c r="H113" s="543">
        <v>0</v>
      </c>
      <c r="I113" s="543">
        <v>0</v>
      </c>
      <c r="J113" s="543">
        <v>0</v>
      </c>
      <c r="K113" s="543">
        <v>0</v>
      </c>
      <c r="L113" s="543"/>
      <c r="M113" s="543"/>
      <c r="N113" s="543"/>
      <c r="O113" s="543"/>
      <c r="P113" s="543"/>
      <c r="Q113" s="652">
        <f t="shared" si="22"/>
        <v>0</v>
      </c>
      <c r="R113" s="372"/>
      <c r="S113" s="641"/>
      <c r="T113" s="641"/>
      <c r="U113" s="641"/>
      <c r="V113" s="641"/>
      <c r="W113" s="636"/>
    </row>
    <row r="114" spans="3:23" ht="15.75">
      <c r="C114" s="651" t="s">
        <v>117</v>
      </c>
      <c r="D114" s="543">
        <v>0</v>
      </c>
      <c r="E114" s="543">
        <v>0</v>
      </c>
      <c r="F114" s="543">
        <v>0</v>
      </c>
      <c r="G114" s="543">
        <v>0</v>
      </c>
      <c r="H114" s="543">
        <v>0</v>
      </c>
      <c r="I114" s="543">
        <v>0</v>
      </c>
      <c r="J114" s="543">
        <v>0</v>
      </c>
      <c r="K114" s="543">
        <v>0</v>
      </c>
      <c r="L114" s="543">
        <v>0</v>
      </c>
      <c r="M114" s="543">
        <v>0</v>
      </c>
      <c r="N114" s="543">
        <v>0</v>
      </c>
      <c r="O114" s="543">
        <v>0</v>
      </c>
      <c r="P114" s="543">
        <v>0</v>
      </c>
      <c r="Q114" s="652">
        <f t="shared" si="22"/>
        <v>0</v>
      </c>
      <c r="R114" s="372"/>
      <c r="S114" s="641"/>
      <c r="T114" s="641"/>
      <c r="U114" s="641"/>
      <c r="V114" s="641"/>
      <c r="W114" s="636"/>
    </row>
    <row r="115" spans="3:23" ht="15.75">
      <c r="C115" s="651" t="s">
        <v>119</v>
      </c>
      <c r="D115" s="543">
        <v>0</v>
      </c>
      <c r="E115" s="543">
        <v>0</v>
      </c>
      <c r="F115" s="543">
        <v>0</v>
      </c>
      <c r="G115" s="543">
        <v>0</v>
      </c>
      <c r="H115" s="543">
        <v>0</v>
      </c>
      <c r="I115" s="543">
        <v>0</v>
      </c>
      <c r="J115" s="543">
        <v>0</v>
      </c>
      <c r="K115" s="543">
        <v>0</v>
      </c>
      <c r="L115" s="543">
        <v>0</v>
      </c>
      <c r="M115" s="543">
        <v>0</v>
      </c>
      <c r="N115" s="543">
        <v>0</v>
      </c>
      <c r="O115" s="543">
        <v>0</v>
      </c>
      <c r="P115" s="543">
        <v>0</v>
      </c>
      <c r="Q115" s="652">
        <f t="shared" si="22"/>
        <v>0</v>
      </c>
      <c r="R115" s="372"/>
      <c r="S115" s="641"/>
      <c r="T115" s="641"/>
      <c r="U115" s="641"/>
      <c r="V115" s="641"/>
      <c r="W115" s="636"/>
    </row>
    <row r="116" spans="3:23" ht="15.75">
      <c r="C116" s="651" t="s">
        <v>288</v>
      </c>
      <c r="D116" s="543">
        <v>0</v>
      </c>
      <c r="E116" s="543">
        <v>0</v>
      </c>
      <c r="F116" s="543">
        <v>0</v>
      </c>
      <c r="G116" s="543">
        <v>0</v>
      </c>
      <c r="H116" s="543">
        <v>0</v>
      </c>
      <c r="I116" s="543">
        <v>0</v>
      </c>
      <c r="J116" s="543">
        <v>0</v>
      </c>
      <c r="K116" s="543">
        <v>0</v>
      </c>
      <c r="L116" s="543">
        <v>0</v>
      </c>
      <c r="M116" s="543">
        <v>0</v>
      </c>
      <c r="N116" s="543">
        <v>0</v>
      </c>
      <c r="O116" s="543">
        <v>0</v>
      </c>
      <c r="P116" s="543">
        <v>0</v>
      </c>
      <c r="Q116" s="652">
        <f t="shared" si="22"/>
        <v>0</v>
      </c>
      <c r="R116" s="372"/>
      <c r="S116" s="641"/>
      <c r="T116" s="641"/>
      <c r="U116" s="641"/>
      <c r="V116" s="641"/>
      <c r="W116" s="636"/>
    </row>
    <row r="117" spans="3:23" ht="15.75">
      <c r="C117" s="651" t="s">
        <v>120</v>
      </c>
      <c r="D117" s="543">
        <v>0</v>
      </c>
      <c r="E117" s="543">
        <v>0</v>
      </c>
      <c r="F117" s="543">
        <v>0</v>
      </c>
      <c r="G117" s="543">
        <v>0</v>
      </c>
      <c r="H117" s="543">
        <v>0</v>
      </c>
      <c r="I117" s="543">
        <v>0</v>
      </c>
      <c r="J117" s="543">
        <v>0</v>
      </c>
      <c r="K117" s="543">
        <v>0</v>
      </c>
      <c r="L117" s="543"/>
      <c r="M117" s="543"/>
      <c r="N117" s="543"/>
      <c r="O117" s="543"/>
      <c r="P117" s="543"/>
      <c r="Q117" s="652">
        <f t="shared" si="22"/>
        <v>0</v>
      </c>
      <c r="R117" s="372"/>
      <c r="S117" s="641"/>
      <c r="T117" s="641"/>
      <c r="U117" s="641"/>
      <c r="V117" s="641"/>
      <c r="W117" s="636"/>
    </row>
    <row r="118" spans="3:23" ht="15.75">
      <c r="C118" s="651" t="s">
        <v>122</v>
      </c>
      <c r="D118" s="543">
        <v>0</v>
      </c>
      <c r="E118" s="543">
        <v>0</v>
      </c>
      <c r="F118" s="543">
        <v>0</v>
      </c>
      <c r="G118" s="543">
        <v>0</v>
      </c>
      <c r="H118" s="543">
        <v>0</v>
      </c>
      <c r="I118" s="543">
        <v>0</v>
      </c>
      <c r="J118" s="543">
        <v>0</v>
      </c>
      <c r="K118" s="543">
        <v>0</v>
      </c>
      <c r="L118" s="543"/>
      <c r="M118" s="543"/>
      <c r="N118" s="543"/>
      <c r="O118" s="543"/>
      <c r="P118" s="543"/>
      <c r="Q118" s="652">
        <f t="shared" si="22"/>
        <v>0</v>
      </c>
      <c r="R118" s="372"/>
      <c r="S118" s="641"/>
      <c r="T118" s="641"/>
      <c r="U118" s="641"/>
      <c r="V118" s="641"/>
      <c r="W118" s="636"/>
    </row>
    <row r="119" spans="3:23" ht="15.75">
      <c r="C119" s="651" t="s">
        <v>302</v>
      </c>
      <c r="D119" s="543">
        <v>0</v>
      </c>
      <c r="E119" s="543">
        <v>0</v>
      </c>
      <c r="F119" s="543">
        <v>0</v>
      </c>
      <c r="G119" s="543">
        <v>0</v>
      </c>
      <c r="H119" s="543">
        <v>0</v>
      </c>
      <c r="I119" s="543">
        <v>0</v>
      </c>
      <c r="J119" s="543">
        <v>0</v>
      </c>
      <c r="K119" s="543">
        <v>0</v>
      </c>
      <c r="L119" s="543"/>
      <c r="M119" s="543"/>
      <c r="N119" s="543"/>
      <c r="O119" s="543"/>
      <c r="P119" s="543"/>
      <c r="Q119" s="652">
        <f t="shared" si="22"/>
        <v>0</v>
      </c>
      <c r="R119" s="372"/>
      <c r="S119" s="641"/>
      <c r="T119" s="641"/>
      <c r="U119" s="641"/>
      <c r="V119" s="641"/>
      <c r="W119" s="636"/>
    </row>
    <row r="120" spans="3:23" ht="15.75">
      <c r="C120" s="651" t="s">
        <v>189</v>
      </c>
      <c r="D120" s="543">
        <v>0</v>
      </c>
      <c r="E120" s="543">
        <v>0</v>
      </c>
      <c r="F120" s="543">
        <v>0</v>
      </c>
      <c r="G120" s="543">
        <v>0</v>
      </c>
      <c r="H120" s="543">
        <v>0</v>
      </c>
      <c r="I120" s="543">
        <v>0</v>
      </c>
      <c r="J120" s="543">
        <v>0</v>
      </c>
      <c r="K120" s="543">
        <v>0</v>
      </c>
      <c r="L120" s="543"/>
      <c r="M120" s="543"/>
      <c r="N120" s="543"/>
      <c r="O120" s="543"/>
      <c r="P120" s="543"/>
      <c r="Q120" s="652">
        <f t="shared" si="22"/>
        <v>0</v>
      </c>
      <c r="R120" s="372"/>
      <c r="S120" s="641"/>
      <c r="T120" s="641"/>
      <c r="U120" s="641"/>
      <c r="V120" s="641"/>
      <c r="W120" s="636"/>
    </row>
    <row r="121" spans="3:23" ht="15.75">
      <c r="C121" s="651" t="s">
        <v>123</v>
      </c>
      <c r="D121" s="543">
        <v>0</v>
      </c>
      <c r="E121" s="543">
        <v>0</v>
      </c>
      <c r="F121" s="543">
        <v>0</v>
      </c>
      <c r="G121" s="543">
        <v>0</v>
      </c>
      <c r="H121" s="543">
        <v>0</v>
      </c>
      <c r="I121" s="543">
        <v>0</v>
      </c>
      <c r="J121" s="543">
        <v>0</v>
      </c>
      <c r="K121" s="543">
        <v>0</v>
      </c>
      <c r="L121" s="543"/>
      <c r="M121" s="543"/>
      <c r="N121" s="543"/>
      <c r="O121" s="543"/>
      <c r="P121" s="543"/>
      <c r="Q121" s="652">
        <f t="shared" si="22"/>
        <v>0</v>
      </c>
      <c r="R121" s="372"/>
      <c r="S121" s="641"/>
      <c r="T121" s="641"/>
      <c r="U121" s="641"/>
      <c r="V121" s="641"/>
      <c r="W121" s="636"/>
    </row>
    <row r="122" spans="3:23" ht="15.75">
      <c r="C122" s="651" t="s">
        <v>125</v>
      </c>
      <c r="D122" s="543">
        <v>0</v>
      </c>
      <c r="E122" s="543">
        <v>0</v>
      </c>
      <c r="F122" s="543">
        <v>0</v>
      </c>
      <c r="G122" s="543">
        <v>0</v>
      </c>
      <c r="H122" s="543">
        <v>0</v>
      </c>
      <c r="I122" s="543">
        <v>0</v>
      </c>
      <c r="J122" s="543">
        <v>0</v>
      </c>
      <c r="K122" s="543">
        <v>0</v>
      </c>
      <c r="L122" s="543"/>
      <c r="M122" s="543"/>
      <c r="N122" s="543"/>
      <c r="O122" s="543"/>
      <c r="P122" s="543"/>
      <c r="Q122" s="652">
        <f t="shared" si="22"/>
        <v>0</v>
      </c>
      <c r="R122" s="372"/>
      <c r="S122" s="641"/>
      <c r="T122" s="641"/>
      <c r="U122" s="641"/>
      <c r="V122" s="641"/>
      <c r="W122" s="636"/>
    </row>
    <row r="123" spans="3:23" ht="15.75">
      <c r="C123" s="651" t="s">
        <v>127</v>
      </c>
      <c r="D123" s="543">
        <v>0</v>
      </c>
      <c r="E123" s="543">
        <v>0</v>
      </c>
      <c r="F123" s="543">
        <v>0</v>
      </c>
      <c r="G123" s="543">
        <v>0</v>
      </c>
      <c r="H123" s="543">
        <v>0</v>
      </c>
      <c r="I123" s="543">
        <v>0</v>
      </c>
      <c r="J123" s="543">
        <v>0</v>
      </c>
      <c r="K123" s="543">
        <v>0</v>
      </c>
      <c r="L123" s="543">
        <v>0</v>
      </c>
      <c r="M123" s="543">
        <v>0</v>
      </c>
      <c r="N123" s="543">
        <v>0</v>
      </c>
      <c r="O123" s="543">
        <v>0</v>
      </c>
      <c r="P123" s="543">
        <v>0</v>
      </c>
      <c r="Q123" s="652">
        <f t="shared" si="22"/>
        <v>0</v>
      </c>
      <c r="R123" s="372"/>
      <c r="S123" s="641"/>
      <c r="T123" s="641"/>
      <c r="U123" s="641"/>
      <c r="V123" s="641"/>
      <c r="W123" s="636"/>
    </row>
    <row r="124" spans="3:23" ht="15.75">
      <c r="C124" s="651" t="s">
        <v>129</v>
      </c>
      <c r="D124" s="543">
        <v>0</v>
      </c>
      <c r="E124" s="543">
        <v>0</v>
      </c>
      <c r="F124" s="543">
        <v>0</v>
      </c>
      <c r="G124" s="543">
        <v>0</v>
      </c>
      <c r="H124" s="543">
        <v>0</v>
      </c>
      <c r="I124" s="543">
        <v>0</v>
      </c>
      <c r="J124" s="543">
        <v>0</v>
      </c>
      <c r="K124" s="543">
        <v>0</v>
      </c>
      <c r="L124" s="543">
        <v>0</v>
      </c>
      <c r="M124" s="543">
        <v>0</v>
      </c>
      <c r="N124" s="543">
        <v>0</v>
      </c>
      <c r="O124" s="543">
        <v>0</v>
      </c>
      <c r="P124" s="543">
        <v>0</v>
      </c>
      <c r="Q124" s="652">
        <f t="shared" si="22"/>
        <v>0</v>
      </c>
      <c r="R124" s="372"/>
      <c r="S124" s="641"/>
      <c r="T124" s="641"/>
      <c r="U124" s="641"/>
      <c r="V124" s="641"/>
      <c r="W124" s="636"/>
    </row>
    <row r="125" spans="3:23" ht="15.75">
      <c r="C125" s="651" t="s">
        <v>342</v>
      </c>
      <c r="D125" s="543">
        <v>0</v>
      </c>
      <c r="E125" s="543">
        <v>0</v>
      </c>
      <c r="F125" s="543">
        <v>0</v>
      </c>
      <c r="G125" s="543">
        <v>0</v>
      </c>
      <c r="H125" s="543">
        <v>0</v>
      </c>
      <c r="I125" s="543">
        <v>0</v>
      </c>
      <c r="J125" s="543">
        <v>0</v>
      </c>
      <c r="K125" s="543">
        <v>0</v>
      </c>
      <c r="L125" s="543"/>
      <c r="M125" s="543"/>
      <c r="N125" s="543"/>
      <c r="O125" s="543"/>
      <c r="P125" s="543"/>
      <c r="Q125" s="652">
        <f t="shared" si="22"/>
        <v>0</v>
      </c>
      <c r="R125" s="372"/>
      <c r="S125" s="641"/>
      <c r="T125" s="641"/>
      <c r="U125" s="641"/>
      <c r="V125" s="641"/>
      <c r="W125" s="636"/>
    </row>
    <row r="126" spans="3:23" ht="15.75">
      <c r="C126" s="372"/>
      <c r="D126" s="542">
        <f>SUM(D108:D125)</f>
        <v>0</v>
      </c>
      <c r="E126" s="542">
        <f t="shared" ref="E126:Q126" si="23">SUM(E108:E125)</f>
        <v>0</v>
      </c>
      <c r="F126" s="542">
        <f t="shared" si="23"/>
        <v>0</v>
      </c>
      <c r="G126" s="542">
        <f t="shared" si="23"/>
        <v>0</v>
      </c>
      <c r="H126" s="542">
        <f t="shared" si="23"/>
        <v>0</v>
      </c>
      <c r="I126" s="542">
        <f t="shared" si="23"/>
        <v>0</v>
      </c>
      <c r="J126" s="542">
        <f t="shared" si="23"/>
        <v>0</v>
      </c>
      <c r="K126" s="542">
        <f t="shared" si="23"/>
        <v>0</v>
      </c>
      <c r="L126" s="542">
        <f t="shared" si="23"/>
        <v>0</v>
      </c>
      <c r="M126" s="542">
        <f t="shared" si="23"/>
        <v>0</v>
      </c>
      <c r="N126" s="542">
        <f t="shared" si="23"/>
        <v>0</v>
      </c>
      <c r="O126" s="542">
        <f t="shared" si="23"/>
        <v>0</v>
      </c>
      <c r="P126" s="542">
        <f t="shared" si="23"/>
        <v>0</v>
      </c>
      <c r="Q126" s="542">
        <f t="shared" si="23"/>
        <v>0</v>
      </c>
      <c r="R126" s="372"/>
      <c r="S126" s="641"/>
      <c r="T126" s="641"/>
      <c r="U126" s="641"/>
      <c r="V126" s="641"/>
      <c r="W126" s="636"/>
    </row>
    <row r="127" spans="3:23" ht="15.75">
      <c r="C127" s="372"/>
      <c r="D127" s="655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497">
        <v>0</v>
      </c>
      <c r="R127" s="372" t="s">
        <v>729</v>
      </c>
      <c r="S127" s="641"/>
      <c r="T127" s="641"/>
      <c r="U127" s="641"/>
      <c r="V127" s="641"/>
      <c r="W127" s="636"/>
    </row>
    <row r="128" spans="3:23" ht="15.75">
      <c r="C128" s="372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544">
        <v>0</v>
      </c>
      <c r="R128" s="372" t="s">
        <v>730</v>
      </c>
      <c r="S128" s="641"/>
      <c r="T128" s="641"/>
      <c r="U128" s="641"/>
      <c r="V128" s="641"/>
      <c r="W128" s="636"/>
    </row>
    <row r="129" spans="3:23">
      <c r="C129" s="372"/>
      <c r="D129" s="372"/>
      <c r="E129" s="372"/>
      <c r="F129" s="372"/>
      <c r="G129" s="372"/>
      <c r="H129" s="372"/>
      <c r="I129" s="372"/>
      <c r="J129" s="372"/>
      <c r="K129" s="372"/>
      <c r="L129" s="372"/>
      <c r="M129" s="372"/>
      <c r="N129" s="372"/>
      <c r="O129" s="372"/>
      <c r="P129" s="372"/>
      <c r="Q129" s="545"/>
      <c r="R129" s="372"/>
      <c r="S129" s="641"/>
      <c r="T129" s="641"/>
      <c r="U129" s="641"/>
      <c r="V129" s="641"/>
      <c r="W129" s="636"/>
    </row>
    <row r="130" spans="3:23">
      <c r="C130" s="372"/>
      <c r="D130" s="372"/>
      <c r="E130" s="372"/>
      <c r="F130" s="372"/>
      <c r="G130" s="372"/>
      <c r="H130" s="372"/>
      <c r="I130" s="372"/>
      <c r="J130" s="372"/>
      <c r="K130" s="372"/>
      <c r="L130" s="372"/>
      <c r="M130" s="372"/>
      <c r="N130" s="372"/>
      <c r="O130" s="372"/>
      <c r="P130" s="372"/>
      <c r="Q130" s="545"/>
      <c r="R130" s="372"/>
      <c r="S130" s="641"/>
      <c r="T130" s="641"/>
      <c r="U130" s="641"/>
      <c r="V130" s="641"/>
      <c r="W130" s="636"/>
    </row>
    <row r="131" spans="3:23" ht="15.75">
      <c r="C131" s="645" t="s">
        <v>731</v>
      </c>
      <c r="D131" s="537"/>
      <c r="E131" s="538"/>
      <c r="F131" s="538"/>
      <c r="G131" s="538"/>
      <c r="H131" s="538"/>
      <c r="I131" s="538"/>
      <c r="J131" s="538"/>
      <c r="K131" s="538"/>
      <c r="L131" s="537"/>
      <c r="M131" s="537"/>
      <c r="N131" s="539"/>
      <c r="O131" s="540"/>
      <c r="P131" s="539"/>
      <c r="Q131" s="541"/>
      <c r="R131" s="372"/>
      <c r="S131" s="641"/>
      <c r="T131" s="641"/>
      <c r="U131" s="641"/>
      <c r="V131" s="641"/>
      <c r="W131" s="636"/>
    </row>
    <row r="132" spans="3:23" ht="23.25">
      <c r="C132" s="372"/>
      <c r="D132" s="646" t="s">
        <v>733</v>
      </c>
      <c r="E132" s="646"/>
      <c r="F132" s="646"/>
      <c r="G132" s="646"/>
      <c r="H132" s="646"/>
      <c r="I132" s="646"/>
      <c r="J132" s="646"/>
      <c r="K132" s="646"/>
      <c r="L132" s="646"/>
      <c r="M132" s="646"/>
      <c r="N132" s="646"/>
      <c r="O132" s="646"/>
      <c r="P132" s="646"/>
      <c r="Q132" s="646"/>
      <c r="R132" s="372"/>
      <c r="S132" s="641"/>
      <c r="T132" s="641"/>
      <c r="U132" s="641"/>
      <c r="V132" s="641"/>
      <c r="W132" s="636"/>
    </row>
    <row r="133" spans="3:23" ht="15.75">
      <c r="C133" s="647" t="s">
        <v>106</v>
      </c>
      <c r="D133" s="648" t="s">
        <v>727</v>
      </c>
      <c r="E133" s="649">
        <v>44197</v>
      </c>
      <c r="F133" s="649">
        <v>44228</v>
      </c>
      <c r="G133" s="649">
        <v>44256</v>
      </c>
      <c r="H133" s="649">
        <v>44287</v>
      </c>
      <c r="I133" s="649">
        <v>44317</v>
      </c>
      <c r="J133" s="649">
        <v>44348</v>
      </c>
      <c r="K133" s="649">
        <v>44378</v>
      </c>
      <c r="L133" s="649">
        <v>44409</v>
      </c>
      <c r="M133" s="649">
        <v>44440</v>
      </c>
      <c r="N133" s="649">
        <v>44470</v>
      </c>
      <c r="O133" s="649">
        <v>44501</v>
      </c>
      <c r="P133" s="649">
        <v>44531</v>
      </c>
      <c r="Q133" s="650" t="s">
        <v>728</v>
      </c>
      <c r="R133" s="643"/>
      <c r="S133" s="641"/>
      <c r="T133" s="641"/>
      <c r="U133" s="641"/>
      <c r="V133" s="641"/>
      <c r="W133" s="636"/>
    </row>
    <row r="134" spans="3:23" ht="15.75">
      <c r="C134" s="651" t="s">
        <v>681</v>
      </c>
      <c r="D134" s="543">
        <v>0</v>
      </c>
      <c r="E134" s="543">
        <v>0</v>
      </c>
      <c r="F134" s="543">
        <v>0</v>
      </c>
      <c r="G134" s="543">
        <v>0</v>
      </c>
      <c r="H134" s="543">
        <v>0</v>
      </c>
      <c r="I134" s="543">
        <v>0</v>
      </c>
      <c r="J134" s="543">
        <v>0</v>
      </c>
      <c r="K134" s="543">
        <v>0</v>
      </c>
      <c r="L134" s="543"/>
      <c r="M134" s="543"/>
      <c r="N134" s="543"/>
      <c r="O134" s="543"/>
      <c r="P134" s="543"/>
      <c r="Q134" s="652">
        <f t="shared" ref="Q134:Q139" si="24">SUM(E134:P134)</f>
        <v>0</v>
      </c>
      <c r="R134" s="372"/>
      <c r="S134" s="641"/>
      <c r="T134" s="641"/>
      <c r="U134" s="641"/>
      <c r="V134" s="641"/>
      <c r="W134" s="636"/>
    </row>
    <row r="135" spans="3:23" ht="15.75">
      <c r="C135" s="651" t="s">
        <v>316</v>
      </c>
      <c r="D135" s="543">
        <v>0</v>
      </c>
      <c r="E135" s="543">
        <v>0</v>
      </c>
      <c r="F135" s="543">
        <v>0</v>
      </c>
      <c r="G135" s="543">
        <v>0</v>
      </c>
      <c r="H135" s="543">
        <v>0</v>
      </c>
      <c r="I135" s="543">
        <v>0</v>
      </c>
      <c r="J135" s="543">
        <v>0</v>
      </c>
      <c r="K135" s="543">
        <v>0</v>
      </c>
      <c r="L135" s="543"/>
      <c r="M135" s="543"/>
      <c r="N135" s="543"/>
      <c r="O135" s="543"/>
      <c r="P135" s="543"/>
      <c r="Q135" s="652">
        <f t="shared" si="24"/>
        <v>0</v>
      </c>
      <c r="R135" s="372"/>
      <c r="S135" s="641"/>
      <c r="T135" s="641"/>
      <c r="U135" s="641"/>
      <c r="V135" s="641"/>
      <c r="W135" s="636"/>
    </row>
    <row r="136" spans="3:23" ht="15.75">
      <c r="C136" s="651" t="s">
        <v>442</v>
      </c>
      <c r="D136" s="543">
        <v>0</v>
      </c>
      <c r="E136" s="543">
        <v>0</v>
      </c>
      <c r="F136" s="543">
        <v>0</v>
      </c>
      <c r="G136" s="543">
        <v>0</v>
      </c>
      <c r="H136" s="543">
        <v>0</v>
      </c>
      <c r="I136" s="543">
        <v>0</v>
      </c>
      <c r="J136" s="543">
        <v>0</v>
      </c>
      <c r="K136" s="543">
        <v>0</v>
      </c>
      <c r="L136" s="543"/>
      <c r="M136" s="543"/>
      <c r="N136" s="543"/>
      <c r="O136" s="543"/>
      <c r="P136" s="543"/>
      <c r="Q136" s="652">
        <f t="shared" si="24"/>
        <v>0</v>
      </c>
      <c r="R136" s="372"/>
      <c r="S136" s="641"/>
      <c r="T136" s="641"/>
      <c r="U136" s="641"/>
      <c r="V136" s="641"/>
      <c r="W136" s="636"/>
    </row>
    <row r="137" spans="3:23" ht="15.75">
      <c r="C137" s="651" t="s">
        <v>310</v>
      </c>
      <c r="D137" s="543">
        <v>17584917.949999999</v>
      </c>
      <c r="E137" s="543">
        <v>2486898.46</v>
      </c>
      <c r="F137" s="543">
        <v>1333073.3799999999</v>
      </c>
      <c r="G137" s="543">
        <v>2014853.9</v>
      </c>
      <c r="H137" s="543">
        <v>2562410.9500000002</v>
      </c>
      <c r="I137" s="543">
        <v>1155430.01</v>
      </c>
      <c r="J137" s="543">
        <v>1000173.07</v>
      </c>
      <c r="K137" s="543">
        <v>0</v>
      </c>
      <c r="L137" s="543"/>
      <c r="M137" s="543"/>
      <c r="N137" s="543"/>
      <c r="O137" s="543"/>
      <c r="P137" s="543"/>
      <c r="Q137" s="652">
        <f t="shared" si="24"/>
        <v>10552839.770000001</v>
      </c>
      <c r="R137" s="372"/>
      <c r="S137" s="641"/>
      <c r="T137" s="641"/>
      <c r="U137" s="641"/>
      <c r="V137" s="641"/>
      <c r="W137" s="636"/>
    </row>
    <row r="138" spans="3:23" ht="15.75">
      <c r="C138" s="651" t="s">
        <v>312</v>
      </c>
      <c r="D138" s="543">
        <v>0</v>
      </c>
      <c r="E138" s="543">
        <v>0</v>
      </c>
      <c r="F138" s="543">
        <v>0</v>
      </c>
      <c r="G138" s="543">
        <v>0</v>
      </c>
      <c r="H138" s="543">
        <v>0</v>
      </c>
      <c r="I138" s="543">
        <v>0</v>
      </c>
      <c r="J138" s="543"/>
      <c r="K138" s="543">
        <v>0</v>
      </c>
      <c r="L138" s="543"/>
      <c r="M138" s="543"/>
      <c r="N138" s="543"/>
      <c r="O138" s="543"/>
      <c r="P138" s="543"/>
      <c r="Q138" s="652">
        <f t="shared" si="24"/>
        <v>0</v>
      </c>
      <c r="R138" s="372"/>
      <c r="S138" s="641"/>
      <c r="T138" s="641"/>
      <c r="U138" s="641"/>
      <c r="V138" s="641"/>
      <c r="W138" s="636"/>
    </row>
    <row r="139" spans="3:23" ht="15.75">
      <c r="C139" s="651" t="s">
        <v>314</v>
      </c>
      <c r="D139" s="543">
        <v>0</v>
      </c>
      <c r="E139" s="543">
        <v>0</v>
      </c>
      <c r="F139" s="543">
        <v>0</v>
      </c>
      <c r="G139" s="543">
        <v>0</v>
      </c>
      <c r="H139" s="543">
        <v>0</v>
      </c>
      <c r="I139" s="543">
        <v>0</v>
      </c>
      <c r="J139" s="543"/>
      <c r="K139" s="543">
        <v>0</v>
      </c>
      <c r="L139" s="543"/>
      <c r="M139" s="543"/>
      <c r="N139" s="543"/>
      <c r="O139" s="543"/>
      <c r="P139" s="543"/>
      <c r="Q139" s="652">
        <f t="shared" si="24"/>
        <v>0</v>
      </c>
      <c r="R139" s="372"/>
      <c r="S139" s="641"/>
      <c r="T139" s="641"/>
      <c r="U139" s="641"/>
      <c r="V139" s="641"/>
      <c r="W139" s="636"/>
    </row>
    <row r="140" spans="3:23" ht="15.75">
      <c r="C140" s="372"/>
      <c r="D140" s="546">
        <f>SUM(D134:D139)</f>
        <v>17584917.949999999</v>
      </c>
      <c r="E140" s="546">
        <f t="shared" ref="E140:Q140" si="25">SUM(E134:E139)</f>
        <v>2486898.46</v>
      </c>
      <c r="F140" s="546">
        <f t="shared" si="25"/>
        <v>1333073.3799999999</v>
      </c>
      <c r="G140" s="546">
        <f t="shared" si="25"/>
        <v>2014853.9</v>
      </c>
      <c r="H140" s="546">
        <f t="shared" si="25"/>
        <v>2562410.9500000002</v>
      </c>
      <c r="I140" s="546">
        <f t="shared" si="25"/>
        <v>1155430.01</v>
      </c>
      <c r="J140" s="546">
        <f t="shared" si="25"/>
        <v>1000173.07</v>
      </c>
      <c r="K140" s="546">
        <f t="shared" si="25"/>
        <v>0</v>
      </c>
      <c r="L140" s="546">
        <f t="shared" si="25"/>
        <v>0</v>
      </c>
      <c r="M140" s="546">
        <f t="shared" si="25"/>
        <v>0</v>
      </c>
      <c r="N140" s="546">
        <f t="shared" si="25"/>
        <v>0</v>
      </c>
      <c r="O140" s="546">
        <f t="shared" si="25"/>
        <v>0</v>
      </c>
      <c r="P140" s="546">
        <f t="shared" si="25"/>
        <v>0</v>
      </c>
      <c r="Q140" s="546">
        <f t="shared" si="25"/>
        <v>10552839.770000001</v>
      </c>
      <c r="R140" s="372"/>
      <c r="S140" s="641"/>
      <c r="T140" s="641"/>
      <c r="U140" s="641"/>
      <c r="V140" s="641"/>
      <c r="W140" s="636"/>
    </row>
    <row r="141" spans="3:23">
      <c r="C141" s="641"/>
      <c r="D141" s="641"/>
      <c r="E141" s="641"/>
      <c r="F141" s="641"/>
      <c r="G141" s="641"/>
      <c r="H141" s="641"/>
      <c r="I141" s="641"/>
      <c r="J141" s="641"/>
      <c r="K141" s="641"/>
      <c r="L141" s="641"/>
      <c r="M141" s="641"/>
      <c r="N141" s="641"/>
      <c r="O141" s="641"/>
      <c r="P141" s="641"/>
      <c r="Q141" s="641"/>
      <c r="R141" s="641"/>
      <c r="S141" s="641"/>
      <c r="T141" s="641"/>
      <c r="U141" s="641"/>
      <c r="V141" s="641"/>
      <c r="W141" s="636"/>
    </row>
    <row r="142" spans="3:23" ht="15.75">
      <c r="C142" s="642" t="s">
        <v>724</v>
      </c>
      <c r="D142" s="642"/>
      <c r="E142" s="642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2"/>
      <c r="Q142" s="642"/>
      <c r="R142" s="641"/>
      <c r="S142" s="641"/>
      <c r="T142" s="641"/>
      <c r="U142" s="641"/>
      <c r="V142" s="641"/>
      <c r="W142" s="636"/>
    </row>
    <row r="143" spans="3:23" ht="15.75">
      <c r="C143" s="642" t="s">
        <v>734</v>
      </c>
      <c r="D143" s="642"/>
      <c r="E143" s="642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1"/>
      <c r="S143" s="641"/>
      <c r="T143" s="641"/>
      <c r="U143" s="641"/>
      <c r="V143" s="641"/>
      <c r="W143" s="636"/>
    </row>
    <row r="144" spans="3:23">
      <c r="C144" s="643"/>
      <c r="D144" s="643"/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43"/>
      <c r="R144" s="641"/>
      <c r="S144" s="641"/>
      <c r="T144" s="641"/>
      <c r="U144" s="641"/>
      <c r="V144" s="641"/>
      <c r="W144" s="636"/>
    </row>
    <row r="145" spans="3:23">
      <c r="C145" s="643"/>
      <c r="D145" s="643"/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43"/>
      <c r="R145" s="641"/>
      <c r="S145" s="641"/>
      <c r="T145" s="641"/>
      <c r="U145" s="641"/>
      <c r="V145" s="641"/>
      <c r="W145" s="636"/>
    </row>
    <row r="146" spans="3:23" ht="23.25">
      <c r="C146" s="372"/>
      <c r="D146" s="646">
        <v>238020</v>
      </c>
      <c r="E146" s="646"/>
      <c r="F146" s="646"/>
      <c r="G146" s="646"/>
      <c r="H146" s="646"/>
      <c r="I146" s="646"/>
      <c r="J146" s="646"/>
      <c r="K146" s="646"/>
      <c r="L146" s="646"/>
      <c r="M146" s="646"/>
      <c r="N146" s="646"/>
      <c r="O146" s="646"/>
      <c r="P146" s="646"/>
      <c r="Q146" s="646"/>
      <c r="R146" s="641"/>
      <c r="S146" s="641"/>
      <c r="T146" s="641"/>
      <c r="U146" s="641"/>
      <c r="V146" s="641"/>
      <c r="W146" s="636"/>
    </row>
    <row r="147" spans="3:23" ht="15.75">
      <c r="C147" s="645" t="s">
        <v>726</v>
      </c>
      <c r="D147" s="504"/>
      <c r="E147" s="501"/>
      <c r="F147" s="501"/>
      <c r="G147" s="501"/>
      <c r="H147" s="501"/>
      <c r="I147" s="501"/>
      <c r="J147" s="501"/>
      <c r="K147" s="501"/>
      <c r="L147" s="504"/>
      <c r="M147" s="504"/>
      <c r="N147" s="547"/>
      <c r="O147" s="543"/>
      <c r="P147" s="547"/>
      <c r="Q147" s="548"/>
      <c r="R147" s="641"/>
      <c r="S147" s="641"/>
      <c r="T147" s="641"/>
      <c r="U147" s="641"/>
      <c r="V147" s="641"/>
      <c r="W147" s="636"/>
    </row>
    <row r="148" spans="3:23" ht="15.75">
      <c r="C148" s="647" t="s">
        <v>106</v>
      </c>
      <c r="D148" s="648" t="s">
        <v>727</v>
      </c>
      <c r="E148" s="649">
        <v>44197</v>
      </c>
      <c r="F148" s="649">
        <v>44228</v>
      </c>
      <c r="G148" s="649">
        <v>44256</v>
      </c>
      <c r="H148" s="649">
        <v>44287</v>
      </c>
      <c r="I148" s="649">
        <v>44317</v>
      </c>
      <c r="J148" s="649">
        <v>44348</v>
      </c>
      <c r="K148" s="649">
        <v>44378</v>
      </c>
      <c r="L148" s="649">
        <v>44409</v>
      </c>
      <c r="M148" s="649">
        <v>44440</v>
      </c>
      <c r="N148" s="649">
        <v>44470</v>
      </c>
      <c r="O148" s="649">
        <v>44501</v>
      </c>
      <c r="P148" s="649">
        <v>44531</v>
      </c>
      <c r="Q148" s="650" t="s">
        <v>728</v>
      </c>
      <c r="R148" s="641"/>
      <c r="S148" s="641"/>
      <c r="T148" s="641"/>
      <c r="U148" s="641"/>
      <c r="V148" s="641"/>
      <c r="W148" s="636"/>
    </row>
    <row r="149" spans="3:23" ht="15.75">
      <c r="C149" s="651">
        <v>414000001</v>
      </c>
      <c r="D149" s="543">
        <v>3493644.15</v>
      </c>
      <c r="E149" s="543">
        <v>0</v>
      </c>
      <c r="F149" s="543">
        <v>0</v>
      </c>
      <c r="G149" s="543">
        <v>0</v>
      </c>
      <c r="H149" s="543">
        <v>0</v>
      </c>
      <c r="I149" s="543">
        <v>0</v>
      </c>
      <c r="J149" s="543">
        <v>0</v>
      </c>
      <c r="K149" s="543">
        <v>0</v>
      </c>
      <c r="L149" s="543"/>
      <c r="M149" s="543"/>
      <c r="N149" s="543"/>
      <c r="O149" s="543"/>
      <c r="P149" s="543"/>
      <c r="Q149" s="652">
        <f t="shared" ref="Q149:Q161" si="26">SUM(E149:P149)</f>
        <v>0</v>
      </c>
      <c r="R149" s="641"/>
      <c r="S149" s="641"/>
      <c r="T149" s="641"/>
      <c r="U149" s="641"/>
      <c r="V149" s="641"/>
      <c r="W149" s="636"/>
    </row>
    <row r="150" spans="3:23" ht="15.75">
      <c r="C150" s="651">
        <v>414000002</v>
      </c>
      <c r="D150" s="543">
        <v>4282244.46</v>
      </c>
      <c r="E150" s="543">
        <v>371519.62</v>
      </c>
      <c r="F150" s="543">
        <v>213477.75</v>
      </c>
      <c r="G150" s="543">
        <v>369156.64</v>
      </c>
      <c r="H150" s="543">
        <v>243144.77</v>
      </c>
      <c r="I150" s="543">
        <v>172816.67</v>
      </c>
      <c r="J150" s="543">
        <v>195975.6</v>
      </c>
      <c r="K150" s="543">
        <v>0</v>
      </c>
      <c r="L150" s="543"/>
      <c r="M150" s="543"/>
      <c r="N150" s="543"/>
      <c r="O150" s="543"/>
      <c r="P150" s="543"/>
      <c r="Q150" s="652">
        <f t="shared" si="26"/>
        <v>1566091.05</v>
      </c>
      <c r="R150" s="641"/>
      <c r="S150" s="641"/>
      <c r="T150" s="641"/>
      <c r="U150" s="641"/>
      <c r="V150" s="641"/>
      <c r="W150" s="636"/>
    </row>
    <row r="151" spans="3:23" ht="15.75">
      <c r="C151" s="611" t="s">
        <v>113</v>
      </c>
      <c r="D151" s="543">
        <v>0</v>
      </c>
      <c r="E151" s="543">
        <v>0</v>
      </c>
      <c r="F151" s="543">
        <v>0</v>
      </c>
      <c r="G151" s="543">
        <v>0</v>
      </c>
      <c r="H151" s="543">
        <v>0</v>
      </c>
      <c r="I151" s="543">
        <v>0</v>
      </c>
      <c r="J151" s="543">
        <v>0</v>
      </c>
      <c r="K151" s="543">
        <v>1344.61</v>
      </c>
      <c r="L151" s="543">
        <v>1164.17</v>
      </c>
      <c r="M151" s="543">
        <v>0</v>
      </c>
      <c r="N151" s="543">
        <v>0</v>
      </c>
      <c r="O151" s="543">
        <v>0</v>
      </c>
      <c r="P151" s="543">
        <v>0</v>
      </c>
      <c r="Q151" s="652">
        <f t="shared" si="26"/>
        <v>2508.7799999999997</v>
      </c>
      <c r="R151" s="641"/>
      <c r="S151" s="641"/>
      <c r="T151" s="641"/>
      <c r="U151" s="641"/>
      <c r="V151" s="641"/>
      <c r="W151" s="636"/>
    </row>
    <row r="152" spans="3:23" ht="15.75">
      <c r="C152" s="651" t="s">
        <v>115</v>
      </c>
      <c r="D152" s="543">
        <v>2263.0500000000002</v>
      </c>
      <c r="E152" s="543">
        <v>0</v>
      </c>
      <c r="F152" s="543">
        <v>0</v>
      </c>
      <c r="G152" s="543">
        <v>0</v>
      </c>
      <c r="H152" s="543">
        <v>0</v>
      </c>
      <c r="I152" s="543">
        <v>0</v>
      </c>
      <c r="J152" s="543">
        <v>0</v>
      </c>
      <c r="K152" s="543">
        <v>0</v>
      </c>
      <c r="L152" s="543">
        <v>0</v>
      </c>
      <c r="M152" s="543">
        <v>0</v>
      </c>
      <c r="N152" s="543">
        <v>0</v>
      </c>
      <c r="O152" s="543">
        <v>0</v>
      </c>
      <c r="P152" s="543">
        <v>0</v>
      </c>
      <c r="Q152" s="652">
        <f t="shared" si="26"/>
        <v>0</v>
      </c>
      <c r="R152" s="641"/>
      <c r="S152" s="641"/>
      <c r="T152" s="641"/>
      <c r="U152" s="641"/>
      <c r="V152" s="641"/>
      <c r="W152" s="636"/>
    </row>
    <row r="153" spans="3:23" ht="15.75">
      <c r="C153" s="651" t="s">
        <v>119</v>
      </c>
      <c r="D153" s="549">
        <v>0</v>
      </c>
      <c r="E153" s="549">
        <v>0</v>
      </c>
      <c r="F153" s="549">
        <v>0</v>
      </c>
      <c r="G153" s="549">
        <v>0</v>
      </c>
      <c r="H153" s="549">
        <v>0</v>
      </c>
      <c r="I153" s="549">
        <v>0</v>
      </c>
      <c r="J153" s="549">
        <v>0</v>
      </c>
      <c r="K153" s="549">
        <v>0</v>
      </c>
      <c r="L153" s="549">
        <v>0</v>
      </c>
      <c r="M153" s="549">
        <v>1630.37</v>
      </c>
      <c r="N153" s="549">
        <v>0</v>
      </c>
      <c r="O153" s="549">
        <v>0</v>
      </c>
      <c r="P153" s="549">
        <v>0</v>
      </c>
      <c r="Q153" s="652">
        <f t="shared" si="26"/>
        <v>1630.37</v>
      </c>
      <c r="R153" s="641"/>
      <c r="S153" s="641"/>
      <c r="T153" s="641"/>
      <c r="U153" s="641"/>
      <c r="V153" s="641"/>
      <c r="W153" s="636"/>
    </row>
    <row r="154" spans="3:23" ht="15.75">
      <c r="C154" s="611" t="s">
        <v>220</v>
      </c>
      <c r="D154" s="543">
        <v>1092073.47</v>
      </c>
      <c r="E154" s="543">
        <v>0</v>
      </c>
      <c r="F154" s="543">
        <v>0</v>
      </c>
      <c r="G154" s="543">
        <v>0</v>
      </c>
      <c r="H154" s="543">
        <v>0</v>
      </c>
      <c r="I154" s="543">
        <v>0</v>
      </c>
      <c r="J154" s="543">
        <v>0</v>
      </c>
      <c r="K154" s="543">
        <v>0</v>
      </c>
      <c r="L154" s="543"/>
      <c r="M154" s="543"/>
      <c r="N154" s="543"/>
      <c r="O154" s="543"/>
      <c r="P154" s="543"/>
      <c r="Q154" s="652">
        <f t="shared" si="26"/>
        <v>0</v>
      </c>
      <c r="R154" s="641"/>
      <c r="S154" s="641"/>
      <c r="T154" s="641"/>
      <c r="U154" s="641"/>
      <c r="V154" s="641"/>
      <c r="W154" s="636"/>
    </row>
    <row r="155" spans="3:23" ht="15.75">
      <c r="C155" s="611" t="s">
        <v>120</v>
      </c>
      <c r="D155" s="543">
        <v>787396.15999999992</v>
      </c>
      <c r="E155" s="543">
        <v>0</v>
      </c>
      <c r="F155" s="543">
        <v>0</v>
      </c>
      <c r="G155" s="543">
        <v>0</v>
      </c>
      <c r="H155" s="543">
        <v>0</v>
      </c>
      <c r="I155" s="543">
        <v>0</v>
      </c>
      <c r="J155" s="543">
        <v>0</v>
      </c>
      <c r="K155" s="543">
        <v>0</v>
      </c>
      <c r="L155" s="543"/>
      <c r="M155" s="543"/>
      <c r="N155" s="543"/>
      <c r="O155" s="543"/>
      <c r="P155" s="543"/>
      <c r="Q155" s="652">
        <f t="shared" si="26"/>
        <v>0</v>
      </c>
      <c r="R155" s="641"/>
      <c r="S155" s="641"/>
      <c r="T155" s="641"/>
      <c r="U155" s="641"/>
      <c r="V155" s="641"/>
      <c r="W155" s="636"/>
    </row>
    <row r="156" spans="3:23" ht="15.75">
      <c r="C156" s="611" t="s">
        <v>123</v>
      </c>
      <c r="D156" s="543">
        <v>687555.66</v>
      </c>
      <c r="E156" s="543">
        <v>0</v>
      </c>
      <c r="F156" s="543">
        <v>0</v>
      </c>
      <c r="G156" s="543">
        <v>0</v>
      </c>
      <c r="H156" s="543">
        <v>0</v>
      </c>
      <c r="I156" s="543">
        <v>0</v>
      </c>
      <c r="J156" s="543">
        <v>0</v>
      </c>
      <c r="K156" s="543">
        <v>0</v>
      </c>
      <c r="L156" s="543"/>
      <c r="M156" s="543"/>
      <c r="N156" s="543"/>
      <c r="O156" s="543"/>
      <c r="P156" s="543"/>
      <c r="Q156" s="652">
        <f t="shared" si="26"/>
        <v>0</v>
      </c>
      <c r="R156" s="641"/>
      <c r="S156" s="641"/>
      <c r="T156" s="641"/>
      <c r="U156" s="641"/>
      <c r="V156" s="641"/>
      <c r="W156" s="636"/>
    </row>
    <row r="157" spans="3:23" ht="15.75">
      <c r="C157" s="611" t="s">
        <v>125</v>
      </c>
      <c r="D157" s="543">
        <v>182347.03000000003</v>
      </c>
      <c r="E157" s="543">
        <v>0</v>
      </c>
      <c r="F157" s="543">
        <v>0</v>
      </c>
      <c r="G157" s="543">
        <v>0</v>
      </c>
      <c r="H157" s="543">
        <v>0</v>
      </c>
      <c r="I157" s="543">
        <v>0</v>
      </c>
      <c r="J157" s="543">
        <v>0</v>
      </c>
      <c r="K157" s="543">
        <v>0</v>
      </c>
      <c r="L157" s="543"/>
      <c r="M157" s="543"/>
      <c r="N157" s="543"/>
      <c r="O157" s="543"/>
      <c r="P157" s="543"/>
      <c r="Q157" s="652">
        <f t="shared" si="26"/>
        <v>0</v>
      </c>
      <c r="R157" s="641"/>
      <c r="S157" s="641"/>
      <c r="T157" s="641"/>
      <c r="U157" s="641"/>
      <c r="V157" s="641"/>
      <c r="W157" s="636"/>
    </row>
    <row r="158" spans="3:23" ht="15.75">
      <c r="C158" s="611" t="s">
        <v>127</v>
      </c>
      <c r="D158" s="543">
        <v>1289423.4700000002</v>
      </c>
      <c r="E158" s="543">
        <v>8201.0499999999993</v>
      </c>
      <c r="F158" s="652">
        <v>37536.910000000003</v>
      </c>
      <c r="G158" s="652">
        <v>16599.73</v>
      </c>
      <c r="H158" s="652">
        <v>29980.080000000002</v>
      </c>
      <c r="I158" s="543">
        <v>37827.15</v>
      </c>
      <c r="J158" s="543">
        <v>44721</v>
      </c>
      <c r="K158" s="543">
        <v>41244.06</v>
      </c>
      <c r="L158" s="543">
        <v>19295.29</v>
      </c>
      <c r="M158" s="543">
        <v>34802.129999999997</v>
      </c>
      <c r="N158" s="543">
        <v>23969.97</v>
      </c>
      <c r="O158" s="543">
        <v>26019.93</v>
      </c>
      <c r="P158" s="543">
        <v>21493.72</v>
      </c>
      <c r="Q158" s="652">
        <f t="shared" si="26"/>
        <v>341691.02</v>
      </c>
      <c r="R158" s="641"/>
      <c r="S158" s="641"/>
      <c r="T158" s="641"/>
      <c r="U158" s="641"/>
      <c r="V158" s="641"/>
      <c r="W158" s="636"/>
    </row>
    <row r="159" spans="3:23" ht="15.75">
      <c r="C159" s="611" t="s">
        <v>129</v>
      </c>
      <c r="D159" s="543">
        <v>1443477.65</v>
      </c>
      <c r="E159" s="543">
        <v>51305.59</v>
      </c>
      <c r="F159" s="497">
        <v>74381.7</v>
      </c>
      <c r="G159" s="497">
        <v>62907.19</v>
      </c>
      <c r="H159" s="497">
        <v>55015.66</v>
      </c>
      <c r="I159" s="543">
        <v>41045.83</v>
      </c>
      <c r="J159" s="543">
        <v>38584.519999999997</v>
      </c>
      <c r="K159" s="543">
        <v>22956.28</v>
      </c>
      <c r="L159" s="543">
        <v>18651.080000000002</v>
      </c>
      <c r="M159" s="543">
        <v>24769.95</v>
      </c>
      <c r="N159" s="543">
        <v>105517.43000000001</v>
      </c>
      <c r="O159" s="543">
        <v>13490.68</v>
      </c>
      <c r="P159" s="543">
        <v>14221.65</v>
      </c>
      <c r="Q159" s="652">
        <f t="shared" si="26"/>
        <v>522847.56000000006</v>
      </c>
      <c r="R159" s="641"/>
      <c r="S159" s="641"/>
      <c r="T159" s="641"/>
      <c r="U159" s="641"/>
      <c r="V159" s="641"/>
      <c r="W159" s="636"/>
    </row>
    <row r="160" spans="3:23" ht="15.75">
      <c r="C160" s="611" t="s">
        <v>342</v>
      </c>
      <c r="D160" s="543">
        <v>0</v>
      </c>
      <c r="E160" s="547">
        <v>0</v>
      </c>
      <c r="F160" s="652">
        <v>0</v>
      </c>
      <c r="G160" s="652">
        <v>0</v>
      </c>
      <c r="H160" s="652">
        <v>0</v>
      </c>
      <c r="I160" s="543">
        <v>0</v>
      </c>
      <c r="J160" s="543">
        <v>0</v>
      </c>
      <c r="K160" s="543">
        <v>0</v>
      </c>
      <c r="L160" s="543"/>
      <c r="M160" s="543"/>
      <c r="N160" s="547"/>
      <c r="O160" s="547"/>
      <c r="P160" s="547"/>
      <c r="Q160" s="652">
        <f t="shared" si="26"/>
        <v>0</v>
      </c>
      <c r="R160" s="641"/>
      <c r="S160" s="641"/>
      <c r="T160" s="641"/>
      <c r="U160" s="641"/>
      <c r="V160" s="641"/>
      <c r="W160" s="636"/>
    </row>
    <row r="161" spans="3:23" ht="15.75">
      <c r="C161" s="611" t="s">
        <v>189</v>
      </c>
      <c r="D161" s="543">
        <v>270616.99</v>
      </c>
      <c r="E161" s="543">
        <v>0</v>
      </c>
      <c r="F161" s="652">
        <v>0</v>
      </c>
      <c r="G161" s="652">
        <v>0</v>
      </c>
      <c r="H161" s="652">
        <v>0</v>
      </c>
      <c r="I161" s="543">
        <v>0</v>
      </c>
      <c r="J161" s="543">
        <v>0</v>
      </c>
      <c r="K161" s="543">
        <v>0</v>
      </c>
      <c r="L161" s="543"/>
      <c r="M161" s="543"/>
      <c r="N161" s="543"/>
      <c r="O161" s="543"/>
      <c r="P161" s="543"/>
      <c r="Q161" s="652">
        <f t="shared" si="26"/>
        <v>0</v>
      </c>
      <c r="R161" s="641"/>
      <c r="S161" s="641"/>
      <c r="T161" s="641"/>
      <c r="U161" s="641"/>
      <c r="V161" s="641"/>
      <c r="W161" s="636"/>
    </row>
    <row r="162" spans="3:23" ht="15.75">
      <c r="C162" s="611"/>
      <c r="D162" s="546">
        <f>SUM(D149:D161)</f>
        <v>13531042.09</v>
      </c>
      <c r="E162" s="546">
        <f t="shared" ref="E162:Q162" si="27">SUM(E149:E161)</f>
        <v>431026.26</v>
      </c>
      <c r="F162" s="546">
        <f t="shared" si="27"/>
        <v>325396.36</v>
      </c>
      <c r="G162" s="546">
        <f t="shared" si="27"/>
        <v>448663.56</v>
      </c>
      <c r="H162" s="546">
        <f t="shared" si="27"/>
        <v>328140.51</v>
      </c>
      <c r="I162" s="546">
        <f t="shared" si="27"/>
        <v>251689.65000000002</v>
      </c>
      <c r="J162" s="546">
        <f t="shared" si="27"/>
        <v>279281.12</v>
      </c>
      <c r="K162" s="546">
        <f t="shared" si="27"/>
        <v>65544.95</v>
      </c>
      <c r="L162" s="546">
        <f t="shared" si="27"/>
        <v>39110.54</v>
      </c>
      <c r="M162" s="546">
        <f t="shared" si="27"/>
        <v>61202.45</v>
      </c>
      <c r="N162" s="546">
        <f t="shared" si="27"/>
        <v>129487.40000000001</v>
      </c>
      <c r="O162" s="546">
        <f t="shared" si="27"/>
        <v>39510.61</v>
      </c>
      <c r="P162" s="546">
        <f t="shared" si="27"/>
        <v>35715.370000000003</v>
      </c>
      <c r="Q162" s="546">
        <f t="shared" si="27"/>
        <v>2434768.7800000003</v>
      </c>
      <c r="R162" s="641"/>
      <c r="S162" s="641"/>
      <c r="T162" s="641"/>
      <c r="U162" s="641"/>
      <c r="V162" s="641"/>
      <c r="W162" s="636"/>
    </row>
    <row r="163" spans="3:23" ht="15.75">
      <c r="C163" s="611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50"/>
      <c r="P163" s="504"/>
      <c r="Q163" s="548"/>
      <c r="R163" s="641"/>
      <c r="S163" s="641"/>
      <c r="T163" s="641"/>
      <c r="U163" s="641"/>
      <c r="V163" s="641"/>
      <c r="W163" s="636"/>
    </row>
    <row r="164" spans="3:23" ht="23.25">
      <c r="C164" s="372"/>
      <c r="D164" s="646">
        <v>236720</v>
      </c>
      <c r="E164" s="646"/>
      <c r="F164" s="646"/>
      <c r="G164" s="646"/>
      <c r="H164" s="646"/>
      <c r="I164" s="646"/>
      <c r="J164" s="646"/>
      <c r="K164" s="646"/>
      <c r="L164" s="646"/>
      <c r="M164" s="646"/>
      <c r="N164" s="646"/>
      <c r="O164" s="646"/>
      <c r="P164" s="646"/>
      <c r="Q164" s="646"/>
      <c r="R164" s="641"/>
      <c r="S164" s="641"/>
      <c r="T164" s="641"/>
      <c r="U164" s="641"/>
      <c r="V164" s="641"/>
      <c r="W164" s="636"/>
    </row>
    <row r="165" spans="3:23" ht="15.75">
      <c r="C165" s="645" t="s">
        <v>731</v>
      </c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50"/>
      <c r="O165" s="550"/>
      <c r="P165" s="504"/>
      <c r="Q165" s="548"/>
      <c r="R165" s="641"/>
      <c r="S165" s="641"/>
      <c r="T165" s="641"/>
      <c r="U165" s="641"/>
      <c r="V165" s="641"/>
      <c r="W165" s="636"/>
    </row>
    <row r="166" spans="3:23" ht="15.75">
      <c r="C166" s="647" t="s">
        <v>106</v>
      </c>
      <c r="D166" s="648" t="s">
        <v>727</v>
      </c>
      <c r="E166" s="649">
        <v>44197</v>
      </c>
      <c r="F166" s="649">
        <v>44228</v>
      </c>
      <c r="G166" s="649">
        <v>44256</v>
      </c>
      <c r="H166" s="649">
        <v>44287</v>
      </c>
      <c r="I166" s="649">
        <v>44317</v>
      </c>
      <c r="J166" s="649">
        <v>44348</v>
      </c>
      <c r="K166" s="649">
        <v>44378</v>
      </c>
      <c r="L166" s="649">
        <v>44409</v>
      </c>
      <c r="M166" s="649">
        <v>44440</v>
      </c>
      <c r="N166" s="649">
        <v>44470</v>
      </c>
      <c r="O166" s="649">
        <v>44501</v>
      </c>
      <c r="P166" s="649">
        <v>44531</v>
      </c>
      <c r="Q166" s="650" t="s">
        <v>728</v>
      </c>
      <c r="R166" s="641"/>
      <c r="S166" s="641"/>
      <c r="T166" s="641"/>
      <c r="U166" s="641"/>
      <c r="V166" s="641"/>
      <c r="W166" s="636"/>
    </row>
    <row r="167" spans="3:23" ht="15.75">
      <c r="C167" s="611" t="s">
        <v>310</v>
      </c>
      <c r="D167" s="504">
        <v>0</v>
      </c>
      <c r="E167" s="501">
        <v>86.69</v>
      </c>
      <c r="F167" s="501">
        <v>0</v>
      </c>
      <c r="G167" s="501">
        <v>0</v>
      </c>
      <c r="H167" s="501">
        <v>0</v>
      </c>
      <c r="I167" s="501">
        <v>0</v>
      </c>
      <c r="J167" s="501">
        <v>0</v>
      </c>
      <c r="K167" s="501">
        <v>0</v>
      </c>
      <c r="L167" s="504"/>
      <c r="M167" s="504"/>
      <c r="N167" s="547"/>
      <c r="O167" s="543"/>
      <c r="P167" s="547"/>
      <c r="Q167" s="652">
        <f t="shared" ref="Q167:Q169" si="28">SUM(E167:P167)</f>
        <v>86.69</v>
      </c>
      <c r="R167" s="641"/>
      <c r="S167" s="641"/>
      <c r="T167" s="641"/>
      <c r="U167" s="641"/>
      <c r="V167" s="641"/>
      <c r="W167" s="636"/>
    </row>
    <row r="168" spans="3:23" ht="15.75">
      <c r="C168" s="611" t="s">
        <v>312</v>
      </c>
      <c r="D168" s="504">
        <v>29035.42</v>
      </c>
      <c r="E168" s="501">
        <v>0</v>
      </c>
      <c r="F168" s="501">
        <v>0</v>
      </c>
      <c r="G168" s="501">
        <v>0</v>
      </c>
      <c r="H168" s="501">
        <v>0</v>
      </c>
      <c r="I168" s="501">
        <v>0</v>
      </c>
      <c r="J168" s="501">
        <v>0</v>
      </c>
      <c r="K168" s="501">
        <v>0</v>
      </c>
      <c r="L168" s="504"/>
      <c r="M168" s="504"/>
      <c r="N168" s="547"/>
      <c r="O168" s="543"/>
      <c r="P168" s="547"/>
      <c r="Q168" s="652">
        <f t="shared" si="28"/>
        <v>0</v>
      </c>
      <c r="R168" s="641"/>
      <c r="S168" s="641"/>
      <c r="T168" s="641"/>
      <c r="U168" s="641"/>
      <c r="V168" s="641"/>
      <c r="W168" s="636"/>
    </row>
    <row r="169" spans="3:23" ht="15.75">
      <c r="C169" s="611" t="s">
        <v>314</v>
      </c>
      <c r="D169" s="656">
        <v>16022.89</v>
      </c>
      <c r="E169" s="656"/>
      <c r="F169" s="656">
        <v>0</v>
      </c>
      <c r="G169" s="656">
        <v>27248.06</v>
      </c>
      <c r="H169" s="656">
        <v>142808.63</v>
      </c>
      <c r="I169" s="656">
        <v>415206.42</v>
      </c>
      <c r="J169" s="656">
        <v>161468.46</v>
      </c>
      <c r="K169" s="656">
        <v>0</v>
      </c>
      <c r="L169" s="656"/>
      <c r="M169" s="656"/>
      <c r="N169" s="657"/>
      <c r="O169" s="657"/>
      <c r="P169" s="657"/>
      <c r="Q169" s="652">
        <f t="shared" si="28"/>
        <v>746731.57</v>
      </c>
      <c r="R169" s="641"/>
      <c r="S169" s="641"/>
      <c r="T169" s="641"/>
      <c r="U169" s="641"/>
      <c r="V169" s="641"/>
      <c r="W169" s="636"/>
    </row>
    <row r="170" spans="3:23" ht="15.75">
      <c r="C170" s="611"/>
      <c r="D170" s="504">
        <f>SUM(D167:D169)</f>
        <v>45058.31</v>
      </c>
      <c r="E170" s="504">
        <f t="shared" ref="E170:Q170" si="29">SUM(E167:E169)</f>
        <v>86.69</v>
      </c>
      <c r="F170" s="504">
        <f t="shared" si="29"/>
        <v>0</v>
      </c>
      <c r="G170" s="504">
        <f t="shared" si="29"/>
        <v>27248.06</v>
      </c>
      <c r="H170" s="504">
        <f t="shared" si="29"/>
        <v>142808.63</v>
      </c>
      <c r="I170" s="504">
        <f t="shared" si="29"/>
        <v>415206.42</v>
      </c>
      <c r="J170" s="504">
        <f t="shared" si="29"/>
        <v>161468.46</v>
      </c>
      <c r="K170" s="504">
        <f t="shared" si="29"/>
        <v>0</v>
      </c>
      <c r="L170" s="504">
        <f t="shared" si="29"/>
        <v>0</v>
      </c>
      <c r="M170" s="504">
        <f t="shared" si="29"/>
        <v>0</v>
      </c>
      <c r="N170" s="504">
        <f t="shared" si="29"/>
        <v>0</v>
      </c>
      <c r="O170" s="504">
        <f t="shared" si="29"/>
        <v>0</v>
      </c>
      <c r="P170" s="504">
        <f t="shared" si="29"/>
        <v>0</v>
      </c>
      <c r="Q170" s="504">
        <f t="shared" si="29"/>
        <v>746818.25999999989</v>
      </c>
      <c r="R170" s="641"/>
      <c r="S170" s="641"/>
      <c r="T170" s="641"/>
      <c r="U170" s="641"/>
      <c r="V170" s="641"/>
      <c r="W170" s="636"/>
    </row>
    <row r="171" spans="3:23" ht="15.75">
      <c r="C171" s="611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641"/>
      <c r="S171" s="641"/>
      <c r="T171" s="641"/>
      <c r="U171" s="641"/>
      <c r="V171" s="641"/>
      <c r="W171" s="636"/>
    </row>
    <row r="172" spans="3:23" ht="16.5" thickBot="1">
      <c r="C172" s="658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3"/>
      <c r="O172" s="553"/>
      <c r="P172" s="553"/>
      <c r="Q172" s="554"/>
      <c r="R172" s="641"/>
      <c r="S172" s="641"/>
      <c r="T172" s="641"/>
      <c r="U172" s="641"/>
      <c r="V172" s="641"/>
      <c r="W172" s="636"/>
    </row>
    <row r="173" spans="3:23" ht="16.5" thickTop="1">
      <c r="C173" s="659" t="s">
        <v>321</v>
      </c>
      <c r="D173" s="504">
        <f>SUM(D170,D162)</f>
        <v>13576100.4</v>
      </c>
      <c r="E173" s="504">
        <f t="shared" ref="E173:Q173" si="30">SUM(E170,E162)</f>
        <v>431112.95</v>
      </c>
      <c r="F173" s="504">
        <f t="shared" si="30"/>
        <v>325396.36</v>
      </c>
      <c r="G173" s="504">
        <f t="shared" si="30"/>
        <v>475911.62</v>
      </c>
      <c r="H173" s="504">
        <f t="shared" si="30"/>
        <v>470949.14</v>
      </c>
      <c r="I173" s="504">
        <f t="shared" si="30"/>
        <v>666896.07000000007</v>
      </c>
      <c r="J173" s="504">
        <f t="shared" si="30"/>
        <v>440749.57999999996</v>
      </c>
      <c r="K173" s="504">
        <f t="shared" si="30"/>
        <v>65544.95</v>
      </c>
      <c r="L173" s="504">
        <f t="shared" si="30"/>
        <v>39110.54</v>
      </c>
      <c r="M173" s="504">
        <f t="shared" si="30"/>
        <v>61202.45</v>
      </c>
      <c r="N173" s="504">
        <f t="shared" si="30"/>
        <v>129487.40000000001</v>
      </c>
      <c r="O173" s="504">
        <f t="shared" si="30"/>
        <v>39510.61</v>
      </c>
      <c r="P173" s="504">
        <f t="shared" si="30"/>
        <v>35715.370000000003</v>
      </c>
      <c r="Q173" s="504">
        <f t="shared" si="30"/>
        <v>3181587.04</v>
      </c>
      <c r="R173" s="641"/>
      <c r="S173" s="641"/>
      <c r="T173" s="641"/>
      <c r="U173" s="641"/>
      <c r="V173" s="641"/>
      <c r="W173" s="636"/>
    </row>
  </sheetData>
  <mergeCells count="1">
    <mergeCell ref="F4:I5"/>
  </mergeCells>
  <pageMargins left="0.7" right="0.7" top="0.75" bottom="0.75" header="0.3" footer="0.3"/>
  <pageSetup orientation="portrait" horizontalDpi="90" verticalDpi="90" r:id="rId1"/>
  <headerFooter>
    <oddFooter>&amp;L&amp;1#&amp;"Calibri"&amp;14&amp;K000000Business Use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0E288-4DF6-4B9F-B585-7892859461C0}">
  <sheetPr>
    <tabColor theme="5" tint="0.39997558519241921"/>
  </sheetPr>
  <dimension ref="A1:P24"/>
  <sheetViews>
    <sheetView workbookViewId="0"/>
  </sheetViews>
  <sheetFormatPr defaultColWidth="8.7109375" defaultRowHeight="15"/>
  <cols>
    <col min="1" max="1" width="20" style="438" bestFit="1" customWidth="1"/>
    <col min="2" max="2" width="13.140625" style="438" bestFit="1" customWidth="1"/>
    <col min="3" max="3" width="30.85546875" style="438" bestFit="1" customWidth="1"/>
    <col min="4" max="4" width="13.5703125" style="438" bestFit="1" customWidth="1"/>
    <col min="5" max="8" width="9" style="438" bestFit="1" customWidth="1"/>
    <col min="9" max="15" width="9.140625" style="438" customWidth="1"/>
    <col min="16" max="16" width="10.5703125" style="438" bestFit="1" customWidth="1"/>
    <col min="17" max="16384" width="8.7109375" style="438"/>
  </cols>
  <sheetData>
    <row r="1" spans="1:16">
      <c r="A1" t="s">
        <v>581</v>
      </c>
      <c r="B1" t="s">
        <v>582</v>
      </c>
      <c r="C1" t="s">
        <v>583</v>
      </c>
      <c r="D1" t="s">
        <v>584</v>
      </c>
      <c r="E1" t="s">
        <v>585</v>
      </c>
      <c r="F1" t="s">
        <v>586</v>
      </c>
      <c r="G1" t="s">
        <v>587</v>
      </c>
      <c r="H1" t="s">
        <v>588</v>
      </c>
      <c r="I1" t="s">
        <v>589</v>
      </c>
      <c r="J1" t="s">
        <v>590</v>
      </c>
      <c r="K1" t="s">
        <v>591</v>
      </c>
      <c r="L1" t="s">
        <v>592</v>
      </c>
      <c r="M1" t="s">
        <v>593</v>
      </c>
      <c r="N1" t="s">
        <v>594</v>
      </c>
      <c r="O1" t="s">
        <v>595</v>
      </c>
      <c r="P1" s="438" t="s">
        <v>3</v>
      </c>
    </row>
    <row r="2" spans="1:16">
      <c r="A2" s="438" t="s">
        <v>596</v>
      </c>
      <c r="B2" t="s">
        <v>145</v>
      </c>
      <c r="C2" t="s">
        <v>597</v>
      </c>
      <c r="D2" s="440">
        <v>25833</v>
      </c>
      <c r="E2" s="440">
        <v>25833</v>
      </c>
      <c r="F2" s="440">
        <v>25833</v>
      </c>
      <c r="G2" s="440">
        <v>25833</v>
      </c>
      <c r="H2" s="440">
        <v>25833</v>
      </c>
      <c r="I2" s="440">
        <v>25833</v>
      </c>
      <c r="J2" s="440">
        <v>25833</v>
      </c>
      <c r="K2" s="440">
        <v>25833</v>
      </c>
      <c r="L2" s="440">
        <v>25833</v>
      </c>
      <c r="M2" s="440">
        <v>25833</v>
      </c>
      <c r="N2" s="440">
        <v>25833</v>
      </c>
      <c r="O2" s="440">
        <v>25837</v>
      </c>
      <c r="P2" s="441">
        <f>SUM(D2:O2)</f>
        <v>310000</v>
      </c>
    </row>
    <row r="3" spans="1:16">
      <c r="A3" s="438" t="s">
        <v>596</v>
      </c>
      <c r="B3" t="s">
        <v>149</v>
      </c>
      <c r="C3" t="s">
        <v>598</v>
      </c>
      <c r="D3" s="440">
        <v>29742</v>
      </c>
      <c r="E3" s="440">
        <v>29579</v>
      </c>
      <c r="F3" s="440">
        <v>33163</v>
      </c>
      <c r="G3" s="440">
        <v>31426</v>
      </c>
      <c r="H3" s="440">
        <v>29725</v>
      </c>
      <c r="I3" s="440">
        <v>31745</v>
      </c>
      <c r="J3" s="440">
        <v>31373</v>
      </c>
      <c r="K3" s="440">
        <v>33251</v>
      </c>
      <c r="L3" s="440">
        <v>32400</v>
      </c>
      <c r="M3" s="440">
        <v>31442</v>
      </c>
      <c r="N3" s="440">
        <v>30671</v>
      </c>
      <c r="O3" s="440">
        <v>30607</v>
      </c>
      <c r="P3" s="441">
        <f t="shared" ref="P3:P7" si="0">SUM(D3:O3)</f>
        <v>375124</v>
      </c>
    </row>
    <row r="4" spans="1:16">
      <c r="A4" s="438" t="s">
        <v>596</v>
      </c>
      <c r="B4" t="s">
        <v>154</v>
      </c>
      <c r="C4" t="s">
        <v>599</v>
      </c>
      <c r="D4" s="440">
        <v>22922</v>
      </c>
      <c r="E4" s="440">
        <v>22738</v>
      </c>
      <c r="F4" s="440">
        <v>25531</v>
      </c>
      <c r="G4" s="440">
        <v>24205</v>
      </c>
      <c r="H4" s="440">
        <v>22907</v>
      </c>
      <c r="I4" s="440">
        <v>24440</v>
      </c>
      <c r="J4" s="440">
        <v>24168</v>
      </c>
      <c r="K4" s="440">
        <v>25535</v>
      </c>
      <c r="L4" s="440">
        <v>24916</v>
      </c>
      <c r="M4" s="440">
        <v>24155</v>
      </c>
      <c r="N4" s="440">
        <v>23659</v>
      </c>
      <c r="O4" s="440">
        <v>23675</v>
      </c>
      <c r="P4" s="441">
        <f t="shared" si="0"/>
        <v>288851</v>
      </c>
    </row>
    <row r="5" spans="1:16">
      <c r="A5" s="438" t="s">
        <v>596</v>
      </c>
      <c r="B5" t="s">
        <v>448</v>
      </c>
      <c r="C5" t="s">
        <v>600</v>
      </c>
      <c r="D5" s="440">
        <v>1500</v>
      </c>
      <c r="E5" s="440">
        <v>1600</v>
      </c>
      <c r="F5" s="440">
        <v>2130</v>
      </c>
      <c r="G5" s="440">
        <v>1600</v>
      </c>
      <c r="H5" s="440">
        <v>1600</v>
      </c>
      <c r="I5" s="440">
        <v>2130</v>
      </c>
      <c r="J5" s="440">
        <v>1600</v>
      </c>
      <c r="K5" s="440">
        <v>1600</v>
      </c>
      <c r="L5" s="440">
        <v>2130</v>
      </c>
      <c r="M5" s="440">
        <v>1600</v>
      </c>
      <c r="N5" s="440">
        <v>1600</v>
      </c>
      <c r="O5" s="440">
        <v>1858</v>
      </c>
      <c r="P5" s="441">
        <f t="shared" si="0"/>
        <v>20948</v>
      </c>
    </row>
    <row r="6" spans="1:16">
      <c r="A6" s="438" t="s">
        <v>596</v>
      </c>
      <c r="B6" t="s">
        <v>450</v>
      </c>
      <c r="C6" t="s">
        <v>601</v>
      </c>
      <c r="D6" s="440">
        <v>0</v>
      </c>
      <c r="E6" s="440">
        <v>0</v>
      </c>
      <c r="F6" s="440">
        <v>1060</v>
      </c>
      <c r="G6" s="440">
        <v>0</v>
      </c>
      <c r="H6" s="440">
        <v>0</v>
      </c>
      <c r="I6" s="440">
        <v>1060</v>
      </c>
      <c r="J6" s="440">
        <v>0</v>
      </c>
      <c r="K6" s="440">
        <v>0</v>
      </c>
      <c r="L6" s="440">
        <v>1060</v>
      </c>
      <c r="M6" s="440">
        <v>0</v>
      </c>
      <c r="N6" s="440">
        <v>0</v>
      </c>
      <c r="O6" s="440">
        <v>710</v>
      </c>
      <c r="P6" s="441">
        <f t="shared" si="0"/>
        <v>3890</v>
      </c>
    </row>
    <row r="7" spans="1:16">
      <c r="B7" t="s">
        <v>321</v>
      </c>
      <c r="C7"/>
      <c r="D7" s="440">
        <v>79997</v>
      </c>
      <c r="E7" s="440">
        <v>79750</v>
      </c>
      <c r="F7" s="440">
        <v>87717</v>
      </c>
      <c r="G7" s="440">
        <v>83064</v>
      </c>
      <c r="H7" s="440">
        <v>80065</v>
      </c>
      <c r="I7" s="440">
        <v>85208</v>
      </c>
      <c r="J7" s="440">
        <v>82974</v>
      </c>
      <c r="K7" s="440">
        <v>86219</v>
      </c>
      <c r="L7" s="440">
        <v>86339</v>
      </c>
      <c r="M7" s="440">
        <v>83030</v>
      </c>
      <c r="N7" s="440">
        <v>81763</v>
      </c>
      <c r="O7" s="440">
        <v>82687</v>
      </c>
      <c r="P7" s="441">
        <f t="shared" si="0"/>
        <v>998813</v>
      </c>
    </row>
    <row r="9" spans="1:16">
      <c r="C9" s="438" t="s">
        <v>602</v>
      </c>
      <c r="D9" s="441">
        <v>81954.41</v>
      </c>
      <c r="E9" s="441">
        <v>155745.27000000002</v>
      </c>
      <c r="F9" s="441">
        <v>122027.39</v>
      </c>
      <c r="G9" s="441">
        <v>207559.46000000002</v>
      </c>
      <c r="H9" s="441">
        <v>163313.07</v>
      </c>
      <c r="I9" s="441">
        <v>101459.6</v>
      </c>
      <c r="J9" s="441">
        <v>143799.67999999999</v>
      </c>
      <c r="K9" s="441">
        <v>132909.35999999999</v>
      </c>
      <c r="L9" s="441">
        <v>89575.110000000015</v>
      </c>
      <c r="M9" s="441">
        <v>101566.55</v>
      </c>
      <c r="N9" s="441">
        <v>36687.71</v>
      </c>
      <c r="O9" s="441">
        <v>51396.25</v>
      </c>
      <c r="P9" s="441">
        <f>SUM(D9:O9)</f>
        <v>1387993.8600000003</v>
      </c>
    </row>
    <row r="10" spans="1:16">
      <c r="C10" s="438" t="s">
        <v>603</v>
      </c>
      <c r="D10" s="441">
        <v>0</v>
      </c>
      <c r="E10" s="441">
        <v>0</v>
      </c>
      <c r="F10" s="441">
        <v>0</v>
      </c>
      <c r="G10" s="441">
        <v>0</v>
      </c>
      <c r="H10" s="441">
        <v>0</v>
      </c>
      <c r="I10" s="441">
        <v>0</v>
      </c>
      <c r="J10" s="441">
        <v>0</v>
      </c>
      <c r="K10" s="441">
        <v>0</v>
      </c>
      <c r="L10" s="441">
        <v>0</v>
      </c>
      <c r="M10" s="441">
        <v>0</v>
      </c>
      <c r="N10" s="441">
        <v>0</v>
      </c>
      <c r="O10" s="441">
        <v>0</v>
      </c>
      <c r="P10" s="441">
        <f>SUM(D10:O10)</f>
        <v>0</v>
      </c>
    </row>
    <row r="12" spans="1:16">
      <c r="C12" s="438" t="s">
        <v>619</v>
      </c>
      <c r="D12" s="441">
        <v>93842</v>
      </c>
      <c r="E12" s="441">
        <v>93842</v>
      </c>
      <c r="F12" s="441">
        <v>93842</v>
      </c>
      <c r="G12" s="441">
        <v>93842</v>
      </c>
      <c r="H12" s="441">
        <v>93842</v>
      </c>
      <c r="I12" s="441">
        <v>93842</v>
      </c>
      <c r="J12" s="515">
        <v>47940.5</v>
      </c>
      <c r="K12" s="515">
        <v>47940.5</v>
      </c>
      <c r="L12" s="515">
        <v>47941</v>
      </c>
      <c r="M12" s="515">
        <v>47941</v>
      </c>
      <c r="N12" s="515">
        <v>47941</v>
      </c>
      <c r="O12" s="515">
        <v>47941</v>
      </c>
      <c r="P12" s="441">
        <f>SUM(D12:O12)</f>
        <v>850697</v>
      </c>
    </row>
    <row r="13" spans="1:16">
      <c r="C13" s="438" t="s">
        <v>620</v>
      </c>
      <c r="D13" s="441">
        <v>112456.31</v>
      </c>
      <c r="E13" s="441">
        <v>112456.31</v>
      </c>
      <c r="F13" s="441">
        <v>112456.31</v>
      </c>
      <c r="G13" s="441">
        <v>112456.31</v>
      </c>
      <c r="H13" s="441">
        <v>112456.31</v>
      </c>
      <c r="I13" s="441">
        <v>112456.31</v>
      </c>
      <c r="J13" s="515">
        <v>0</v>
      </c>
      <c r="K13" s="515">
        <v>0</v>
      </c>
      <c r="L13" s="515">
        <v>0</v>
      </c>
      <c r="M13" s="515">
        <v>0</v>
      </c>
      <c r="N13" s="515">
        <v>0</v>
      </c>
      <c r="O13" s="515">
        <v>0</v>
      </c>
      <c r="P13" s="441">
        <f>SUM(D13:O13)</f>
        <v>674737.8600000001</v>
      </c>
    </row>
    <row r="15" spans="1:16">
      <c r="B15" s="439"/>
      <c r="C15" s="562"/>
      <c r="D15" s="563"/>
    </row>
    <row r="16" spans="1:16">
      <c r="C16" s="564"/>
      <c r="D16" s="565"/>
      <c r="F16" s="441"/>
    </row>
    <row r="17" spans="3:12">
      <c r="C17" s="564"/>
      <c r="D17" s="566"/>
      <c r="L17" s="513" t="s">
        <v>688</v>
      </c>
    </row>
    <row r="18" spans="3:12">
      <c r="C18" s="614"/>
      <c r="D18" s="615"/>
    </row>
    <row r="19" spans="3:12">
      <c r="C19" s="614"/>
      <c r="D19" s="615"/>
    </row>
    <row r="20" spans="3:12">
      <c r="C20" s="614"/>
      <c r="D20" s="615"/>
    </row>
    <row r="21" spans="3:12">
      <c r="C21" s="614"/>
      <c r="D21" s="615"/>
    </row>
    <row r="22" spans="3:12">
      <c r="C22" s="562"/>
      <c r="D22" s="562"/>
    </row>
    <row r="23" spans="3:12">
      <c r="C23" s="562"/>
      <c r="D23" s="567"/>
    </row>
    <row r="24" spans="3:12">
      <c r="D24" s="517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6D38C-1458-475F-AACD-2695B8614B8C}">
  <sheetPr>
    <tabColor theme="5" tint="0.39997558519241921"/>
  </sheetPr>
  <dimension ref="A1:P47"/>
  <sheetViews>
    <sheetView workbookViewId="0"/>
  </sheetViews>
  <sheetFormatPr defaultRowHeight="12.75"/>
  <cols>
    <col min="1" max="1" width="33.85546875" bestFit="1" customWidth="1"/>
    <col min="2" max="2" width="4.140625" bestFit="1" customWidth="1"/>
    <col min="3" max="3" width="10" bestFit="1" customWidth="1"/>
    <col min="4" max="4" width="16.140625" customWidth="1"/>
    <col min="5" max="5" width="12.28515625" bestFit="1" customWidth="1"/>
    <col min="6" max="8" width="11.85546875" bestFit="1" customWidth="1"/>
    <col min="9" max="10" width="9.7109375" bestFit="1" customWidth="1"/>
    <col min="11" max="11" width="12.5703125" bestFit="1" customWidth="1"/>
    <col min="12" max="12" width="11.140625" bestFit="1" customWidth="1"/>
    <col min="13" max="13" width="11.7109375" bestFit="1" customWidth="1"/>
    <col min="14" max="14" width="12" bestFit="1" customWidth="1"/>
    <col min="15" max="15" width="11.28515625" bestFit="1" customWidth="1"/>
  </cols>
  <sheetData>
    <row r="1" spans="1:16">
      <c r="A1" t="s">
        <v>580</v>
      </c>
    </row>
    <row r="2" spans="1:16">
      <c r="A2" t="s">
        <v>12</v>
      </c>
      <c r="E2" s="513" t="s">
        <v>688</v>
      </c>
    </row>
    <row r="3" spans="1:16">
      <c r="A3" t="s">
        <v>564</v>
      </c>
    </row>
    <row r="7" spans="1:16">
      <c r="A7" s="428"/>
      <c r="B7" s="428"/>
      <c r="C7" s="429">
        <v>44197</v>
      </c>
      <c r="D7" s="429">
        <v>44228</v>
      </c>
      <c r="E7" s="429">
        <v>44256</v>
      </c>
      <c r="F7" s="429">
        <v>44287</v>
      </c>
      <c r="G7" s="429">
        <v>44317</v>
      </c>
      <c r="H7" s="429">
        <v>44348</v>
      </c>
      <c r="I7" s="429">
        <v>44378</v>
      </c>
      <c r="J7" s="429">
        <v>44409</v>
      </c>
      <c r="K7" s="429">
        <v>44440</v>
      </c>
      <c r="L7" s="429">
        <v>44470</v>
      </c>
      <c r="M7" s="429">
        <v>44501</v>
      </c>
      <c r="N7" s="429">
        <v>44531</v>
      </c>
      <c r="O7" s="430" t="s">
        <v>3</v>
      </c>
    </row>
    <row r="8" spans="1:16">
      <c r="A8" s="428" t="s">
        <v>640</v>
      </c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</row>
    <row r="9" spans="1:16">
      <c r="A9" s="428" t="s">
        <v>159</v>
      </c>
      <c r="B9" s="428"/>
      <c r="C9" s="428"/>
      <c r="D9" s="428"/>
      <c r="E9" s="591">
        <f>G26</f>
        <v>3.87</v>
      </c>
      <c r="F9" s="428"/>
      <c r="G9" s="428"/>
      <c r="H9" s="428"/>
      <c r="I9" s="428"/>
      <c r="J9" s="428"/>
      <c r="K9" s="428"/>
      <c r="L9" s="428"/>
      <c r="M9" s="428"/>
      <c r="N9" s="428"/>
      <c r="O9" s="431">
        <f>SUM(C9:N9)</f>
        <v>3.87</v>
      </c>
    </row>
    <row r="10" spans="1:16">
      <c r="A10" s="428" t="s">
        <v>775</v>
      </c>
      <c r="B10" s="428"/>
      <c r="C10" s="586"/>
      <c r="D10" s="586"/>
      <c r="E10" s="592">
        <f>SUM(G27:G28)</f>
        <v>11.580000000000002</v>
      </c>
      <c r="F10" s="586"/>
      <c r="G10" s="586"/>
      <c r="H10" s="586"/>
      <c r="I10" s="586"/>
      <c r="J10" s="586"/>
      <c r="K10" s="586"/>
      <c r="L10" s="586"/>
      <c r="M10" s="586"/>
      <c r="N10" s="586"/>
      <c r="O10" s="431">
        <f>SUM(C10:N10)</f>
        <v>11.580000000000002</v>
      </c>
      <c r="P10" t="s">
        <v>779</v>
      </c>
    </row>
    <row r="11" spans="1:16">
      <c r="A11" s="428" t="s">
        <v>77</v>
      </c>
      <c r="B11" s="428"/>
      <c r="C11" s="586"/>
      <c r="D11" s="586"/>
      <c r="E11" s="592">
        <f>SUM(G29:G32)</f>
        <v>492697.2599999996</v>
      </c>
      <c r="F11" s="586"/>
      <c r="G11" s="586"/>
      <c r="H11" s="586"/>
      <c r="I11" s="586"/>
      <c r="J11" s="586"/>
      <c r="K11" s="586"/>
      <c r="L11" s="586"/>
      <c r="M11" s="586"/>
      <c r="N11" s="586"/>
      <c r="O11" s="431">
        <f>SUM(C11:N11)</f>
        <v>492697.2599999996</v>
      </c>
      <c r="P11" t="s">
        <v>787</v>
      </c>
    </row>
    <row r="12" spans="1:16" ht="13.5" thickBot="1">
      <c r="A12" s="432" t="s">
        <v>565</v>
      </c>
      <c r="B12" s="432"/>
      <c r="C12" s="587"/>
      <c r="D12" s="587"/>
      <c r="E12" s="588"/>
      <c r="F12" s="587"/>
      <c r="G12" s="587"/>
      <c r="H12" s="587"/>
      <c r="I12" s="524"/>
      <c r="J12" s="524"/>
      <c r="K12" s="524"/>
      <c r="L12" s="524"/>
      <c r="M12" s="524"/>
      <c r="N12" s="524"/>
      <c r="O12" s="433">
        <f>SUM(C12:N12)</f>
        <v>0</v>
      </c>
    </row>
    <row r="13" spans="1:16">
      <c r="A13" s="434" t="s">
        <v>3</v>
      </c>
      <c r="B13" s="435"/>
      <c r="C13" s="436">
        <f>SUM(C9:C12)</f>
        <v>0</v>
      </c>
      <c r="D13" s="436">
        <f t="shared" ref="D13:O13" si="0">SUM(D9:D12)</f>
        <v>0</v>
      </c>
      <c r="E13" s="436">
        <f t="shared" si="0"/>
        <v>492712.70999999961</v>
      </c>
      <c r="F13" s="436">
        <f t="shared" si="0"/>
        <v>0</v>
      </c>
      <c r="G13" s="436">
        <f t="shared" si="0"/>
        <v>0</v>
      </c>
      <c r="H13" s="436">
        <f t="shared" si="0"/>
        <v>0</v>
      </c>
      <c r="I13" s="436">
        <f t="shared" si="0"/>
        <v>0</v>
      </c>
      <c r="J13" s="436">
        <f t="shared" si="0"/>
        <v>0</v>
      </c>
      <c r="K13" s="436">
        <f t="shared" si="0"/>
        <v>0</v>
      </c>
      <c r="L13" s="436">
        <f t="shared" si="0"/>
        <v>0</v>
      </c>
      <c r="M13" s="436">
        <f t="shared" si="0"/>
        <v>0</v>
      </c>
      <c r="N13" s="436">
        <f t="shared" si="0"/>
        <v>0</v>
      </c>
      <c r="O13" s="436">
        <f t="shared" si="0"/>
        <v>492712.70999999961</v>
      </c>
    </row>
    <row r="14" spans="1:16">
      <c r="C14" s="28"/>
      <c r="D14" s="28"/>
      <c r="E14" s="28"/>
      <c r="F14" s="28"/>
      <c r="G14" s="28"/>
      <c r="H14" s="28"/>
    </row>
    <row r="15" spans="1:16">
      <c r="A15" s="428"/>
      <c r="B15" s="428"/>
      <c r="C15" s="429">
        <v>44197</v>
      </c>
      <c r="D15" s="429">
        <v>44228</v>
      </c>
      <c r="E15" s="429">
        <v>44256</v>
      </c>
      <c r="F15" s="429">
        <v>44287</v>
      </c>
      <c r="G15" s="429">
        <v>44317</v>
      </c>
      <c r="H15" s="429">
        <v>44348</v>
      </c>
      <c r="I15" s="429">
        <v>44378</v>
      </c>
      <c r="J15" s="429">
        <v>44409</v>
      </c>
      <c r="K15" s="429">
        <v>44440</v>
      </c>
      <c r="L15" s="429">
        <v>44470</v>
      </c>
      <c r="M15" s="429">
        <v>44501</v>
      </c>
      <c r="N15" s="429">
        <v>44531</v>
      </c>
      <c r="O15" s="430" t="s">
        <v>3</v>
      </c>
    </row>
    <row r="16" spans="1:16">
      <c r="A16" s="428" t="s">
        <v>641</v>
      </c>
      <c r="B16" s="428"/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</row>
    <row r="17" spans="1:16">
      <c r="A17" s="428" t="s">
        <v>159</v>
      </c>
      <c r="B17" s="428"/>
      <c r="C17" s="428"/>
      <c r="D17" s="428"/>
      <c r="E17" s="591">
        <f>H26</f>
        <v>-3.87</v>
      </c>
      <c r="F17" s="428"/>
      <c r="G17" s="428"/>
      <c r="H17" s="428"/>
      <c r="I17" s="428"/>
      <c r="J17" s="428"/>
      <c r="K17" s="428"/>
      <c r="L17" s="428"/>
      <c r="M17" s="428"/>
      <c r="N17" s="428"/>
      <c r="O17" s="431">
        <f>SUM(C17:N17)</f>
        <v>-3.87</v>
      </c>
    </row>
    <row r="18" spans="1:16">
      <c r="A18" s="428" t="s">
        <v>775</v>
      </c>
      <c r="B18" s="428"/>
      <c r="C18" s="586"/>
      <c r="D18" s="586"/>
      <c r="E18" s="592">
        <f>SUM(H27:H28)</f>
        <v>-11.580000000000002</v>
      </c>
      <c r="F18" s="586"/>
      <c r="G18" s="586"/>
      <c r="H18" s="586"/>
      <c r="I18" s="586"/>
      <c r="J18" s="586"/>
      <c r="K18" s="586"/>
      <c r="L18" s="586"/>
      <c r="M18" s="586"/>
      <c r="N18" s="586"/>
      <c r="O18" s="431">
        <f>SUM(C18:N18)</f>
        <v>-11.580000000000002</v>
      </c>
      <c r="P18" t="s">
        <v>779</v>
      </c>
    </row>
    <row r="19" spans="1:16">
      <c r="A19" s="428" t="s">
        <v>77</v>
      </c>
      <c r="B19" s="428"/>
      <c r="C19" s="586"/>
      <c r="D19" s="586"/>
      <c r="E19" s="592">
        <f>SUM(H29:H32)</f>
        <v>-303341.06883376016</v>
      </c>
      <c r="F19" s="586"/>
      <c r="G19" s="586"/>
      <c r="H19" s="586"/>
      <c r="I19" s="586"/>
      <c r="J19" s="586"/>
      <c r="K19" s="586"/>
      <c r="L19" s="586"/>
      <c r="M19" s="586"/>
      <c r="N19" s="586"/>
      <c r="O19" s="431">
        <f>SUM(C19:N19)</f>
        <v>-303341.06883376016</v>
      </c>
      <c r="P19" t="s">
        <v>787</v>
      </c>
    </row>
    <row r="20" spans="1:16" ht="13.5" thickBot="1">
      <c r="A20" s="432" t="s">
        <v>565</v>
      </c>
      <c r="B20" s="432"/>
      <c r="C20" s="587"/>
      <c r="D20" s="587"/>
      <c r="E20" s="588"/>
      <c r="F20" s="587"/>
      <c r="G20" s="587"/>
      <c r="H20" s="587"/>
      <c r="I20" s="524"/>
      <c r="J20" s="524"/>
      <c r="K20" s="524"/>
      <c r="L20" s="524"/>
      <c r="M20" s="524"/>
      <c r="N20" s="524"/>
      <c r="O20" s="433">
        <f>SUM(C20:N20)</f>
        <v>0</v>
      </c>
    </row>
    <row r="21" spans="1:16">
      <c r="A21" s="434" t="s">
        <v>3</v>
      </c>
      <c r="B21" s="435"/>
      <c r="C21" s="436">
        <f>SUM(C17:C20)</f>
        <v>0</v>
      </c>
      <c r="D21" s="436">
        <f t="shared" ref="D21:O21" si="1">SUM(D17:D20)</f>
        <v>0</v>
      </c>
      <c r="E21" s="436">
        <f t="shared" si="1"/>
        <v>-303356.51883376017</v>
      </c>
      <c r="F21" s="436">
        <f t="shared" si="1"/>
        <v>0</v>
      </c>
      <c r="G21" s="436">
        <f t="shared" si="1"/>
        <v>0</v>
      </c>
      <c r="H21" s="436">
        <f t="shared" si="1"/>
        <v>0</v>
      </c>
      <c r="I21" s="436">
        <f t="shared" si="1"/>
        <v>0</v>
      </c>
      <c r="J21" s="436">
        <f t="shared" si="1"/>
        <v>0</v>
      </c>
      <c r="K21" s="436">
        <f t="shared" si="1"/>
        <v>0</v>
      </c>
      <c r="L21" s="436">
        <f t="shared" si="1"/>
        <v>0</v>
      </c>
      <c r="M21" s="436">
        <f t="shared" si="1"/>
        <v>0</v>
      </c>
      <c r="N21" s="436">
        <f t="shared" si="1"/>
        <v>0</v>
      </c>
      <c r="O21" s="436">
        <f t="shared" si="1"/>
        <v>-303356.51883376017</v>
      </c>
    </row>
    <row r="24" spans="1:16">
      <c r="E24" s="533" t="s">
        <v>808</v>
      </c>
    </row>
    <row r="25" spans="1:16">
      <c r="E25" s="359" t="s">
        <v>780</v>
      </c>
      <c r="F25" t="s">
        <v>786</v>
      </c>
      <c r="G25" s="359" t="s">
        <v>35</v>
      </c>
      <c r="H25" s="359" t="s">
        <v>781</v>
      </c>
      <c r="I25" s="359" t="s">
        <v>782</v>
      </c>
      <c r="J25" s="359" t="s">
        <v>783</v>
      </c>
    </row>
    <row r="26" spans="1:16">
      <c r="E26" s="593" t="s">
        <v>111</v>
      </c>
      <c r="F26" s="593">
        <v>376</v>
      </c>
      <c r="G26" s="597">
        <v>3.87</v>
      </c>
      <c r="H26" s="1114">
        <v>-3.87</v>
      </c>
      <c r="I26" s="597">
        <f>SUM(G26:H26)</f>
        <v>0</v>
      </c>
      <c r="J26" s="593" t="s">
        <v>159</v>
      </c>
      <c r="K26" s="593"/>
      <c r="M26" t="s">
        <v>784</v>
      </c>
    </row>
    <row r="27" spans="1:16">
      <c r="E27" s="594" t="s">
        <v>123</v>
      </c>
      <c r="F27" s="594">
        <v>376</v>
      </c>
      <c r="G27" s="597">
        <v>5.3500000000000005</v>
      </c>
      <c r="H27" s="597">
        <v>-5.3500000000000005</v>
      </c>
      <c r="I27" s="597">
        <f t="shared" ref="I27:I32" si="2">SUM(G27:H27)</f>
        <v>0</v>
      </c>
      <c r="J27" s="594" t="s">
        <v>775</v>
      </c>
      <c r="K27" s="594"/>
      <c r="M27" t="s">
        <v>785</v>
      </c>
    </row>
    <row r="28" spans="1:16">
      <c r="E28" s="594" t="s">
        <v>125</v>
      </c>
      <c r="F28" s="594">
        <v>376</v>
      </c>
      <c r="G28" s="597">
        <v>6.23</v>
      </c>
      <c r="H28" s="597">
        <v>-6.23</v>
      </c>
      <c r="I28" s="597">
        <f t="shared" si="2"/>
        <v>0</v>
      </c>
      <c r="J28" s="594" t="s">
        <v>775</v>
      </c>
      <c r="K28" s="594"/>
      <c r="M28" t="s">
        <v>785</v>
      </c>
    </row>
    <row r="29" spans="1:16">
      <c r="E29" s="595" t="s">
        <v>342</v>
      </c>
      <c r="F29" s="595">
        <v>376</v>
      </c>
      <c r="G29" s="597">
        <v>7.34</v>
      </c>
      <c r="H29" s="597">
        <v>-7.34</v>
      </c>
      <c r="I29" s="597">
        <f t="shared" si="2"/>
        <v>0</v>
      </c>
      <c r="J29" s="595" t="s">
        <v>77</v>
      </c>
      <c r="K29" s="595"/>
      <c r="M29" t="s">
        <v>785</v>
      </c>
    </row>
    <row r="30" spans="1:16">
      <c r="A30" s="463"/>
      <c r="B30" s="463"/>
      <c r="C30" s="463"/>
      <c r="D30" s="2"/>
      <c r="E30" s="595" t="s">
        <v>129</v>
      </c>
      <c r="F30" s="595">
        <v>376</v>
      </c>
      <c r="G30" s="597">
        <v>35.989999999999995</v>
      </c>
      <c r="H30" s="1114">
        <v>-35.989999999999995</v>
      </c>
      <c r="I30" s="597">
        <f t="shared" si="2"/>
        <v>0</v>
      </c>
      <c r="J30" s="595" t="s">
        <v>77</v>
      </c>
      <c r="K30" s="595"/>
      <c r="M30" t="s">
        <v>784</v>
      </c>
    </row>
    <row r="31" spans="1:16">
      <c r="A31" s="463"/>
      <c r="B31" s="463"/>
      <c r="C31" s="463"/>
      <c r="D31" s="2"/>
      <c r="E31" s="595" t="s">
        <v>127</v>
      </c>
      <c r="F31" s="595">
        <v>376</v>
      </c>
      <c r="G31" s="597">
        <v>24.11</v>
      </c>
      <c r="H31" s="597">
        <v>-24.11</v>
      </c>
      <c r="I31" s="597">
        <f t="shared" si="2"/>
        <v>0</v>
      </c>
      <c r="J31" s="595" t="s">
        <v>77</v>
      </c>
      <c r="K31" s="595"/>
      <c r="M31" t="s">
        <v>785</v>
      </c>
    </row>
    <row r="32" spans="1:16">
      <c r="A32" s="361"/>
      <c r="D32" s="437"/>
      <c r="E32" s="596" t="s">
        <v>127</v>
      </c>
      <c r="F32" s="596">
        <v>380</v>
      </c>
      <c r="G32" s="598">
        <v>492629.8199999996</v>
      </c>
      <c r="H32" s="1115">
        <v>-303273.62883376016</v>
      </c>
      <c r="I32" s="598">
        <f t="shared" si="2"/>
        <v>189356.19116623944</v>
      </c>
      <c r="J32" s="596" t="s">
        <v>77</v>
      </c>
      <c r="K32" s="595"/>
      <c r="M32" t="s">
        <v>784</v>
      </c>
    </row>
    <row r="33" spans="1:10">
      <c r="D33" s="437"/>
      <c r="E33" s="359"/>
      <c r="F33" s="359"/>
      <c r="G33" s="597">
        <f>SUM(G26:G32)</f>
        <v>492712.70999999961</v>
      </c>
      <c r="H33" s="597">
        <f>SUM(H26:H32)</f>
        <v>-303356.51883376017</v>
      </c>
      <c r="I33" s="597">
        <f>SUM(I26:I32)</f>
        <v>189356.19116623944</v>
      </c>
      <c r="J33" s="359"/>
    </row>
    <row r="34" spans="1:10">
      <c r="A34" s="463"/>
      <c r="B34" s="463"/>
      <c r="C34" s="463"/>
      <c r="D34" s="437"/>
    </row>
    <row r="35" spans="1:10">
      <c r="D35" s="437"/>
    </row>
    <row r="36" spans="1:10">
      <c r="A36" s="361"/>
      <c r="D36" s="437"/>
    </row>
    <row r="37" spans="1:10">
      <c r="A37" s="361"/>
      <c r="D37" s="437"/>
    </row>
    <row r="38" spans="1:10">
      <c r="A38" s="361"/>
      <c r="D38" s="437"/>
    </row>
    <row r="39" spans="1:10">
      <c r="D39" s="437"/>
    </row>
    <row r="40" spans="1:10">
      <c r="A40" s="463"/>
      <c r="B40" s="463"/>
      <c r="C40" s="463"/>
      <c r="D40" s="437"/>
    </row>
    <row r="41" spans="1:10">
      <c r="D41" s="437"/>
    </row>
    <row r="42" spans="1:10">
      <c r="A42" s="361"/>
      <c r="D42" s="437"/>
    </row>
    <row r="43" spans="1:10">
      <c r="A43" s="361"/>
      <c r="D43" s="437"/>
      <c r="E43" s="437"/>
    </row>
    <row r="44" spans="1:10">
      <c r="D44" s="437"/>
      <c r="E44" s="437"/>
    </row>
    <row r="45" spans="1:10">
      <c r="E45" s="437"/>
    </row>
    <row r="46" spans="1:10">
      <c r="D46" s="2"/>
      <c r="E46" s="437"/>
    </row>
    <row r="47" spans="1:10">
      <c r="E47" s="437"/>
    </row>
  </sheetData>
  <pageMargins left="0.7" right="0.7" top="0.75" bottom="0.75" header="0.3" footer="0.3"/>
  <pageSetup orientation="portrait" horizontalDpi="90" verticalDpi="90" r:id="rId1"/>
  <headerFooter>
    <oddFooter>&amp;L&amp;1#&amp;"Calibri"&amp;14&amp;K000000Business Use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1F4AB-A651-431E-A3B5-FB46C779BCDD}">
  <sheetPr>
    <tabColor theme="5" tint="0.39997558519241921"/>
    <pageSetUpPr fitToPage="1"/>
  </sheetPr>
  <dimension ref="A1:L33"/>
  <sheetViews>
    <sheetView workbookViewId="0"/>
  </sheetViews>
  <sheetFormatPr defaultColWidth="9.140625" defaultRowHeight="15.75"/>
  <cols>
    <col min="1" max="1" width="36.140625" style="4" bestFit="1" customWidth="1"/>
    <col min="2" max="3" width="16.85546875" style="4" bestFit="1" customWidth="1"/>
    <col min="4" max="4" width="16.85546875" style="497" bestFit="1" customWidth="1"/>
    <col min="5" max="5" width="16.85546875" style="4" bestFit="1" customWidth="1"/>
    <col min="6" max="6" width="9.7109375" style="4" bestFit="1" customWidth="1"/>
    <col min="7" max="7" width="9.140625" style="4"/>
    <col min="8" max="9" width="14" style="4" bestFit="1" customWidth="1"/>
    <col min="10" max="10" width="15.7109375" style="4" bestFit="1" customWidth="1"/>
    <col min="11" max="11" width="9.140625" style="4"/>
    <col min="12" max="12" width="13.5703125" style="4" bestFit="1" customWidth="1"/>
    <col min="13" max="14" width="9.140625" style="4"/>
    <col min="15" max="15" width="15.7109375" style="4" bestFit="1" customWidth="1"/>
    <col min="16" max="16384" width="9.140625" style="4"/>
  </cols>
  <sheetData>
    <row r="1" spans="1:10">
      <c r="A1" s="1593" t="s">
        <v>669</v>
      </c>
      <c r="B1" s="1593"/>
      <c r="C1" s="1593"/>
      <c r="D1" s="1593"/>
      <c r="E1" s="1593"/>
      <c r="F1" s="1593"/>
      <c r="G1" s="1593"/>
      <c r="H1" s="1593"/>
    </row>
    <row r="2" spans="1:10">
      <c r="A2" s="1593" t="s">
        <v>670</v>
      </c>
      <c r="B2" s="1593"/>
      <c r="C2" s="1593"/>
      <c r="D2" s="1593"/>
      <c r="E2" s="1593"/>
      <c r="F2" s="1593"/>
      <c r="G2" s="1593"/>
      <c r="H2" s="1593"/>
    </row>
    <row r="3" spans="1:10">
      <c r="A3" s="1593" t="s">
        <v>671</v>
      </c>
      <c r="B3" s="1593"/>
      <c r="C3" s="1593"/>
      <c r="D3" s="1593"/>
      <c r="E3" s="1593"/>
      <c r="F3" s="1593"/>
      <c r="G3" s="1593"/>
      <c r="H3" s="1593"/>
    </row>
    <row r="4" spans="1:10">
      <c r="A4" s="1594" t="s">
        <v>683</v>
      </c>
      <c r="B4" s="1593"/>
      <c r="C4" s="1593"/>
      <c r="D4" s="1593"/>
      <c r="E4" s="1593"/>
      <c r="F4" s="1593"/>
      <c r="G4" s="1593"/>
      <c r="H4" s="1593"/>
    </row>
    <row r="5" spans="1:10">
      <c r="A5" s="490"/>
      <c r="B5" s="490"/>
      <c r="C5" s="490"/>
      <c r="D5" s="491"/>
      <c r="E5" s="490"/>
      <c r="F5" s="490"/>
      <c r="G5" s="490"/>
      <c r="H5" s="490"/>
    </row>
    <row r="6" spans="1:10">
      <c r="A6" s="6"/>
      <c r="B6" s="490" t="s">
        <v>672</v>
      </c>
      <c r="C6" s="490" t="s">
        <v>672</v>
      </c>
      <c r="D6" s="491"/>
      <c r="E6" s="490" t="s">
        <v>673</v>
      </c>
      <c r="F6" s="490"/>
      <c r="G6" s="490"/>
      <c r="H6" s="490" t="s">
        <v>161</v>
      </c>
      <c r="J6" s="490" t="s">
        <v>3</v>
      </c>
    </row>
    <row r="7" spans="1:10">
      <c r="A7" s="6"/>
      <c r="B7" s="490" t="s">
        <v>674</v>
      </c>
      <c r="C7" s="490" t="s">
        <v>675</v>
      </c>
      <c r="D7" s="491"/>
      <c r="E7" s="490" t="s">
        <v>674</v>
      </c>
      <c r="F7" s="490" t="s">
        <v>1</v>
      </c>
      <c r="G7" s="490" t="s">
        <v>676</v>
      </c>
      <c r="H7" s="490" t="s">
        <v>0</v>
      </c>
      <c r="J7" s="490" t="s">
        <v>677</v>
      </c>
    </row>
    <row r="8" spans="1:10">
      <c r="A8" s="492" t="s">
        <v>106</v>
      </c>
      <c r="B8" s="492" t="s">
        <v>678</v>
      </c>
      <c r="C8" s="492" t="s">
        <v>0</v>
      </c>
      <c r="D8" s="493" t="s">
        <v>679</v>
      </c>
      <c r="E8" s="492" t="s">
        <v>678</v>
      </c>
      <c r="F8" s="492" t="s">
        <v>7</v>
      </c>
      <c r="G8" s="492" t="s">
        <v>680</v>
      </c>
      <c r="H8" s="492" t="s">
        <v>396</v>
      </c>
      <c r="J8" s="490" t="s">
        <v>679</v>
      </c>
    </row>
    <row r="9" spans="1:10">
      <c r="A9" s="490"/>
      <c r="B9" s="490"/>
      <c r="C9" s="490"/>
      <c r="D9" s="494"/>
      <c r="E9" s="490"/>
      <c r="F9" s="490"/>
      <c r="G9" s="490"/>
      <c r="H9" s="490"/>
      <c r="J9" s="495"/>
    </row>
    <row r="10" spans="1:10">
      <c r="A10" s="496" t="s">
        <v>681</v>
      </c>
      <c r="B10" s="497">
        <v>28379.7</v>
      </c>
      <c r="E10" s="495"/>
      <c r="F10" s="4">
        <v>237413</v>
      </c>
      <c r="G10" s="498">
        <v>0</v>
      </c>
      <c r="H10" s="497">
        <v>0</v>
      </c>
      <c r="J10" s="495">
        <f t="shared" ref="J10:J17" si="0">SUM(B10,D10)</f>
        <v>28379.7</v>
      </c>
    </row>
    <row r="11" spans="1:10">
      <c r="A11" s="4" t="s">
        <v>316</v>
      </c>
      <c r="B11" s="497">
        <v>260943.97</v>
      </c>
      <c r="E11" s="495"/>
      <c r="F11" s="4">
        <v>237413</v>
      </c>
      <c r="G11" s="498">
        <v>0</v>
      </c>
      <c r="H11" s="497">
        <v>0</v>
      </c>
      <c r="J11" s="495">
        <f t="shared" si="0"/>
        <v>260943.97</v>
      </c>
    </row>
    <row r="12" spans="1:10">
      <c r="A12" s="4" t="s">
        <v>442</v>
      </c>
      <c r="B12" s="499">
        <v>295187.87</v>
      </c>
      <c r="C12" s="500"/>
      <c r="D12" s="499"/>
      <c r="E12" s="500"/>
      <c r="F12" s="4">
        <v>237413</v>
      </c>
      <c r="G12" s="498">
        <v>0</v>
      </c>
      <c r="H12" s="499">
        <v>0</v>
      </c>
      <c r="J12" s="495">
        <f t="shared" si="0"/>
        <v>295187.87</v>
      </c>
    </row>
    <row r="13" spans="1:10">
      <c r="B13" s="501">
        <f>SUM(B10:B12)</f>
        <v>584511.54</v>
      </c>
      <c r="C13" s="495"/>
      <c r="E13" s="501">
        <f>B13-C13+D13</f>
        <v>584511.54</v>
      </c>
      <c r="G13" s="498"/>
      <c r="H13" s="497">
        <v>0</v>
      </c>
      <c r="J13" s="495"/>
    </row>
    <row r="14" spans="1:10">
      <c r="B14" s="497"/>
      <c r="C14" s="495"/>
      <c r="E14" s="495"/>
      <c r="G14" s="498"/>
      <c r="H14" s="497"/>
      <c r="J14" s="495"/>
    </row>
    <row r="15" spans="1:10">
      <c r="A15" s="496" t="s">
        <v>310</v>
      </c>
      <c r="B15" s="497">
        <v>0</v>
      </c>
      <c r="C15" s="497"/>
      <c r="D15" s="497">
        <v>17584917.949999999</v>
      </c>
      <c r="E15" s="495"/>
      <c r="F15" s="4">
        <v>236720</v>
      </c>
      <c r="G15" s="498">
        <v>2.0500000000000001E-2</v>
      </c>
      <c r="H15" s="497"/>
      <c r="J15" s="495">
        <f t="shared" si="0"/>
        <v>17584917.949999999</v>
      </c>
    </row>
    <row r="16" spans="1:10">
      <c r="A16" s="4" t="s">
        <v>312</v>
      </c>
      <c r="B16" s="497">
        <v>37831761.869999997</v>
      </c>
      <c r="C16" s="497"/>
      <c r="E16" s="495"/>
      <c r="F16" s="4">
        <v>236720</v>
      </c>
      <c r="G16" s="498">
        <v>2.0500000000000001E-2</v>
      </c>
      <c r="H16" s="497"/>
      <c r="J16" s="495">
        <f t="shared" si="0"/>
        <v>37831761.869999997</v>
      </c>
    </row>
    <row r="17" spans="1:12">
      <c r="A17" s="4" t="s">
        <v>314</v>
      </c>
      <c r="B17" s="499">
        <v>38253440.770000003</v>
      </c>
      <c r="C17" s="500"/>
      <c r="D17" s="499"/>
      <c r="E17" s="500"/>
      <c r="F17" s="4">
        <v>236720</v>
      </c>
      <c r="G17" s="498">
        <v>2.0500000000000001E-2</v>
      </c>
      <c r="H17" s="499"/>
      <c r="J17" s="495">
        <f t="shared" si="0"/>
        <v>38253440.770000003</v>
      </c>
    </row>
    <row r="18" spans="1:12">
      <c r="B18" s="501">
        <f>SUM(B15:B17)</f>
        <v>76085202.640000001</v>
      </c>
      <c r="C18" s="501">
        <v>317268.3</v>
      </c>
      <c r="D18" s="501">
        <f>SUM(D15:D17)</f>
        <v>17584917.949999999</v>
      </c>
      <c r="E18" s="501">
        <f>B18-C18+D18</f>
        <v>93352852.290000007</v>
      </c>
      <c r="G18" s="498"/>
      <c r="H18" s="501">
        <v>129021.2</v>
      </c>
      <c r="J18" s="495"/>
    </row>
    <row r="19" spans="1:12">
      <c r="B19" s="497"/>
      <c r="C19" s="495"/>
      <c r="G19" s="498"/>
      <c r="H19" s="497"/>
      <c r="J19" s="495"/>
    </row>
    <row r="20" spans="1:12" ht="16.5" thickBot="1">
      <c r="B20" s="502">
        <f>B13+B18</f>
        <v>76669714.180000007</v>
      </c>
      <c r="C20" s="502">
        <f>C13+C18</f>
        <v>317268.3</v>
      </c>
      <c r="D20" s="502">
        <f>D13+D18</f>
        <v>17584917.949999999</v>
      </c>
      <c r="E20" s="502">
        <f>B20-C20+D20</f>
        <v>93937363.830000013</v>
      </c>
      <c r="H20" s="502">
        <f>H18+H13</f>
        <v>129021.2</v>
      </c>
      <c r="J20" s="495"/>
      <c r="L20" s="497"/>
    </row>
    <row r="21" spans="1:12" ht="15" customHeight="1" thickTop="1">
      <c r="B21" s="497"/>
      <c r="J21" s="495"/>
      <c r="L21" s="497"/>
    </row>
    <row r="22" spans="1:12">
      <c r="A22" s="503"/>
      <c r="B22" s="504"/>
      <c r="C22" s="504"/>
      <c r="D22" s="505"/>
      <c r="E22" s="504"/>
      <c r="F22" s="505"/>
      <c r="G22" s="505"/>
      <c r="H22" s="504"/>
      <c r="J22" s="495"/>
    </row>
    <row r="23" spans="1:12">
      <c r="B23" s="497"/>
      <c r="C23" s="497"/>
      <c r="E23" s="497"/>
      <c r="F23" s="497"/>
      <c r="G23" s="497"/>
      <c r="H23" s="497"/>
      <c r="J23" s="495"/>
    </row>
    <row r="24" spans="1:12">
      <c r="B24" s="497"/>
      <c r="C24" s="497"/>
      <c r="E24" s="497"/>
      <c r="F24" s="497"/>
      <c r="G24" s="497"/>
      <c r="H24" s="497"/>
      <c r="J24" s="495"/>
    </row>
    <row r="25" spans="1:12">
      <c r="B25" s="497"/>
      <c r="C25" s="497"/>
      <c r="E25" s="497"/>
      <c r="F25" s="497"/>
      <c r="G25" s="497"/>
      <c r="H25" s="497"/>
      <c r="J25" s="495"/>
    </row>
    <row r="26" spans="1:12">
      <c r="B26" s="497"/>
      <c r="C26" s="497"/>
      <c r="E26" s="497"/>
      <c r="F26" s="497"/>
      <c r="G26" s="497"/>
      <c r="H26" s="497"/>
      <c r="J26" s="495"/>
    </row>
    <row r="27" spans="1:12">
      <c r="B27" s="497"/>
      <c r="C27" s="497"/>
      <c r="E27" s="497"/>
      <c r="F27" s="497"/>
      <c r="G27" s="497"/>
      <c r="H27" s="497"/>
      <c r="J27" s="495"/>
    </row>
    <row r="28" spans="1:12">
      <c r="B28" s="497"/>
      <c r="C28" s="497"/>
      <c r="E28" s="497"/>
      <c r="F28" s="497"/>
      <c r="G28" s="497"/>
      <c r="H28" s="497"/>
      <c r="J28" s="495"/>
    </row>
    <row r="29" spans="1:12">
      <c r="J29" s="495"/>
    </row>
    <row r="30" spans="1:12">
      <c r="J30" s="495"/>
    </row>
    <row r="31" spans="1:12">
      <c r="J31" s="495"/>
    </row>
    <row r="32" spans="1:12">
      <c r="J32" s="495"/>
    </row>
    <row r="33" spans="10:10">
      <c r="J33" s="495"/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63" orientation="portrait" r:id="rId1"/>
  <headerFooter>
    <oddFooter>&amp;L&amp;"Calibri"&amp;11&amp;K000000&amp;Z&amp;F&amp;F&amp;A_x000D_&amp;1#&amp;"Calibri"&amp;14&amp;K000000Business Use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2FB88-83E4-43E4-AE33-7B2BBA27423B}">
  <sheetPr>
    <tabColor theme="5" tint="0.39997558519241921"/>
    <pageSetUpPr fitToPage="1"/>
  </sheetPr>
  <dimension ref="A1:V19"/>
  <sheetViews>
    <sheetView workbookViewId="0"/>
  </sheetViews>
  <sheetFormatPr defaultColWidth="9.140625" defaultRowHeight="12.75"/>
  <cols>
    <col min="1" max="1" width="5.85546875" style="378" customWidth="1"/>
    <col min="2" max="2" width="22.85546875" style="372" customWidth="1"/>
    <col min="3" max="3" width="12.85546875" style="372" customWidth="1"/>
    <col min="4" max="4" width="9.85546875" style="372" customWidth="1"/>
    <col min="5" max="5" width="11.85546875" style="372" customWidth="1"/>
    <col min="6" max="6" width="14.85546875" style="372" customWidth="1"/>
    <col min="7" max="7" width="15.85546875" style="372" customWidth="1"/>
    <col min="8" max="14" width="9.140625" style="372" customWidth="1"/>
    <col min="15" max="16384" width="9.140625" style="372"/>
  </cols>
  <sheetData>
    <row r="1" spans="1:22" ht="18.75">
      <c r="A1" s="191" t="s">
        <v>65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251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66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74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341" t="s">
        <v>457</v>
      </c>
      <c r="G7" s="189" t="s">
        <v>75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1.2622813021079897E-2</v>
      </c>
      <c r="D9" s="70">
        <v>4.6002316569744824E-3</v>
      </c>
      <c r="E9" s="70">
        <f>C9*D9</f>
        <v>5.8067864059641441E-5</v>
      </c>
      <c r="F9" s="69"/>
      <c r="G9" s="69">
        <f>E9</f>
        <v>5.8067864059641441E-5</v>
      </c>
      <c r="K9" s="373"/>
      <c r="L9" s="374"/>
      <c r="M9" s="375"/>
    </row>
    <row r="10" spans="1:22" ht="15.75">
      <c r="A10" s="66">
        <v>2</v>
      </c>
      <c r="B10" s="71" t="s">
        <v>50</v>
      </c>
      <c r="C10" s="69">
        <v>0.45547230700144359</v>
      </c>
      <c r="D10" s="70">
        <v>4.0023828792907258E-2</v>
      </c>
      <c r="E10" s="70">
        <f>C10*D10</f>
        <v>1.8229745635336272E-2</v>
      </c>
      <c r="F10" s="69"/>
      <c r="G10" s="69">
        <f>E10</f>
        <v>1.8229745635336272E-2</v>
      </c>
      <c r="K10" s="373"/>
      <c r="L10" s="374"/>
      <c r="M10" s="375"/>
    </row>
    <row r="11" spans="1:22" ht="15.75">
      <c r="A11" s="188">
        <v>3</v>
      </c>
      <c r="B11" s="185" t="s">
        <v>49</v>
      </c>
      <c r="C11" s="187">
        <v>0.53190487997747649</v>
      </c>
      <c r="D11" s="376">
        <v>9.35E-2</v>
      </c>
      <c r="E11" s="186">
        <f>C11*D11</f>
        <v>4.9733106277894054E-2</v>
      </c>
      <c r="F11" s="187">
        <f>E11*(0.2495/(1-0.2495))</f>
        <v>1.6533524338886833E-2</v>
      </c>
      <c r="G11" s="187">
        <f>E11/(1-0.2495)</f>
        <v>6.6266630616780883E-2</v>
      </c>
      <c r="K11" s="373"/>
      <c r="L11" s="374"/>
      <c r="M11" s="375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6.8020919777289968E-2</v>
      </c>
      <c r="F12" s="69">
        <f>SUM(F9:F11)</f>
        <v>1.6533524338886833E-2</v>
      </c>
      <c r="G12" s="69">
        <f>ROUND(SUM(G9:G11),4)</f>
        <v>8.4599999999999995E-2</v>
      </c>
      <c r="K12" s="377"/>
      <c r="L12" s="374"/>
      <c r="M12" s="374"/>
    </row>
    <row r="13" spans="1:22" ht="15.75">
      <c r="A13" s="66"/>
      <c r="B13" s="26"/>
      <c r="C13" s="69"/>
      <c r="D13" s="26"/>
      <c r="E13" s="69"/>
      <c r="F13" s="69"/>
      <c r="G13" s="69"/>
      <c r="K13" s="377"/>
      <c r="L13" s="374"/>
      <c r="M13" s="374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704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26"/>
    </row>
    <row r="18" spans="1:7" ht="15.75">
      <c r="A18" s="66"/>
      <c r="B18" s="26"/>
      <c r="C18" s="26"/>
      <c r="D18" s="26"/>
      <c r="E18" s="26"/>
      <c r="F18" s="26"/>
      <c r="G18" s="26"/>
    </row>
    <row r="19" spans="1:7">
      <c r="D19" s="29"/>
    </row>
  </sheetData>
  <hyperlinks>
    <hyperlink ref="G7" r:id="rId1" display="^@ 38.9%" xr:uid="{00FFEC4D-BB5D-4DE7-8FF7-5B0BC08A7C31}"/>
  </hyperlinks>
  <printOptions horizontalCentered="1"/>
  <pageMargins left="0.5" right="0.62187499999999996" top="1" bottom="0.75" header="0.3" footer="0.3"/>
  <pageSetup orientation="landscape" r:id="rId2"/>
  <headerFooter>
    <oddFooter>&amp;R&amp;"Times New Roman,Bold"Exhibit 4
Page 3 of 18&amp;L&amp;1#&amp;"Calibri"&amp;14&amp;K000000Business Use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C8D2-91CB-4689-B5BD-EE13EB929494}">
  <sheetPr>
    <tabColor theme="5" tint="0.39997558519241921"/>
    <pageSetUpPr fitToPage="1"/>
  </sheetPr>
  <dimension ref="A1:V27"/>
  <sheetViews>
    <sheetView workbookViewId="0"/>
  </sheetViews>
  <sheetFormatPr defaultColWidth="9.140625" defaultRowHeight="12.75"/>
  <cols>
    <col min="1" max="1" width="5.85546875" style="378" customWidth="1"/>
    <col min="2" max="2" width="22.85546875" style="372" customWidth="1"/>
    <col min="3" max="3" width="12.85546875" style="372" customWidth="1"/>
    <col min="4" max="4" width="9.85546875" style="372" customWidth="1"/>
    <col min="5" max="5" width="11.85546875" style="372" customWidth="1"/>
    <col min="6" max="6" width="14.85546875" style="372" customWidth="1"/>
    <col min="7" max="7" width="15.85546875" style="372" customWidth="1"/>
    <col min="8" max="14" width="9.140625" style="372" customWidth="1"/>
    <col min="15" max="16384" width="9.140625" style="372"/>
  </cols>
  <sheetData>
    <row r="1" spans="1:22" ht="18.75">
      <c r="A1" s="191" t="s">
        <v>65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251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66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74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341" t="s">
        <v>457</v>
      </c>
      <c r="G7" s="189" t="s">
        <v>75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1.4005040758411292E-2</v>
      </c>
      <c r="D9" s="70">
        <v>3.3598855017064826E-2</v>
      </c>
      <c r="E9" s="70">
        <f>C9*D9</f>
        <v>4.7055333394994459E-4</v>
      </c>
      <c r="F9" s="69"/>
      <c r="G9" s="69">
        <f>E9</f>
        <v>4.7055333394994459E-4</v>
      </c>
      <c r="K9" s="373"/>
      <c r="L9" s="374"/>
      <c r="M9" s="375"/>
    </row>
    <row r="10" spans="1:22" ht="15.75">
      <c r="A10" s="66">
        <v>2</v>
      </c>
      <c r="B10" s="71" t="s">
        <v>50</v>
      </c>
      <c r="C10" s="69">
        <v>0.45497001497241335</v>
      </c>
      <c r="D10" s="70">
        <v>4.3744370689708191E-2</v>
      </c>
      <c r="E10" s="70">
        <f>C10*D10</f>
        <v>1.9902376987655335E-2</v>
      </c>
      <c r="F10" s="69"/>
      <c r="G10" s="69">
        <f>E10</f>
        <v>1.9902376987655335E-2</v>
      </c>
      <c r="K10" s="373"/>
      <c r="L10" s="374"/>
      <c r="M10" s="375"/>
    </row>
    <row r="11" spans="1:22" ht="15.75">
      <c r="A11" s="188">
        <v>3</v>
      </c>
      <c r="B11" s="185" t="s">
        <v>49</v>
      </c>
      <c r="C11" s="187">
        <v>0.53102494426917535</v>
      </c>
      <c r="D11" s="376">
        <v>9.7250000000000003E-2</v>
      </c>
      <c r="E11" s="186">
        <f>C11*D11</f>
        <v>5.1642175830177307E-2</v>
      </c>
      <c r="F11" s="187">
        <f>E11*(0.2495/(1-0.2495))</f>
        <v>1.7168185036148219E-2</v>
      </c>
      <c r="G11" s="187">
        <f>E11/(1-0.2495)</f>
        <v>6.8810360866325526E-2</v>
      </c>
      <c r="K11" s="373"/>
      <c r="L11" s="374"/>
      <c r="M11" s="375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7.2015106151782582E-2</v>
      </c>
      <c r="F12" s="69">
        <f>SUM(F9:F11)</f>
        <v>1.7168185036148219E-2</v>
      </c>
      <c r="G12" s="69">
        <f>ROUND(SUM(G9:G11),4)</f>
        <v>8.9200000000000002E-2</v>
      </c>
      <c r="K12" s="377"/>
      <c r="L12" s="374"/>
      <c r="M12" s="374"/>
    </row>
    <row r="13" spans="1:22" ht="15.75">
      <c r="A13" s="66"/>
      <c r="B13" s="26"/>
      <c r="C13" s="69"/>
      <c r="D13" s="26"/>
      <c r="E13" s="69"/>
      <c r="F13" s="69"/>
      <c r="G13" s="69"/>
      <c r="K13" s="377"/>
      <c r="L13" s="374"/>
      <c r="M13" s="374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703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43" t="s">
        <v>56</v>
      </c>
    </row>
    <row r="18" spans="1:7" ht="15.75">
      <c r="A18" s="43" t="s">
        <v>4</v>
      </c>
      <c r="B18" s="26"/>
      <c r="C18" s="26"/>
      <c r="D18" s="26"/>
      <c r="E18" s="43" t="s">
        <v>46</v>
      </c>
      <c r="F18" s="43" t="s">
        <v>47</v>
      </c>
      <c r="G18" s="67" t="s">
        <v>74</v>
      </c>
    </row>
    <row r="19" spans="1:7" ht="15.75">
      <c r="A19" s="189" t="s">
        <v>5</v>
      </c>
      <c r="B19" s="189" t="s">
        <v>44</v>
      </c>
      <c r="C19" s="189" t="s">
        <v>45</v>
      </c>
      <c r="D19" s="189" t="s">
        <v>35</v>
      </c>
      <c r="E19" s="189" t="s">
        <v>35</v>
      </c>
      <c r="F19" s="341" t="s">
        <v>457</v>
      </c>
      <c r="G19" s="189" t="s">
        <v>75</v>
      </c>
    </row>
    <row r="20" spans="1:7" ht="15.75">
      <c r="A20" s="66"/>
      <c r="B20" s="26"/>
      <c r="C20" s="26"/>
      <c r="D20" s="26"/>
      <c r="E20" s="26"/>
      <c r="F20" s="26"/>
      <c r="G20" s="26"/>
    </row>
    <row r="21" spans="1:7" ht="15.75">
      <c r="A21" s="66">
        <v>1</v>
      </c>
      <c r="B21" s="26" t="s">
        <v>48</v>
      </c>
      <c r="C21" s="69">
        <f>'ROR Eff 07.2021'!C9</f>
        <v>1.2622813021079897E-2</v>
      </c>
      <c r="D21" s="69">
        <f>'ROR Eff 07.2021'!D9</f>
        <v>4.6002316569744824E-3</v>
      </c>
      <c r="E21" s="70">
        <f>C21*D21</f>
        <v>5.8067864059641441E-5</v>
      </c>
      <c r="F21" s="69"/>
      <c r="G21" s="69">
        <f>E21</f>
        <v>5.8067864059641441E-5</v>
      </c>
    </row>
    <row r="22" spans="1:7" ht="15.75">
      <c r="A22" s="66">
        <v>2</v>
      </c>
      <c r="B22" s="71" t="s">
        <v>50</v>
      </c>
      <c r="C22" s="69">
        <f>'ROR Eff 07.2021'!C10</f>
        <v>0.45547230700144359</v>
      </c>
      <c r="D22" s="69">
        <f>'ROR Eff 07.2021'!D10</f>
        <v>4.0023828792907258E-2</v>
      </c>
      <c r="E22" s="70">
        <f>C22*D22</f>
        <v>1.8229745635336272E-2</v>
      </c>
      <c r="F22" s="69"/>
      <c r="G22" s="69">
        <f>E22</f>
        <v>1.8229745635336272E-2</v>
      </c>
    </row>
    <row r="23" spans="1:7" ht="15.75">
      <c r="A23" s="188">
        <v>3</v>
      </c>
      <c r="B23" s="185" t="s">
        <v>49</v>
      </c>
      <c r="C23" s="187">
        <f>'ROR Eff 07.2021'!C11</f>
        <v>0.53190487997747649</v>
      </c>
      <c r="D23" s="187">
        <f>'ROR Eff 07.2021'!D11</f>
        <v>9.35E-2</v>
      </c>
      <c r="E23" s="186">
        <f>C23*D23</f>
        <v>4.9733106277894054E-2</v>
      </c>
      <c r="F23" s="187">
        <f>E23*(0.2495/(1-0.2495))</f>
        <v>1.6533524338886833E-2</v>
      </c>
      <c r="G23" s="187">
        <f>E23/(1-0.2495)</f>
        <v>6.6266630616780883E-2</v>
      </c>
    </row>
    <row r="24" spans="1:7" ht="15.75">
      <c r="A24" s="66">
        <v>4</v>
      </c>
      <c r="B24" s="26" t="s">
        <v>3</v>
      </c>
      <c r="C24" s="69">
        <f>SUM(C21:C23)</f>
        <v>1</v>
      </c>
      <c r="D24" s="26"/>
      <c r="E24" s="69">
        <f>SUM(E21:E23)</f>
        <v>6.8020919777289968E-2</v>
      </c>
      <c r="F24" s="69">
        <f>SUM(F21:F23)</f>
        <v>1.6533524338886833E-2</v>
      </c>
      <c r="G24" s="69">
        <f>ROUND(SUM(G21:G23),4)</f>
        <v>8.4599999999999995E-2</v>
      </c>
    </row>
    <row r="25" spans="1:7" ht="15.75">
      <c r="A25" s="66"/>
      <c r="B25" s="26"/>
      <c r="C25" s="69"/>
      <c r="D25" s="26"/>
      <c r="E25" s="69"/>
      <c r="F25" s="69"/>
      <c r="G25" s="69"/>
    </row>
    <row r="26" spans="1:7" ht="15.75">
      <c r="A26" s="66"/>
      <c r="B26" s="26"/>
      <c r="C26" s="26"/>
      <c r="D26" s="26"/>
      <c r="E26" s="26"/>
      <c r="F26" s="26"/>
      <c r="G26" s="26"/>
    </row>
    <row r="27" spans="1:7" ht="15.75">
      <c r="A27" s="190" t="s">
        <v>704</v>
      </c>
      <c r="B27" s="26"/>
      <c r="C27" s="26"/>
      <c r="D27" s="26"/>
      <c r="E27" s="26"/>
      <c r="F27" s="26"/>
      <c r="G27" s="26"/>
    </row>
  </sheetData>
  <hyperlinks>
    <hyperlink ref="G7" r:id="rId1" display="^@ 38.9%" xr:uid="{6089D2BD-9E64-47C5-89C1-8ABB4627E77F}"/>
    <hyperlink ref="G19" r:id="rId2" display="^@ 38.9%" xr:uid="{B3FFEFED-7652-498B-89A5-469418135A27}"/>
  </hyperlinks>
  <printOptions horizontalCentered="1"/>
  <pageMargins left="0.5" right="0.62187499999999996" top="1" bottom="0.75" header="0.3" footer="0.3"/>
  <pageSetup orientation="landscape" r:id="rId3"/>
  <headerFooter>
    <oddFooter>&amp;R&amp;"Times New Roman,Bold"Exhibit 4
Page 3 of 18&amp;L&amp;1#&amp;"Calibri"&amp;14&amp;K000000Business Use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9C75-A117-4634-A26D-772B856278B4}">
  <sheetPr>
    <tabColor theme="6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  <pageSetUpPr autoPageBreaks="0"/>
  </sheetPr>
  <dimension ref="A1:F26"/>
  <sheetViews>
    <sheetView showGridLines="0" view="pageBreakPreview" zoomScale="90" zoomScaleNormal="100" zoomScaleSheetLayoutView="90" workbookViewId="0"/>
  </sheetViews>
  <sheetFormatPr defaultColWidth="9.140625" defaultRowHeight="12.75"/>
  <cols>
    <col min="1" max="1" width="22.85546875" style="256" customWidth="1"/>
    <col min="2" max="4" width="17" style="259" customWidth="1"/>
    <col min="5" max="5" width="17" style="256" customWidth="1"/>
    <col min="6" max="6" width="17" style="259" customWidth="1"/>
    <col min="7" max="16384" width="9.140625" style="256"/>
  </cols>
  <sheetData>
    <row r="1" spans="1:6" ht="15.75">
      <c r="A1" s="327" t="s">
        <v>669</v>
      </c>
      <c r="B1" s="1252"/>
      <c r="C1" s="1252"/>
      <c r="D1" s="1252"/>
      <c r="E1" s="1253"/>
      <c r="F1" s="1252"/>
    </row>
    <row r="2" spans="1:6" ht="15" customHeight="1">
      <c r="A2" s="1342" t="s">
        <v>403</v>
      </c>
      <c r="B2" s="1206"/>
      <c r="C2" s="1206"/>
      <c r="D2" s="1206"/>
      <c r="E2" s="1206"/>
      <c r="F2" s="1206"/>
    </row>
    <row r="3" spans="1:6" ht="15" customHeight="1">
      <c r="A3" s="1342" t="str">
        <f>'OU Collection'!A3</f>
        <v>As of December 2023</v>
      </c>
      <c r="B3" s="1207"/>
      <c r="C3" s="1207"/>
      <c r="D3" s="1207"/>
      <c r="E3" s="1207"/>
      <c r="F3" s="1207"/>
    </row>
    <row r="4" spans="1:6" ht="15" customHeight="1">
      <c r="C4" s="371"/>
      <c r="D4" s="371"/>
      <c r="E4" s="259"/>
    </row>
    <row r="5" spans="1:6" s="265" customFormat="1" ht="12.95" customHeight="1">
      <c r="B5" s="1254"/>
      <c r="C5" s="371"/>
      <c r="D5" s="371"/>
      <c r="E5" s="1254"/>
      <c r="F5" s="1254"/>
    </row>
    <row r="6" spans="1:6" s="669" customFormat="1" ht="20.25" customHeight="1">
      <c r="A6" s="1208" t="s">
        <v>366</v>
      </c>
      <c r="B6" s="1343" t="s">
        <v>367</v>
      </c>
      <c r="C6" s="1343" t="s">
        <v>368</v>
      </c>
      <c r="D6" s="1343" t="s">
        <v>369</v>
      </c>
      <c r="E6" s="1343" t="s">
        <v>370</v>
      </c>
      <c r="F6" s="1343" t="s">
        <v>371</v>
      </c>
    </row>
    <row r="7" spans="1:6" s="266" customFormat="1" ht="18.75" customHeight="1">
      <c r="A7" s="1344"/>
      <c r="B7" s="1345"/>
      <c r="C7" s="1345"/>
      <c r="D7" s="1345" t="s">
        <v>0</v>
      </c>
      <c r="E7" s="1345"/>
      <c r="F7" s="1345" t="s">
        <v>404</v>
      </c>
    </row>
    <row r="8" spans="1:6" s="266" customFormat="1" ht="18.75" customHeight="1">
      <c r="A8" s="1341" t="s">
        <v>396</v>
      </c>
      <c r="B8" s="1345" t="s">
        <v>405</v>
      </c>
      <c r="C8" s="1345" t="s">
        <v>0</v>
      </c>
      <c r="D8" s="1345" t="s">
        <v>406</v>
      </c>
      <c r="E8" s="1345" t="s">
        <v>407</v>
      </c>
      <c r="F8" s="1345" t="s">
        <v>408</v>
      </c>
    </row>
    <row r="9" spans="1:6" s="266" customFormat="1" ht="18.75" customHeight="1">
      <c r="A9" s="1346" t="s">
        <v>105</v>
      </c>
      <c r="B9" s="1208" t="s">
        <v>396</v>
      </c>
      <c r="C9" s="1208" t="s">
        <v>396</v>
      </c>
      <c r="D9" s="1208" t="s">
        <v>12</v>
      </c>
      <c r="E9" s="1208" t="s">
        <v>396</v>
      </c>
      <c r="F9" s="1208" t="s">
        <v>409</v>
      </c>
    </row>
    <row r="10" spans="1:6" s="266" customFormat="1" ht="18.75" customHeight="1">
      <c r="A10" s="1145"/>
      <c r="B10" s="1146"/>
      <c r="C10" s="1146"/>
      <c r="D10" s="1146"/>
      <c r="E10" s="1146"/>
      <c r="F10" s="1147" t="s">
        <v>410</v>
      </c>
    </row>
    <row r="11" spans="1:6" s="266" customFormat="1" ht="21.75" customHeight="1">
      <c r="A11" s="1321">
        <v>44927</v>
      </c>
      <c r="B11" s="1347">
        <f>'Cap&amp;OpEx 2023'!C33</f>
        <v>122057.44000000002</v>
      </c>
      <c r="C11" s="1347">
        <f>'202301 Bk Depr'!P18</f>
        <v>161381.65674600002</v>
      </c>
      <c r="D11" s="1347">
        <f>'202301 Bk Depr'!P26</f>
        <v>-1502.5018859999991</v>
      </c>
      <c r="E11" s="1348">
        <f>'Cap&amp;OpEx 2023'!C34</f>
        <v>64199.040000000001</v>
      </c>
      <c r="F11" s="1349">
        <f>SUM(B11:E11)</f>
        <v>346135.63486000005</v>
      </c>
    </row>
    <row r="12" spans="1:6" s="266" customFormat="1" ht="21.75" customHeight="1">
      <c r="A12" s="1321">
        <f t="shared" ref="A12:A22" si="0">DATE(YEAR(A11+45),MONTH(A11+45),1)</f>
        <v>44958</v>
      </c>
      <c r="B12" s="1350">
        <f>'Cap&amp;OpEx 2023'!D33</f>
        <v>188598.55000000002</v>
      </c>
      <c r="C12" s="1350">
        <f>'202302 Bk Depr'!P18</f>
        <v>165310.77959550003</v>
      </c>
      <c r="D12" s="1350">
        <f>'202302 Bk Depr'!P26</f>
        <v>-1502.5018859999991</v>
      </c>
      <c r="E12" s="1351">
        <f>'Cap&amp;OpEx 2023'!D34</f>
        <v>64199.040000000001</v>
      </c>
      <c r="F12" s="1352">
        <f>SUM(B12:E12)</f>
        <v>416605.86770950002</v>
      </c>
    </row>
    <row r="13" spans="1:6" s="266" customFormat="1" ht="21.75" customHeight="1">
      <c r="A13" s="1321">
        <f t="shared" si="0"/>
        <v>44986</v>
      </c>
      <c r="B13" s="1350">
        <f>'Cap&amp;OpEx 2023'!E33</f>
        <v>142009.41000000006</v>
      </c>
      <c r="C13" s="1350">
        <f>'202303 Bk Depr'!P18</f>
        <v>169352.81305650002</v>
      </c>
      <c r="D13" s="1350">
        <f>'202303 Bk Depr'!P26</f>
        <v>-1503.898433999999</v>
      </c>
      <c r="E13" s="1351">
        <f>'Cap&amp;OpEx 2023'!E34</f>
        <v>64199.040000000001</v>
      </c>
      <c r="F13" s="1352">
        <f t="shared" ref="F13:F22" si="1">SUM(B13:E13)</f>
        <v>374057.36462250008</v>
      </c>
    </row>
    <row r="14" spans="1:6" s="266" customFormat="1" ht="21.75" customHeight="1">
      <c r="A14" s="1321">
        <f t="shared" si="0"/>
        <v>45017</v>
      </c>
      <c r="B14" s="1350">
        <f>'Cap&amp;OpEx 2023'!F33</f>
        <v>167702.81999999992</v>
      </c>
      <c r="C14" s="1350">
        <f>'202304 Bk Depr'!P18</f>
        <v>173524.42771200003</v>
      </c>
      <c r="D14" s="1350">
        <f>'202304 Bk Depr'!P26</f>
        <v>-1505.2949819999992</v>
      </c>
      <c r="E14" s="1351">
        <f>'Cap&amp;OpEx 2023'!F34</f>
        <v>64199.040000000001</v>
      </c>
      <c r="F14" s="1352">
        <f t="shared" si="1"/>
        <v>403920.99272999988</v>
      </c>
    </row>
    <row r="15" spans="1:6" s="266" customFormat="1" ht="21.75" customHeight="1">
      <c r="A15" s="1321">
        <f t="shared" si="0"/>
        <v>45047</v>
      </c>
      <c r="B15" s="1350">
        <f>'Cap&amp;OpEx 2023'!G33</f>
        <v>233158.8500000003</v>
      </c>
      <c r="C15" s="1350">
        <f>'202305 Bk Depr'!P18</f>
        <v>178047.22401000003</v>
      </c>
      <c r="D15" s="1350">
        <f>'202305 Bk Depr'!P26</f>
        <v>-1505.2949819999992</v>
      </c>
      <c r="E15" s="1351">
        <f>'Cap&amp;OpEx 2023'!G34</f>
        <v>64199.040000000001</v>
      </c>
      <c r="F15" s="1352">
        <f t="shared" si="1"/>
        <v>473899.81902800029</v>
      </c>
    </row>
    <row r="16" spans="1:6" s="266" customFormat="1" ht="21.75" customHeight="1">
      <c r="A16" s="1321">
        <f t="shared" si="0"/>
        <v>45078</v>
      </c>
      <c r="B16" s="1350">
        <f>'Cap&amp;OpEx 2023'!H33</f>
        <v>261754.0500000001</v>
      </c>
      <c r="C16" s="1350">
        <f>'202306 Bk Depr'!P18</f>
        <v>183215.79344250003</v>
      </c>
      <c r="D16" s="1350">
        <f>'202306 Bk Depr'!P26</f>
        <v>-1505.2949819999992</v>
      </c>
      <c r="E16" s="1351">
        <f>'Cap&amp;OpEx 2023'!H34</f>
        <v>64199.040000000001</v>
      </c>
      <c r="F16" s="1352">
        <f t="shared" si="1"/>
        <v>507663.58846050006</v>
      </c>
    </row>
    <row r="17" spans="1:6" s="266" customFormat="1" ht="21.75" customHeight="1">
      <c r="A17" s="1321">
        <f t="shared" si="0"/>
        <v>45108</v>
      </c>
      <c r="B17" s="1350">
        <f>'Cap&amp;OpEx 2023'!I33</f>
        <v>274262.87000000023</v>
      </c>
      <c r="C17" s="1350">
        <f>'202307 Bk Depr'!P18</f>
        <v>188183.65009950002</v>
      </c>
      <c r="D17" s="1350">
        <f>'202307 Bk Depr'!P26</f>
        <v>-1505.2949819999992</v>
      </c>
      <c r="E17" s="1351">
        <f>'Cap&amp;OpEx 2023'!I34</f>
        <v>64199.040000000001</v>
      </c>
      <c r="F17" s="1352">
        <f t="shared" si="1"/>
        <v>525140.26511750021</v>
      </c>
    </row>
    <row r="18" spans="1:6" s="266" customFormat="1" ht="21.75" customHeight="1">
      <c r="A18" s="1321">
        <f t="shared" si="0"/>
        <v>45139</v>
      </c>
      <c r="B18" s="1350">
        <f>'Cap&amp;OpEx 2023'!J33</f>
        <v>254450.6800000004</v>
      </c>
      <c r="C18" s="1350">
        <f>'202308 Bk Depr'!P18</f>
        <v>192709.58852250001</v>
      </c>
      <c r="D18" s="1350">
        <f>'202308 Bk Depr'!P26</f>
        <v>-1505.2949819999992</v>
      </c>
      <c r="E18" s="1351">
        <f>'Cap&amp;OpEx 2023'!J34</f>
        <v>64199.040000000001</v>
      </c>
      <c r="F18" s="1352">
        <f>SUM(B18:E18)</f>
        <v>509854.01354050037</v>
      </c>
    </row>
    <row r="19" spans="1:6" s="266" customFormat="1" ht="21.75" customHeight="1">
      <c r="A19" s="1321">
        <f t="shared" si="0"/>
        <v>45170</v>
      </c>
      <c r="B19" s="1350">
        <f>'Cap&amp;OpEx 2023'!K33</f>
        <v>243995.14000000031</v>
      </c>
      <c r="C19" s="1350">
        <f>'202309 Bk Depr'!P18</f>
        <v>197239.20275250002</v>
      </c>
      <c r="D19" s="1350">
        <f>'202309 Bk Depr'!P26</f>
        <v>-1505.2949819999992</v>
      </c>
      <c r="E19" s="1351">
        <f>'Cap&amp;OpEx 2023'!K34</f>
        <v>64199.040000000001</v>
      </c>
      <c r="F19" s="1352">
        <f t="shared" si="1"/>
        <v>503928.08777050028</v>
      </c>
    </row>
    <row r="20" spans="1:6" s="266" customFormat="1" ht="21.75" customHeight="1">
      <c r="A20" s="1321">
        <f t="shared" si="0"/>
        <v>45200</v>
      </c>
      <c r="B20" s="1350">
        <f>'Cap&amp;OpEx 2023'!L33</f>
        <v>235067.28999999986</v>
      </c>
      <c r="C20" s="1350">
        <f>'202310 Bk Depr'!P18</f>
        <v>201828.69508500001</v>
      </c>
      <c r="D20" s="1350">
        <f>'202310 Bk Depr'!P26</f>
        <v>-1505.2949819999992</v>
      </c>
      <c r="E20" s="1351">
        <f>'Cap&amp;OpEx 2023'!L34</f>
        <v>64199.040000000001</v>
      </c>
      <c r="F20" s="1352">
        <f t="shared" si="1"/>
        <v>499589.73010299983</v>
      </c>
    </row>
    <row r="21" spans="1:6" s="266" customFormat="1" ht="21.75" customHeight="1">
      <c r="A21" s="1321">
        <f t="shared" si="0"/>
        <v>45231</v>
      </c>
      <c r="B21" s="1350">
        <f>'Cap&amp;OpEx 2023'!M33</f>
        <v>248948.81000000003</v>
      </c>
      <c r="C21" s="1350">
        <f>'202311 Bk Depr'!P18</f>
        <v>207153.58275900004</v>
      </c>
      <c r="D21" s="1350">
        <f>'202311 Bk Depr'!P26</f>
        <v>-2262.4975484999991</v>
      </c>
      <c r="E21" s="1351">
        <f>'Cap&amp;OpEx 2023'!M34</f>
        <v>64199.040000000001</v>
      </c>
      <c r="F21" s="1352">
        <f t="shared" si="1"/>
        <v>518038.93521050003</v>
      </c>
    </row>
    <row r="22" spans="1:6" s="266" customFormat="1" ht="21.75" customHeight="1">
      <c r="A22" s="1353">
        <f t="shared" si="0"/>
        <v>45261</v>
      </c>
      <c r="B22" s="1350">
        <f>'Cap&amp;OpEx 2023'!N33</f>
        <v>243501.69000000003</v>
      </c>
      <c r="C22" s="1350">
        <f>'202312 Bk Depr'!P18</f>
        <v>212147.01365400004</v>
      </c>
      <c r="D22" s="1350">
        <f>'202312 Bk Depr'!P26</f>
        <v>-3019.7001149999992</v>
      </c>
      <c r="E22" s="1351">
        <f>'Cap&amp;OpEx 2023'!N34</f>
        <v>64199.040000000001</v>
      </c>
      <c r="F22" s="1354">
        <f t="shared" si="1"/>
        <v>516828.04353900003</v>
      </c>
    </row>
    <row r="23" spans="1:6" s="266" customFormat="1" ht="21.75" customHeight="1" thickBot="1">
      <c r="A23" s="1355"/>
      <c r="B23" s="1356">
        <f>SUM(B11:B22)</f>
        <v>2615507.6000000015</v>
      </c>
      <c r="C23" s="1356">
        <f>SUM(C11:C22)</f>
        <v>2230094.4274350004</v>
      </c>
      <c r="D23" s="1357">
        <f>SUM(D11:D22)</f>
        <v>-20328.16474349999</v>
      </c>
      <c r="E23" s="1356">
        <f>SUM(E11:E22)</f>
        <v>770388.4800000001</v>
      </c>
      <c r="F23" s="1356">
        <f>SUM(F11:F22)</f>
        <v>5595662.3426915007</v>
      </c>
    </row>
    <row r="24" spans="1:6" ht="15.75" customHeight="1" thickTop="1">
      <c r="A24" s="268"/>
      <c r="D24" s="1150"/>
      <c r="E24" s="259"/>
    </row>
    <row r="25" spans="1:6" ht="15.75" customHeight="1">
      <c r="A25" s="259"/>
      <c r="D25" s="1151"/>
      <c r="E25" s="259"/>
    </row>
    <row r="26" spans="1:6" ht="15.75" customHeight="1">
      <c r="B26" s="256"/>
      <c r="C26" s="256"/>
      <c r="D26" s="1152"/>
      <c r="F26" s="256"/>
    </row>
  </sheetData>
  <printOptions horizontalCentered="1"/>
  <pageMargins left="0.5" right="0.5" top="0.75" bottom="0.75" header="0.3" footer="0.3"/>
  <pageSetup scale="75" orientation="landscape" blackAndWhite="1" r:id="rId1"/>
  <headerFooter scaleWithDoc="0" alignWithMargins="0">
    <oddFooter>&amp;R&amp;"Times New Roman,Bold"Exhibit 3
Page 4 of 4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F56D-03C3-4B87-B1C0-C60FEE5CD36B}">
  <sheetPr>
    <tabColor theme="6" tint="0.39997558519241921"/>
    <pageSetUpPr fitToPage="1"/>
  </sheetPr>
  <dimension ref="A1:AJ1048492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20.85546875" style="72" customWidth="1"/>
    <col min="18" max="18" width="13.85546875" customWidth="1"/>
    <col min="19" max="19" width="18.85546875" style="72" customWidth="1"/>
    <col min="20" max="21" width="21.85546875" style="72" bestFit="1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549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 t="s">
        <v>493</v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15">
        <v>2019</v>
      </c>
      <c r="E6" s="95">
        <v>2020</v>
      </c>
      <c r="F6" s="95">
        <f>$E$6</f>
        <v>2020</v>
      </c>
      <c r="G6" s="95">
        <f>$E$6</f>
        <v>2020</v>
      </c>
      <c r="H6" s="95">
        <f>$E$6</f>
        <v>2020</v>
      </c>
      <c r="I6" s="95">
        <f>$E$6</f>
        <v>2020</v>
      </c>
      <c r="J6" s="95">
        <f>$E$6</f>
        <v>2020</v>
      </c>
      <c r="K6" s="95">
        <f t="shared" ref="K6:Q6" si="0">$E$6</f>
        <v>2020</v>
      </c>
      <c r="L6" s="95">
        <f t="shared" si="0"/>
        <v>2020</v>
      </c>
      <c r="M6" s="95">
        <f t="shared" si="0"/>
        <v>2020</v>
      </c>
      <c r="N6" s="95">
        <f t="shared" si="0"/>
        <v>2020</v>
      </c>
      <c r="O6" s="95">
        <f t="shared" si="0"/>
        <v>2020</v>
      </c>
      <c r="P6" s="95">
        <f t="shared" si="0"/>
        <v>2020</v>
      </c>
      <c r="Q6" s="133">
        <f t="shared" si="0"/>
        <v>2020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483"/>
      <c r="N9" s="13"/>
      <c r="O9" s="483"/>
      <c r="P9" s="483"/>
      <c r="Q9" s="123"/>
      <c r="R9"/>
      <c r="S9" s="458" t="s">
        <v>625</v>
      </c>
      <c r="T9" s="458" t="s">
        <v>793</v>
      </c>
      <c r="U9" s="458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484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123"/>
      <c r="R10"/>
      <c r="S10" s="458"/>
      <c r="T10" s="458"/>
      <c r="U10" s="458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412</v>
      </c>
      <c r="D11" s="284">
        <f>'Rev Req 2019-Distr'!P11+3389.75-3164.11-32.76-39.27</f>
        <v>55802661.969999999</v>
      </c>
      <c r="E11" s="285">
        <f>D11+SUM('Cap&amp;OpEx 2020'!C10,'Cap&amp;OpEx 2020'!C12:C14,'Cap&amp;OpEx 2020'!C17,'Cap&amp;OpEx 2020'!C19:C21)</f>
        <v>56859607.689999998</v>
      </c>
      <c r="F11" s="285">
        <f>E11+SUM('Cap&amp;OpEx 2020'!D10,'Cap&amp;OpEx 2020'!D12:D14,'Cap&amp;OpEx 2020'!D17,'Cap&amp;OpEx 2020'!D19:D21)</f>
        <v>57699012.599999994</v>
      </c>
      <c r="G11" s="285">
        <f>F11+SUM('Cap&amp;OpEx 2020'!E10,'Cap&amp;OpEx 2020'!E12:E14,'Cap&amp;OpEx 2020'!E17,'Cap&amp;OpEx 2020'!E19:E21)</f>
        <v>60463359.099999994</v>
      </c>
      <c r="H11" s="285">
        <f>G11+SUM('Cap&amp;OpEx 2020'!F10,'Cap&amp;OpEx 2020'!F12:F14,'Cap&amp;OpEx 2020'!F17,'Cap&amp;OpEx 2020'!F19:F21)</f>
        <v>61689500.399999999</v>
      </c>
      <c r="I11" s="285">
        <f>H11+SUM('Cap&amp;OpEx 2020'!G10,'Cap&amp;OpEx 2020'!G12:G14,'Cap&amp;OpEx 2020'!G17,'Cap&amp;OpEx 2020'!G19:G21)</f>
        <v>63027762.459999993</v>
      </c>
      <c r="J11" s="285">
        <f>I11+SUM('Cap&amp;OpEx 2020'!H10,'Cap&amp;OpEx 2020'!H12:H14,'Cap&amp;OpEx 2020'!H17,'Cap&amp;OpEx 2020'!H19:H21)</f>
        <v>64538573.909999996</v>
      </c>
      <c r="K11" s="285">
        <f>J11+SUM('Cap&amp;OpEx 2020'!I10,'Cap&amp;OpEx 2020'!I12:I14,'Cap&amp;OpEx 2020'!I17,'Cap&amp;OpEx 2020'!I19:I21)</f>
        <v>65863249.229999997</v>
      </c>
      <c r="L11" s="285">
        <f>K11+SUM('Cap&amp;OpEx 2020'!J10,'Cap&amp;OpEx 2020'!J12:J14,'Cap&amp;OpEx 2020'!J17,'Cap&amp;OpEx 2020'!J19:J21)</f>
        <v>67242344.859999999</v>
      </c>
      <c r="M11" s="285">
        <f>L11+SUM('Cap&amp;OpEx 2020'!K10,'Cap&amp;OpEx 2020'!K12:K14,'Cap&amp;OpEx 2020'!K17,'Cap&amp;OpEx 2020'!K19:K21)</f>
        <v>68654303.599999994</v>
      </c>
      <c r="N11" s="285">
        <f>M11+SUM('Cap&amp;OpEx 2020'!L10,'Cap&amp;OpEx 2020'!L12:L14,'Cap&amp;OpEx 2020'!L17,'Cap&amp;OpEx 2020'!L19:L21)</f>
        <v>70233426.689999998</v>
      </c>
      <c r="O11" s="285">
        <f>N11+SUM('Cap&amp;OpEx 2020'!M10,'Cap&amp;OpEx 2020'!M12:M14,'Cap&amp;OpEx 2020'!M17,'Cap&amp;OpEx 2020'!M19:M21)</f>
        <v>71571465.269999996</v>
      </c>
      <c r="P11" s="285">
        <f>O11+SUM('Cap&amp;OpEx 2020'!N10,'Cap&amp;OpEx 2020'!N12:N14,'Cap&amp;OpEx 2020'!N17,'Cap&amp;OpEx 2020'!N19:N21)</f>
        <v>72541642.989999995</v>
      </c>
      <c r="Q11" s="286">
        <f>AVERAGE(D11:P11)</f>
        <v>64322070.059230767</v>
      </c>
      <c r="R11"/>
      <c r="S11" s="465">
        <f>Q11-T11</f>
        <v>0</v>
      </c>
      <c r="T11" s="465">
        <v>64322070.059230767</v>
      </c>
      <c r="U11" s="46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f>'Rev Req 2019-Distr'!P12</f>
        <v>8089722.0599999996</v>
      </c>
      <c r="E12" s="285">
        <f>D12+SUM('Cap&amp;OpEx 2020'!C31,'Cap&amp;OpEx 2020'!C33:C35)</f>
        <v>8459892.2799999993</v>
      </c>
      <c r="F12" s="285">
        <f>E12+SUM('Cap&amp;OpEx 2020'!D31,'Cap&amp;OpEx 2020'!D33:D35)</f>
        <v>8988394.879999999</v>
      </c>
      <c r="G12" s="285">
        <f>F12+SUM('Cap&amp;OpEx 2020'!E31,'Cap&amp;OpEx 2020'!E33:E35)</f>
        <v>9654291.709999999</v>
      </c>
      <c r="H12" s="285">
        <f>G12+SUM('Cap&amp;OpEx 2020'!F31,'Cap&amp;OpEx 2020'!F33:F35)</f>
        <v>10320675.199999999</v>
      </c>
      <c r="I12" s="285">
        <f>H12+SUM('Cap&amp;OpEx 2020'!G31,'Cap&amp;OpEx 2020'!G33:G35)</f>
        <v>10849776.639999999</v>
      </c>
      <c r="J12" s="285">
        <f>I12+SUM('Cap&amp;OpEx 2020'!H31,'Cap&amp;OpEx 2020'!H33:H35)</f>
        <v>11223915.869999999</v>
      </c>
      <c r="K12" s="285">
        <f>J12+SUM('Cap&amp;OpEx 2020'!I31,'Cap&amp;OpEx 2020'!I33:I35)</f>
        <v>11568487.279999999</v>
      </c>
      <c r="L12" s="285">
        <f>K12+SUM('Cap&amp;OpEx 2020'!J31,'Cap&amp;OpEx 2020'!J33:J35)</f>
        <v>11959226.809999999</v>
      </c>
      <c r="M12" s="285">
        <f>L12+SUM('Cap&amp;OpEx 2020'!K31,'Cap&amp;OpEx 2020'!K33:K35)</f>
        <v>12318185.699999999</v>
      </c>
      <c r="N12" s="285">
        <f>M12+SUM('Cap&amp;OpEx 2020'!L31,'Cap&amp;OpEx 2020'!L33:L35)</f>
        <v>12884725.17</v>
      </c>
      <c r="O12" s="285">
        <f>N12+SUM('Cap&amp;OpEx 2020'!M31,'Cap&amp;OpEx 2020'!M33:M35)</f>
        <v>13275435.18</v>
      </c>
      <c r="P12" s="285">
        <f>O12+SUM('Cap&amp;OpEx 2020'!N31,'Cap&amp;OpEx 2020'!N33:N35)</f>
        <v>13531042.09</v>
      </c>
      <c r="Q12" s="286">
        <f>AVERAGE(D12:P12)</f>
        <v>11009520.836153846</v>
      </c>
      <c r="R12"/>
      <c r="S12" s="465">
        <f>Q12-T12</f>
        <v>0</v>
      </c>
      <c r="T12" s="465">
        <v>11009520.836153846</v>
      </c>
      <c r="U12" s="46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92">
        <f>'Rev Req 2019-Distr'!P13</f>
        <v>-2215132.9283872508</v>
      </c>
      <c r="E13" s="293">
        <f>SUM('Cap&amp;OpEx 2020'!C24,'Cap&amp;OpEx 2020'!C26:C28)-SUM('202001 Bk Depr'!$P$13,'202001 Bk Depr'!$P$15:$P$18)+D13</f>
        <v>-2357144.1035317509</v>
      </c>
      <c r="F13" s="293">
        <f>SUM('Cap&amp;OpEx 2020'!D24,'Cap&amp;OpEx 2020'!D26:D28)-SUM('202002 Bk Depr'!$P$13,'202002 Bk Depr'!$P$15:$P$18)+E13</f>
        <v>-2501682.2407387509</v>
      </c>
      <c r="G13" s="293">
        <f>SUM('Cap&amp;OpEx 2020'!E24,'Cap&amp;OpEx 2020'!E26:E28)-SUM('202003 Bk Depr'!$P$13,'202003 Bk Depr'!$P$15:$P$18)+F13</f>
        <v>-2651056.965415501</v>
      </c>
      <c r="H13" s="293">
        <f>SUM('Cap&amp;OpEx 2020'!F24,'Cap&amp;OpEx 2020'!F26:F28)-SUM('202004 Bk Depr'!$P$13,'202004 Bk Depr'!$P$15:$P$18)+G13</f>
        <v>-2805810.420903001</v>
      </c>
      <c r="I13" s="293">
        <f>SUM('Cap&amp;OpEx 2020'!G24,'Cap&amp;OpEx 2020'!G26:G28)-SUM('202005 Bk Depr'!$P$13,'202005 Bk Depr'!$P$15:$P$18)+H13</f>
        <v>-2964055.2993645011</v>
      </c>
      <c r="J13" s="293">
        <f>SUM('Cap&amp;OpEx 2020'!H24,'Cap&amp;OpEx 2020'!H26:H28)-SUM('202006 Bk Depr'!$P$13,'202006 Bk Depr'!$P$15:$P$18)+I13</f>
        <v>-3126178.2203407511</v>
      </c>
      <c r="K13" s="293">
        <f>SUM('Cap&amp;OpEx 2020'!I24,'Cap&amp;OpEx 2020'!I26:I28)-SUM('202007 Bk Depr'!$P$13,'202007 Bk Depr'!$P$15:$P$18)+J13</f>
        <v>-3292134.563753251</v>
      </c>
      <c r="L13" s="293">
        <f>SUM('Cap&amp;OpEx 2020'!J24,'Cap&amp;OpEx 2020'!J26:J28)-SUM('202008 Bk Depr'!$P$13,'202008 Bk Depr'!$P$15:$P$18)+K13</f>
        <v>-3311367.6723597511</v>
      </c>
      <c r="M13" s="293">
        <f>SUM('Cap&amp;OpEx 2020'!K24,'Cap&amp;OpEx 2020'!K26:K28)-SUM('202009 Bk Depr'!$P$13,'202009 Bk Depr'!$P$15:$P$18)+L13</f>
        <v>-3485152.5653930013</v>
      </c>
      <c r="N13" s="293">
        <f>SUM('Cap&amp;OpEx 2020'!L24,'Cap&amp;OpEx 2020'!L26:L28)-SUM('202010 Bk Depr'!$P$13,'202010 Bk Depr'!$P$15:$P$18)+M13</f>
        <v>-3662974.5047645015</v>
      </c>
      <c r="O13" s="293">
        <f>SUM('Cap&amp;OpEx 2020'!M24,'Cap&amp;OpEx 2020'!M26:M28)-SUM('202011 Bk Depr'!$P$13,'202011 Bk Depr'!$P$15:$P$18)+N13</f>
        <v>-3844733.7894777516</v>
      </c>
      <c r="P13" s="293">
        <f>SUM('Cap&amp;OpEx 2020'!N24,'Cap&amp;OpEx 2020'!N26:N28)-SUM('202012 Bk Depr'!$P$13,'202012 Bk Depr'!$P$15:$P$18)+O13</f>
        <v>-4029625.8927162518</v>
      </c>
      <c r="Q13" s="291">
        <f>AVERAGE(D13:P13)</f>
        <v>-3095926.8590112319</v>
      </c>
      <c r="R13"/>
      <c r="S13" s="465">
        <f>Q13-T13</f>
        <v>0</v>
      </c>
      <c r="T13" s="465">
        <v>-3095926.8590112319</v>
      </c>
      <c r="U13" s="46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24">
        <f t="shared" ref="D14:Q14" si="1">SUM(D11:D13)</f>
        <v>61677251.101612747</v>
      </c>
      <c r="E14" s="285">
        <f t="shared" si="1"/>
        <v>62962355.866468251</v>
      </c>
      <c r="F14" s="285">
        <f t="shared" si="1"/>
        <v>64185725.23926124</v>
      </c>
      <c r="G14" s="285">
        <f t="shared" si="1"/>
        <v>67466593.84458448</v>
      </c>
      <c r="H14" s="285">
        <f t="shared" si="1"/>
        <v>69204365.179096997</v>
      </c>
      <c r="I14" s="285">
        <f t="shared" si="1"/>
        <v>70913483.800635487</v>
      </c>
      <c r="J14" s="285">
        <f t="shared" si="1"/>
        <v>72636311.559659243</v>
      </c>
      <c r="K14" s="285">
        <f t="shared" si="1"/>
        <v>74139601.946246743</v>
      </c>
      <c r="L14" s="285">
        <f t="shared" si="1"/>
        <v>75890203.997640252</v>
      </c>
      <c r="M14" s="285">
        <f t="shared" si="1"/>
        <v>77487336.734606996</v>
      </c>
      <c r="N14" s="285">
        <f t="shared" si="1"/>
        <v>79455177.355235502</v>
      </c>
      <c r="O14" s="285">
        <f t="shared" si="1"/>
        <v>81002166.660522237</v>
      </c>
      <c r="P14" s="285">
        <f t="shared" si="1"/>
        <v>82043059.187283739</v>
      </c>
      <c r="Q14" s="286">
        <f t="shared" si="1"/>
        <v>72235664.036373377</v>
      </c>
      <c r="R14"/>
      <c r="S14" s="465">
        <f>Q14-T14</f>
        <v>0</v>
      </c>
      <c r="T14" s="465">
        <v>72235664.036373377</v>
      </c>
      <c r="U14" s="458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S15" s="465"/>
      <c r="T15" s="458"/>
      <c r="U15" s="458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92">
        <f>'Rev Req 2019-Distr'!P16</f>
        <v>-8790723.2920829672</v>
      </c>
      <c r="E16" s="293">
        <f>-'Tax Depr 2020-Dist'!T17</f>
        <v>-8910308.4840255696</v>
      </c>
      <c r="F16" s="293">
        <f>-'Tax Depr 2020-Dist'!T18</f>
        <v>-9086334.022322068</v>
      </c>
      <c r="G16" s="293">
        <f>-'Tax Depr 2020-Dist'!T19</f>
        <v>-9324146.6477639321</v>
      </c>
      <c r="H16" s="293">
        <f>-'Tax Depr 2020-Dist'!T20</f>
        <v>-9579443.3568010982</v>
      </c>
      <c r="I16" s="293">
        <f>-'Tax Depr 2020-Dist'!T21</f>
        <v>-9817492.5370801296</v>
      </c>
      <c r="J16" s="293">
        <f>-'Tax Depr 2020-Dist'!T22</f>
        <v>-10034626.11951663</v>
      </c>
      <c r="K16" s="293">
        <f>-'Tax Depr 2020-Dist'!T23</f>
        <v>-10256274.808323767</v>
      </c>
      <c r="L16" s="293">
        <f>-'Tax Depr 2020-Dist'!T24</f>
        <v>-10504537.474110242</v>
      </c>
      <c r="M16" s="293">
        <f>-'Tax Depr 2020-Dist'!T25</f>
        <v>-10780672.877244186</v>
      </c>
      <c r="N16" s="293">
        <f>-'Tax Depr 2020-Dist'!T26</f>
        <v>-11104205.381913818</v>
      </c>
      <c r="O16" s="293">
        <f>-'Tax Depr 2020-Dist'!T27</f>
        <v>-11414547.478408294</v>
      </c>
      <c r="P16" s="293">
        <f>-'Tax Depr 2020-Dist'!T28</f>
        <v>-11553912.841375377</v>
      </c>
      <c r="Q16" s="291">
        <f>AVERAGE(D16:P16)</f>
        <v>-10089017.332382161</v>
      </c>
      <c r="R16"/>
      <c r="S16" s="465">
        <f>AVERAGE(D16:P16)-T16</f>
        <v>0</v>
      </c>
      <c r="T16" s="465">
        <v>-10089017.332382161</v>
      </c>
      <c r="U16" s="46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1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  <c r="S17" s="465"/>
      <c r="T17" s="458"/>
      <c r="U17" s="458"/>
    </row>
    <row r="18" spans="1:21" s="31" customFormat="1">
      <c r="A18" s="32">
        <v>6</v>
      </c>
      <c r="B18" s="32"/>
      <c r="C18" s="78" t="s">
        <v>55</v>
      </c>
      <c r="D18" s="284">
        <f t="shared" ref="D18:Q18" si="2">SUM(D14:D16)</f>
        <v>52886527.809529781</v>
      </c>
      <c r="E18" s="285">
        <f>SUM(E14:E16)</f>
        <v>54052047.382442683</v>
      </c>
      <c r="F18" s="285">
        <f t="shared" si="2"/>
        <v>55099391.216939174</v>
      </c>
      <c r="G18" s="285">
        <f t="shared" si="2"/>
        <v>58142447.19682055</v>
      </c>
      <c r="H18" s="285">
        <f t="shared" si="2"/>
        <v>59624921.822295897</v>
      </c>
      <c r="I18" s="285">
        <f t="shared" si="2"/>
        <v>61095991.263555355</v>
      </c>
      <c r="J18" s="285">
        <f t="shared" si="2"/>
        <v>62601685.440142617</v>
      </c>
      <c r="K18" s="285">
        <f t="shared" si="2"/>
        <v>63883327.137922972</v>
      </c>
      <c r="L18" s="285">
        <f t="shared" si="2"/>
        <v>65385666.523530006</v>
      </c>
      <c r="M18" s="285">
        <f t="shared" si="2"/>
        <v>66706663.857362807</v>
      </c>
      <c r="N18" s="285">
        <f t="shared" si="2"/>
        <v>68350971.973321676</v>
      </c>
      <c r="O18" s="285">
        <f t="shared" si="2"/>
        <v>69587619.182113945</v>
      </c>
      <c r="P18" s="285">
        <f t="shared" si="2"/>
        <v>70489146.345908359</v>
      </c>
      <c r="Q18" s="286">
        <f t="shared" si="2"/>
        <v>62146646.703991219</v>
      </c>
      <c r="R18"/>
      <c r="S18" s="465">
        <f>Q18-T18</f>
        <v>0</v>
      </c>
      <c r="T18" s="464">
        <v>62146646.703991219</v>
      </c>
      <c r="U18" s="464"/>
    </row>
    <row r="19" spans="1:21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  <c r="S19" s="465"/>
      <c r="T19" s="458"/>
      <c r="U19" s="458"/>
    </row>
    <row r="20" spans="1:21" s="31" customFormat="1">
      <c r="A20" s="32">
        <v>7</v>
      </c>
      <c r="B20" s="32"/>
      <c r="C20" s="31" t="s">
        <v>56</v>
      </c>
      <c r="D20" s="126">
        <f>'ROR 2020'!$G$12/12</f>
        <v>7.4333333333333335E-3</v>
      </c>
      <c r="E20" s="37">
        <f>'ROR 2020'!$G$12/12</f>
        <v>7.4333333333333335E-3</v>
      </c>
      <c r="F20" s="37">
        <f>'ROR 2020'!$G$12/12</f>
        <v>7.4333333333333335E-3</v>
      </c>
      <c r="G20" s="37">
        <f>'ROR 2020'!$G$12/12</f>
        <v>7.4333333333333335E-3</v>
      </c>
      <c r="H20" s="37">
        <f>'ROR 2020'!$G$12/12</f>
        <v>7.4333333333333335E-3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8.9200000000000002E-2</v>
      </c>
      <c r="R20"/>
      <c r="S20" s="465"/>
      <c r="T20" s="458">
        <v>8.9200000000000002E-2</v>
      </c>
      <c r="U20" s="458"/>
    </row>
    <row r="21" spans="1:21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  <c r="S21" s="465"/>
      <c r="T21" s="458"/>
      <c r="U21" s="458"/>
    </row>
    <row r="22" spans="1:21" s="31" customFormat="1">
      <c r="A22" s="32">
        <v>8</v>
      </c>
      <c r="B22" s="32"/>
      <c r="C22" s="31" t="s">
        <v>57</v>
      </c>
      <c r="D22" s="315">
        <f t="shared" ref="D22:Q22" si="3">D18*D20</f>
        <v>393123.19005083805</v>
      </c>
      <c r="E22" s="316">
        <f>E18*E20</f>
        <v>401786.88554282393</v>
      </c>
      <c r="F22" s="316">
        <f t="shared" si="3"/>
        <v>409572.14137924789</v>
      </c>
      <c r="G22" s="316">
        <f t="shared" si="3"/>
        <v>432192.19082969945</v>
      </c>
      <c r="H22" s="316">
        <f t="shared" si="3"/>
        <v>443211.91887906619</v>
      </c>
      <c r="I22" s="316">
        <f t="shared" si="3"/>
        <v>454146.86839242815</v>
      </c>
      <c r="J22" s="316">
        <f t="shared" si="3"/>
        <v>465339.19510506012</v>
      </c>
      <c r="K22" s="316">
        <f t="shared" si="3"/>
        <v>474866.06505856075</v>
      </c>
      <c r="L22" s="316">
        <f t="shared" si="3"/>
        <v>486033.45449157304</v>
      </c>
      <c r="M22" s="316">
        <f t="shared" si="3"/>
        <v>495852.86800639686</v>
      </c>
      <c r="N22" s="316">
        <f t="shared" si="3"/>
        <v>508075.55833502446</v>
      </c>
      <c r="O22" s="316">
        <f t="shared" si="3"/>
        <v>517267.96925371367</v>
      </c>
      <c r="P22" s="316">
        <f t="shared" si="3"/>
        <v>523969.32117125212</v>
      </c>
      <c r="Q22" s="317">
        <f t="shared" si="3"/>
        <v>5543480.8859960167</v>
      </c>
      <c r="R22"/>
      <c r="S22" s="465">
        <f>Q22-T22</f>
        <v>0</v>
      </c>
      <c r="T22" s="465">
        <v>5543480.8859960167</v>
      </c>
      <c r="U22" s="465"/>
    </row>
    <row r="23" spans="1:21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  <c r="S23" s="465"/>
      <c r="T23" s="458"/>
      <c r="U23" s="458"/>
    </row>
    <row r="24" spans="1:21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  <c r="S24" s="465"/>
      <c r="T24" s="458"/>
      <c r="U24" s="458"/>
    </row>
    <row r="25" spans="1:21" s="31" customFormat="1">
      <c r="A25" s="32">
        <v>9</v>
      </c>
      <c r="B25" s="32"/>
      <c r="C25" s="31" t="s">
        <v>0</v>
      </c>
      <c r="D25" s="284">
        <f>'Rev Req 2019-Distr'!P25</f>
        <v>138358.52017875004</v>
      </c>
      <c r="E25" s="285">
        <f>SUM('202001 Bk Depr'!$P$13,'202001 Bk Depr'!$P$15:$P$18,'202001 Bk Depr'!$P$22,'202001 Bk Depr'!$P$24:$P$27)</f>
        <v>142011.17514450004</v>
      </c>
      <c r="F25" s="285">
        <f>SUM('202002 Bk Depr'!$P$13,'202002 Bk Depr'!$P$15:$P$18,'202002 Bk Depr'!$P$22,'202002 Bk Depr'!$P$24:$P$27)</f>
        <v>144538.13720700005</v>
      </c>
      <c r="G25" s="285">
        <f>SUM('202003 Bk Depr'!$P$13,'202003 Bk Depr'!$P$15:$P$18,'202003 Bk Depr'!$P$22,'202003 Bk Depr'!$P$24:$P$27)</f>
        <v>149374.72467675008</v>
      </c>
      <c r="H25" s="285">
        <f>SUM('202004 Bk Depr'!$P$13,'202004 Bk Depr'!$P$15:$P$18,'202004 Bk Depr'!$P$22,'202004 Bk Depr'!$P$24:$P$27)</f>
        <v>154753.45548750006</v>
      </c>
      <c r="I25" s="285">
        <f>SUM('202005 Bk Depr'!$P$13,'202005 Bk Depr'!$P$15:$P$18,'202005 Bk Depr'!$P$22,'202005 Bk Depr'!$P$24:$P$27)</f>
        <v>158244.87846150005</v>
      </c>
      <c r="J25" s="285">
        <f>SUM('202006 Bk Depr'!$P$13,'202006 Bk Depr'!$P$15:$P$18,'202006 Bk Depr'!$P$22,'202006 Bk Depr'!$P$24:$P$27)</f>
        <v>162122.92097625005</v>
      </c>
      <c r="K25" s="285">
        <f>SUM('202007 Bk Depr'!$P$13,'202007 Bk Depr'!$P$15:$P$18,'202007 Bk Depr'!$P$22,'202007 Bk Depr'!$P$24:$P$27)</f>
        <v>165956.34341250005</v>
      </c>
      <c r="L25" s="285">
        <f>SUM('202008 Bk Depr'!$P$13,'202008 Bk Depr'!$P$15:$P$18,'202008 Bk Depr'!$P$22,'202008 Bk Depr'!$P$24:$P$27)</f>
        <v>169670.2984897501</v>
      </c>
      <c r="M25" s="285">
        <f>SUM('202009 Bk Depr'!$P$13,'202009 Bk Depr'!$P$15:$P$18,'202009 Bk Depr'!$P$22,'202009 Bk Depr'!$P$24:$P$27)</f>
        <v>173496.21279975006</v>
      </c>
      <c r="N25" s="285">
        <f>SUM('202010 Bk Depr'!$P$13,'202010 Bk Depr'!$P$15:$P$18,'202010 Bk Depr'!$P$22,'202010 Bk Depr'!$P$24:$P$27)</f>
        <v>177533.25913800011</v>
      </c>
      <c r="O25" s="285">
        <f>SUM('202011 Bk Depr'!$P$13,'202011 Bk Depr'!$P$15:$P$18,'202011 Bk Depr'!$P$22,'202011 Bk Depr'!$P$24:$P$27)</f>
        <v>181470.60447975007</v>
      </c>
      <c r="P25" s="285">
        <f>SUM('202012 Bk Depr'!$P$13,'202012 Bk Depr'!$P$15:$P$18,'202012 Bk Depr'!$P$22,'202012 Bk Depr'!$P$24:$P$27)</f>
        <v>184603.42300500011</v>
      </c>
      <c r="Q25" s="286">
        <f>SUM(E25:P25)</f>
        <v>1963775.433278251</v>
      </c>
      <c r="R25"/>
      <c r="S25" s="465">
        <f>Q25-T25</f>
        <v>0</v>
      </c>
      <c r="T25" s="464">
        <v>1963775.433278251</v>
      </c>
      <c r="U25" s="464"/>
    </row>
    <row r="26" spans="1:21" s="31" customFormat="1">
      <c r="A26" s="32">
        <v>10</v>
      </c>
      <c r="B26" s="32"/>
      <c r="C26" s="13" t="s">
        <v>59</v>
      </c>
      <c r="D26" s="284">
        <f>'Rev Req 2019-Distr'!P26</f>
        <v>92177.96</v>
      </c>
      <c r="E26" s="285">
        <f>'Cap&amp;OpEx 2020'!C38</f>
        <v>191850.95</v>
      </c>
      <c r="F26" s="285">
        <f>'Cap&amp;OpEx 2020'!D38</f>
        <v>109915.09</v>
      </c>
      <c r="G26" s="285">
        <f>'Cap&amp;OpEx 2020'!E38</f>
        <v>77236.679999999993</v>
      </c>
      <c r="H26" s="285">
        <f>'Cap&amp;OpEx 2020'!F38</f>
        <v>89067.53</v>
      </c>
      <c r="I26" s="285">
        <f>'Cap&amp;OpEx 2020'!G38</f>
        <v>200109.46</v>
      </c>
      <c r="J26" s="285">
        <f>'Cap&amp;OpEx 2020'!H38</f>
        <v>82944.179999999993</v>
      </c>
      <c r="K26" s="285">
        <f>'Cap&amp;OpEx 2020'!I38</f>
        <v>127792.47</v>
      </c>
      <c r="L26" s="285">
        <f>'Cap&amp;OpEx 2020'!J38</f>
        <v>102549.29999999999</v>
      </c>
      <c r="M26" s="285">
        <f>'Cap&amp;OpEx 2020'!K38</f>
        <v>144152.28</v>
      </c>
      <c r="N26" s="285">
        <f>'Cap&amp;OpEx 2020'!L38</f>
        <v>128711.62</v>
      </c>
      <c r="O26" s="285">
        <f>'Cap&amp;OpEx 2020'!M38</f>
        <v>107195.41</v>
      </c>
      <c r="P26" s="285">
        <f>'Cap&amp;OpEx 2020'!N38</f>
        <v>99030.180000000008</v>
      </c>
      <c r="Q26" s="286">
        <f t="shared" ref="Q26:Q27" si="4">SUM(E26:P26)</f>
        <v>1460555.15</v>
      </c>
      <c r="R26"/>
      <c r="S26" s="465">
        <f>Q26-T26</f>
        <v>0</v>
      </c>
      <c r="T26" s="464">
        <v>1460555.15</v>
      </c>
      <c r="U26" s="464"/>
    </row>
    <row r="27" spans="1:21" s="31" customFormat="1">
      <c r="A27" s="32">
        <v>11</v>
      </c>
      <c r="B27" s="32"/>
      <c r="C27" s="31" t="s">
        <v>175</v>
      </c>
      <c r="D27" s="284">
        <f>'Rev Req 2019-Distr'!P27</f>
        <v>40112</v>
      </c>
      <c r="E27" s="285">
        <f>'Cap&amp;OpEx 2020'!C40</f>
        <v>68347</v>
      </c>
      <c r="F27" s="285">
        <f>'Cap&amp;OpEx 2020'!D40</f>
        <v>68347</v>
      </c>
      <c r="G27" s="285">
        <f>'Cap&amp;OpEx 2020'!E40</f>
        <v>68347</v>
      </c>
      <c r="H27" s="285">
        <f>'Cap&amp;OpEx 2020'!F40</f>
        <v>68347</v>
      </c>
      <c r="I27" s="285">
        <f>'Cap&amp;OpEx 2020'!G40</f>
        <v>68347</v>
      </c>
      <c r="J27" s="285">
        <f>'Cap&amp;OpEx 2020'!H40</f>
        <v>68347</v>
      </c>
      <c r="K27" s="285">
        <f>'Cap&amp;OpEx 2020'!I40</f>
        <v>68347</v>
      </c>
      <c r="L27" s="285">
        <f>'Cap&amp;OpEx 2020'!J40</f>
        <v>68347</v>
      </c>
      <c r="M27" s="285">
        <f>'Cap&amp;OpEx 2020'!K40</f>
        <v>68347</v>
      </c>
      <c r="N27" s="285">
        <f>'Cap&amp;OpEx 2020'!L40</f>
        <v>68347</v>
      </c>
      <c r="O27" s="285">
        <f>'Cap&amp;OpEx 2020'!M40</f>
        <v>68347</v>
      </c>
      <c r="P27" s="285">
        <f>'Cap&amp;OpEx 2020'!N40</f>
        <v>68347</v>
      </c>
      <c r="Q27" s="286">
        <f t="shared" si="4"/>
        <v>820164</v>
      </c>
      <c r="R27"/>
      <c r="S27" s="465">
        <f>Q27-T27</f>
        <v>0</v>
      </c>
      <c r="T27" s="464">
        <v>820164</v>
      </c>
      <c r="U27" s="464"/>
    </row>
    <row r="28" spans="1:21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  <c r="S28" s="465"/>
      <c r="T28" s="458"/>
      <c r="U28" s="458"/>
    </row>
    <row r="29" spans="1:21" s="31" customFormat="1">
      <c r="A29" s="32">
        <v>12</v>
      </c>
      <c r="B29" s="32"/>
      <c r="C29" s="31" t="s">
        <v>60</v>
      </c>
      <c r="D29" s="284">
        <f>SUM(D25:D28)</f>
        <v>270648.48017875006</v>
      </c>
      <c r="E29" s="285">
        <f t="shared" ref="E29:P29" si="5">SUM(E25:E28)</f>
        <v>402209.12514450005</v>
      </c>
      <c r="F29" s="285">
        <f t="shared" si="5"/>
        <v>322800.22720700002</v>
      </c>
      <c r="G29" s="285">
        <f t="shared" si="5"/>
        <v>294958.40467675007</v>
      </c>
      <c r="H29" s="285">
        <f t="shared" si="5"/>
        <v>312167.98548750009</v>
      </c>
      <c r="I29" s="285">
        <f t="shared" si="5"/>
        <v>426701.33846150001</v>
      </c>
      <c r="J29" s="285">
        <f t="shared" si="5"/>
        <v>313414.10097625002</v>
      </c>
      <c r="K29" s="285">
        <f t="shared" si="5"/>
        <v>362095.81341250008</v>
      </c>
      <c r="L29" s="285">
        <f t="shared" si="5"/>
        <v>340566.59848975006</v>
      </c>
      <c r="M29" s="285">
        <f t="shared" si="5"/>
        <v>385995.49279975006</v>
      </c>
      <c r="N29" s="285">
        <f t="shared" si="5"/>
        <v>374591.87913800008</v>
      </c>
      <c r="O29" s="285">
        <f t="shared" si="5"/>
        <v>357013.01447975007</v>
      </c>
      <c r="P29" s="285">
        <f t="shared" si="5"/>
        <v>351980.6030050001</v>
      </c>
      <c r="Q29" s="286">
        <f>SUM(Q25:Q28)</f>
        <v>4244494.5832782509</v>
      </c>
      <c r="R29"/>
      <c r="S29" s="465">
        <f>Q29-T29</f>
        <v>0</v>
      </c>
      <c r="T29" s="465">
        <v>4244494.5832782509</v>
      </c>
      <c r="U29" s="465"/>
    </row>
    <row r="30" spans="1:21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  <c r="S30" s="465"/>
      <c r="T30" s="458"/>
      <c r="U30" s="458"/>
    </row>
    <row r="31" spans="1:21" s="31" customFormat="1">
      <c r="A31" s="32">
        <v>13</v>
      </c>
      <c r="B31" s="77" t="s">
        <v>162</v>
      </c>
      <c r="D31" s="321">
        <f t="shared" ref="D31:Q31" si="6">D22+D29</f>
        <v>663771.67022958817</v>
      </c>
      <c r="E31" s="322">
        <f t="shared" si="6"/>
        <v>803996.01068732399</v>
      </c>
      <c r="F31" s="322">
        <f t="shared" si="6"/>
        <v>732372.3685862479</v>
      </c>
      <c r="G31" s="322">
        <f t="shared" si="6"/>
        <v>727150.59550644946</v>
      </c>
      <c r="H31" s="322">
        <f t="shared" si="6"/>
        <v>755379.90436656633</v>
      </c>
      <c r="I31" s="322">
        <f t="shared" si="6"/>
        <v>880848.20685392816</v>
      </c>
      <c r="J31" s="322">
        <f t="shared" si="6"/>
        <v>778753.29608131014</v>
      </c>
      <c r="K31" s="322">
        <f t="shared" si="6"/>
        <v>836961.87847106089</v>
      </c>
      <c r="L31" s="322">
        <f t="shared" si="6"/>
        <v>826600.0529813231</v>
      </c>
      <c r="M31" s="322">
        <f t="shared" si="6"/>
        <v>881848.36080614687</v>
      </c>
      <c r="N31" s="322">
        <f t="shared" si="6"/>
        <v>882667.43747302447</v>
      </c>
      <c r="O31" s="322">
        <f t="shared" si="6"/>
        <v>874280.9837334638</v>
      </c>
      <c r="P31" s="322">
        <f t="shared" si="6"/>
        <v>875949.92417625221</v>
      </c>
      <c r="Q31" s="323">
        <f t="shared" si="6"/>
        <v>9787975.4692742676</v>
      </c>
      <c r="R31"/>
      <c r="S31" s="465">
        <f>Q31-T31</f>
        <v>0</v>
      </c>
      <c r="T31" s="465">
        <v>9787975.4692742676</v>
      </c>
      <c r="U31" s="465"/>
    </row>
    <row r="32" spans="1:21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474"/>
      <c r="L33" s="475"/>
      <c r="M33" s="81"/>
      <c r="N33" s="81"/>
      <c r="O33" s="81"/>
      <c r="R33"/>
      <c r="S33" s="359"/>
    </row>
    <row r="34" spans="1:28" s="31" customFormat="1">
      <c r="D34" s="36"/>
      <c r="E34" s="81"/>
      <c r="F34" s="81"/>
      <c r="G34" s="81"/>
      <c r="H34" s="81"/>
      <c r="I34" s="81"/>
      <c r="J34" s="81"/>
      <c r="K34" s="474"/>
      <c r="L34" s="475"/>
      <c r="M34" s="81"/>
      <c r="N34" s="81"/>
      <c r="O34" s="81"/>
      <c r="R34"/>
    </row>
    <row r="35" spans="1:28" s="31" customFormat="1">
      <c r="B35" s="30" t="s">
        <v>492</v>
      </c>
      <c r="C35" s="13"/>
      <c r="D35" s="13"/>
      <c r="E35" s="13"/>
      <c r="F35" s="13"/>
      <c r="G35" s="13"/>
      <c r="H35" s="13"/>
      <c r="I35" s="13"/>
      <c r="J35" s="13"/>
      <c r="K35" s="474"/>
      <c r="L35" s="475"/>
      <c r="M35" s="13"/>
      <c r="N35" s="13"/>
      <c r="O35" s="13"/>
      <c r="P35" s="13"/>
      <c r="Q35" s="13"/>
      <c r="R35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474"/>
      <c r="L36" s="475"/>
      <c r="M36" s="23"/>
      <c r="N36" s="23"/>
      <c r="O36" s="23"/>
      <c r="P36" s="23"/>
      <c r="Q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474"/>
      <c r="L37" s="475"/>
      <c r="M37" s="162"/>
      <c r="N37" s="162"/>
      <c r="O37" s="162"/>
      <c r="P37" s="162"/>
      <c r="Q37" s="162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M38" s="162"/>
      <c r="N38" s="162"/>
      <c r="O38" s="162"/>
      <c r="P38" s="162"/>
      <c r="Q38" s="162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481" t="s">
        <v>660</v>
      </c>
      <c r="E39" s="480">
        <f>E11-D11</f>
        <v>1056945.7199999988</v>
      </c>
      <c r="F39" s="480">
        <f t="shared" ref="F39:P39" si="7">F11-E11</f>
        <v>839404.90999999642</v>
      </c>
      <c r="G39" s="480">
        <f t="shared" si="7"/>
        <v>2764346.5</v>
      </c>
      <c r="H39" s="480">
        <f t="shared" si="7"/>
        <v>1226141.3000000045</v>
      </c>
      <c r="I39" s="480">
        <f t="shared" si="7"/>
        <v>1338262.0599999949</v>
      </c>
      <c r="J39" s="480">
        <f t="shared" si="7"/>
        <v>1510811.450000003</v>
      </c>
      <c r="K39" s="480">
        <f t="shared" si="7"/>
        <v>1324675.3200000003</v>
      </c>
      <c r="L39" s="480">
        <f t="shared" si="7"/>
        <v>1379095.6300000027</v>
      </c>
      <c r="M39" s="480">
        <f t="shared" si="7"/>
        <v>1411958.7399999946</v>
      </c>
      <c r="N39" s="480">
        <f t="shared" si="7"/>
        <v>1579123.0900000036</v>
      </c>
      <c r="O39" s="480">
        <f t="shared" si="7"/>
        <v>1338038.5799999982</v>
      </c>
      <c r="P39" s="480">
        <f t="shared" si="7"/>
        <v>970177.71999999881</v>
      </c>
      <c r="Q39" s="162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481" t="s">
        <v>777</v>
      </c>
      <c r="E40" s="480">
        <v>1056945.7199999988</v>
      </c>
      <c r="F40" s="480">
        <v>839404.90999999642</v>
      </c>
      <c r="G40" s="482">
        <v>2764346.5</v>
      </c>
      <c r="H40" s="482">
        <v>1226141.3000000045</v>
      </c>
      <c r="I40" s="482">
        <v>1338262.0599999949</v>
      </c>
      <c r="J40" s="482">
        <v>1510811.450000003</v>
      </c>
      <c r="K40" s="482">
        <v>1324675.3200000003</v>
      </c>
      <c r="L40" s="482">
        <v>1379095.6300000027</v>
      </c>
      <c r="M40" s="482">
        <v>1411958.7399999946</v>
      </c>
      <c r="N40" s="482">
        <v>1579123.0900000036</v>
      </c>
      <c r="O40" s="482">
        <v>1338038.5799999982</v>
      </c>
      <c r="P40" s="482">
        <v>970177.71999999881</v>
      </c>
      <c r="Q40" s="162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481" t="s">
        <v>39</v>
      </c>
      <c r="E41" s="480">
        <f>E39-E40</f>
        <v>0</v>
      </c>
      <c r="F41" s="480">
        <f>F39-F40</f>
        <v>0</v>
      </c>
      <c r="G41" s="480">
        <f t="shared" ref="G41:P41" si="8">G39-G40</f>
        <v>0</v>
      </c>
      <c r="H41" s="480">
        <f t="shared" si="8"/>
        <v>0</v>
      </c>
      <c r="I41" s="480">
        <f t="shared" si="8"/>
        <v>0</v>
      </c>
      <c r="J41" s="480">
        <f t="shared" si="8"/>
        <v>0</v>
      </c>
      <c r="K41" s="480">
        <f t="shared" si="8"/>
        <v>0</v>
      </c>
      <c r="L41" s="480">
        <f t="shared" si="8"/>
        <v>0</v>
      </c>
      <c r="M41" s="480">
        <f t="shared" si="8"/>
        <v>0</v>
      </c>
      <c r="N41" s="480">
        <f t="shared" si="8"/>
        <v>0</v>
      </c>
      <c r="O41" s="480">
        <f t="shared" si="8"/>
        <v>0</v>
      </c>
      <c r="P41" s="480">
        <f t="shared" si="8"/>
        <v>0</v>
      </c>
      <c r="Q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7">
      <c r="N119"/>
      <c r="O119"/>
      <c r="P119"/>
      <c r="Q119"/>
    </row>
    <row r="120" spans="14:17">
      <c r="N120"/>
      <c r="O120"/>
      <c r="P120"/>
      <c r="Q120"/>
    </row>
    <row r="121" spans="14:17">
      <c r="N121"/>
      <c r="O121"/>
      <c r="P121"/>
      <c r="Q121"/>
    </row>
    <row r="122" spans="14:17">
      <c r="N122"/>
      <c r="O122"/>
      <c r="P122"/>
      <c r="Q122"/>
    </row>
    <row r="123" spans="14:17">
      <c r="N123"/>
      <c r="O123"/>
      <c r="P123"/>
      <c r="Q123"/>
    </row>
    <row r="124" spans="14:17">
      <c r="N124"/>
      <c r="O124"/>
      <c r="P124"/>
      <c r="Q124"/>
    </row>
    <row r="125" spans="14:17">
      <c r="N125"/>
      <c r="O125"/>
      <c r="P125"/>
      <c r="Q125"/>
    </row>
    <row r="126" spans="14:17">
      <c r="N126"/>
      <c r="O126"/>
      <c r="P126"/>
      <c r="Q126"/>
    </row>
    <row r="127" spans="14:17">
      <c r="N127"/>
      <c r="O127"/>
      <c r="P127"/>
      <c r="Q127"/>
    </row>
    <row r="128" spans="14:17">
      <c r="N128"/>
      <c r="O128"/>
      <c r="P128"/>
      <c r="Q128"/>
    </row>
    <row r="129" spans="14:17">
      <c r="N129"/>
      <c r="O129"/>
      <c r="P129"/>
      <c r="Q129"/>
    </row>
    <row r="130" spans="14:17">
      <c r="N130"/>
      <c r="O130"/>
      <c r="P130"/>
      <c r="Q130"/>
    </row>
    <row r="131" spans="14:17">
      <c r="N131"/>
      <c r="O131"/>
      <c r="P131"/>
      <c r="Q131"/>
    </row>
    <row r="132" spans="14:17">
      <c r="N132"/>
      <c r="O132"/>
      <c r="P132"/>
      <c r="Q132"/>
    </row>
    <row r="133" spans="14:17">
      <c r="N133"/>
      <c r="O133"/>
      <c r="P133"/>
      <c r="Q133"/>
    </row>
    <row r="134" spans="14:17">
      <c r="N134"/>
      <c r="O134"/>
      <c r="P134"/>
      <c r="Q134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3" orientation="landscape" r:id="rId1"/>
  <headerFooter scaleWithDoc="0">
    <oddFooter>&amp;R&amp;"Times New Roman,Bold"Exhibit 4
Page 1 of 18&amp;L&amp;1#&amp;"Calibri"&amp;14&amp;K000000Business Use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7563-9B79-446C-8B2D-4529F4F6B6A1}">
  <sheetPr>
    <tabColor theme="6" tint="0.39997558519241921"/>
    <pageSetUpPr fitToPage="1"/>
  </sheetPr>
  <dimension ref="A1:AJ1048492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20.85546875" style="72" customWidth="1"/>
    <col min="18" max="18" width="20.85546875" style="359" bestFit="1" customWidth="1"/>
    <col min="19" max="19" width="21.85546875" style="72" bestFit="1" customWidth="1"/>
    <col min="20" max="20" width="22.7109375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548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372"/>
      <c r="R4" s="359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 t="s">
        <v>491</v>
      </c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 s="359"/>
      <c r="U5" s="15"/>
      <c r="V5" s="14"/>
      <c r="W5" s="14"/>
      <c r="X5" s="14"/>
      <c r="Y5" s="14"/>
      <c r="Z5" s="14"/>
      <c r="AA5" s="14"/>
      <c r="AB5" s="14"/>
      <c r="AC5" s="1590"/>
      <c r="AD5" s="1590"/>
      <c r="AE5" s="1590"/>
      <c r="AF5" s="1590"/>
      <c r="AG5" s="1590"/>
      <c r="AH5" s="1590"/>
      <c r="AI5" s="1590"/>
      <c r="AJ5" s="1590"/>
    </row>
    <row r="6" spans="1:36" s="31" customFormat="1">
      <c r="A6" s="224" t="s">
        <v>4</v>
      </c>
      <c r="B6" s="32"/>
      <c r="D6" s="131">
        <v>2019</v>
      </c>
      <c r="E6" s="132">
        <v>2020</v>
      </c>
      <c r="F6" s="132">
        <f>$E$6</f>
        <v>2020</v>
      </c>
      <c r="G6" s="132">
        <f>$E$6</f>
        <v>2020</v>
      </c>
      <c r="H6" s="132">
        <f>$E$6</f>
        <v>2020</v>
      </c>
      <c r="I6" s="132">
        <f>$E$6</f>
        <v>2020</v>
      </c>
      <c r="J6" s="132">
        <f>$E$6</f>
        <v>2020</v>
      </c>
      <c r="K6" s="132">
        <f t="shared" ref="K6:Q6" si="0">$E$6</f>
        <v>2020</v>
      </c>
      <c r="L6" s="132">
        <f t="shared" si="0"/>
        <v>2020</v>
      </c>
      <c r="M6" s="132">
        <f t="shared" si="0"/>
        <v>2020</v>
      </c>
      <c r="N6" s="132">
        <f t="shared" si="0"/>
        <v>2020</v>
      </c>
      <c r="O6" s="132">
        <f t="shared" si="0"/>
        <v>2020</v>
      </c>
      <c r="P6" s="132">
        <f t="shared" si="0"/>
        <v>2020</v>
      </c>
      <c r="Q6" s="133">
        <f t="shared" si="0"/>
        <v>2020</v>
      </c>
      <c r="R6" s="359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104</v>
      </c>
      <c r="E7" s="75" t="s">
        <v>92</v>
      </c>
      <c r="F7" s="75" t="s">
        <v>95</v>
      </c>
      <c r="G7" s="75" t="s">
        <v>96</v>
      </c>
      <c r="H7" s="75" t="s">
        <v>97</v>
      </c>
      <c r="I7" s="75" t="s">
        <v>85</v>
      </c>
      <c r="J7" s="75" t="s">
        <v>98</v>
      </c>
      <c r="K7" s="75" t="s">
        <v>99</v>
      </c>
      <c r="L7" s="75" t="s">
        <v>100</v>
      </c>
      <c r="M7" s="75" t="s">
        <v>101</v>
      </c>
      <c r="N7" s="75" t="s">
        <v>102</v>
      </c>
      <c r="O7" s="75" t="s">
        <v>103</v>
      </c>
      <c r="P7" s="75" t="s">
        <v>104</v>
      </c>
      <c r="Q7" s="118" t="s">
        <v>341</v>
      </c>
      <c r="R7" s="359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 s="359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 s="359"/>
      <c r="S9" s="458" t="s">
        <v>625</v>
      </c>
      <c r="T9" s="458" t="s">
        <v>794</v>
      </c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281"/>
      <c r="Q10" s="123"/>
      <c r="R10" s="359"/>
      <c r="S10" s="458"/>
      <c r="T10" s="458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547</v>
      </c>
      <c r="D11" s="284">
        <f>'Rev Req 2019-Trans'!P11</f>
        <v>44002739.890000001</v>
      </c>
      <c r="E11" s="285">
        <f>'Cap&amp;OpEx 2020'!C11+'Cap&amp;OpEx 2020'!C18+D11</f>
        <v>46655058.210000001</v>
      </c>
      <c r="F11" s="285">
        <f>'Cap&amp;OpEx 2020'!D11+'Cap&amp;OpEx 2020'!D18+E11</f>
        <v>49650737.149999999</v>
      </c>
      <c r="G11" s="285">
        <f>'Cap&amp;OpEx 2020'!E11+'Cap&amp;OpEx 2020'!E18+F11</f>
        <v>54041312.049999997</v>
      </c>
      <c r="H11" s="285">
        <f>'Cap&amp;OpEx 2020'!F11+'Cap&amp;OpEx 2020'!F18+G11</f>
        <v>59951368.5</v>
      </c>
      <c r="I11" s="285">
        <f>'Cap&amp;OpEx 2020'!G11+'Cap&amp;OpEx 2020'!G18+H11</f>
        <v>63305594.030000001</v>
      </c>
      <c r="J11" s="285">
        <f>'Cap&amp;OpEx 2020'!H11+'Cap&amp;OpEx 2020'!H18+I11</f>
        <v>67021007.730000004</v>
      </c>
      <c r="K11" s="285">
        <f>'Cap&amp;OpEx 2020'!I11+'Cap&amp;OpEx 2020'!I18+J11</f>
        <v>70817410.409999996</v>
      </c>
      <c r="L11" s="285">
        <f>'Cap&amp;OpEx 2020'!J11+'Cap&amp;OpEx 2020'!J18+K11</f>
        <v>76537033.349999994</v>
      </c>
      <c r="M11" s="285">
        <f>'Cap&amp;OpEx 2020'!K11+'Cap&amp;OpEx 2020'!K18+L11</f>
        <v>80338856.75999999</v>
      </c>
      <c r="N11" s="285">
        <f>'Cap&amp;OpEx 2020'!L11+'Cap&amp;OpEx 2020'!L18+M11</f>
        <v>86639955.429999992</v>
      </c>
      <c r="O11" s="285">
        <f>'Cap&amp;OpEx 2020'!M11+'Cap&amp;OpEx 2020'!M18+N11</f>
        <v>90556564.739999995</v>
      </c>
      <c r="P11" s="285">
        <f>'Cap&amp;OpEx 2020'!N11+'Cap&amp;OpEx 2020'!N18+O11</f>
        <v>94038889.559999987</v>
      </c>
      <c r="Q11" s="286">
        <f>AVERAGE(D11:P11)</f>
        <v>67965886.754615381</v>
      </c>
      <c r="R11" s="407"/>
      <c r="S11" s="465">
        <f>Q11-T11</f>
        <v>0</v>
      </c>
      <c r="T11" s="465">
        <v>67965886.754615381</v>
      </c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284">
        <f>'Cap&amp;OpEx 2019'!N26</f>
        <v>0</v>
      </c>
      <c r="E12" s="285">
        <f>'Cap&amp;OpEx 2020'!C32+D12</f>
        <v>0</v>
      </c>
      <c r="F12" s="285">
        <f>'Cap&amp;OpEx 2020'!D32+E12</f>
        <v>0</v>
      </c>
      <c r="G12" s="285">
        <f>'Cap&amp;OpEx 2020'!E32+F12</f>
        <v>0</v>
      </c>
      <c r="H12" s="285">
        <f>'Cap&amp;OpEx 2020'!F32+G12</f>
        <v>0</v>
      </c>
      <c r="I12" s="285">
        <f>'Cap&amp;OpEx 2020'!G32+H12</f>
        <v>0</v>
      </c>
      <c r="J12" s="285">
        <f>'Cap&amp;OpEx 2020'!H32+I12</f>
        <v>0</v>
      </c>
      <c r="K12" s="285">
        <f>'Cap&amp;OpEx 2020'!I32+J12</f>
        <v>0</v>
      </c>
      <c r="L12" s="285">
        <f>'Cap&amp;OpEx 2020'!J32+K12</f>
        <v>0</v>
      </c>
      <c r="M12" s="285">
        <f>'Cap&amp;OpEx 2020'!K32+L12</f>
        <v>0</v>
      </c>
      <c r="N12" s="285">
        <f>'Cap&amp;OpEx 2020'!L32+M12</f>
        <v>40412.29</v>
      </c>
      <c r="O12" s="285">
        <f>'Cap&amp;OpEx 2020'!M32+N12</f>
        <v>45058.31</v>
      </c>
      <c r="P12" s="285">
        <f>'Cap&amp;OpEx 2020'!N32+O12</f>
        <v>45058.31</v>
      </c>
      <c r="Q12" s="286">
        <f t="shared" ref="Q12:Q13" si="1">AVERAGE(D12:P12)</f>
        <v>10040.685384615384</v>
      </c>
      <c r="R12" s="359"/>
      <c r="S12" s="465">
        <f>Q12-T12</f>
        <v>0</v>
      </c>
      <c r="T12" s="465">
        <v>10040.685384615384</v>
      </c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292">
        <v>0</v>
      </c>
      <c r="E13" s="293">
        <f>SUM('Cap&amp;OpEx 2020'!C25)-SUM('202001 Bk Depr'!$P$14)+D13</f>
        <v>0</v>
      </c>
      <c r="F13" s="293">
        <f>SUM('Cap&amp;OpEx 2020'!D25)-SUM('202002 Bk Depr'!$P$14)+E13</f>
        <v>0</v>
      </c>
      <c r="G13" s="293">
        <f>SUM('Cap&amp;OpEx 2020'!E25)-SUM('202003 Bk Depr'!$P$14)+F13</f>
        <v>0</v>
      </c>
      <c r="H13" s="293">
        <f>SUM('Cap&amp;OpEx 2020'!F25)-SUM('202004 Bk Depr'!$P$14)+G13</f>
        <v>0</v>
      </c>
      <c r="I13" s="293">
        <f>SUM('Cap&amp;OpEx 2020'!G25)-SUM('202005 Bk Depr'!$P$14)+H13</f>
        <v>0</v>
      </c>
      <c r="J13" s="293">
        <f>SUM('Cap&amp;OpEx 2020'!H25)-SUM('202006 Bk Depr'!$P$14)+I13</f>
        <v>0</v>
      </c>
      <c r="K13" s="293">
        <f>SUM('Cap&amp;OpEx 2020'!I25)-SUM('202007 Bk Depr'!$P$14)+J13</f>
        <v>0</v>
      </c>
      <c r="L13" s="293">
        <f>SUM('Cap&amp;OpEx 2020'!J25)-SUM('202008 Bk Depr'!$P$14)+K13</f>
        <v>0</v>
      </c>
      <c r="M13" s="293">
        <f>SUM('Cap&amp;OpEx 2020'!K25)-SUM('202009 Bk Depr'!$P$14)+L13</f>
        <v>0</v>
      </c>
      <c r="N13" s="293">
        <f>SUM('Cap&amp;OpEx 2020'!L25)-SUM('202010 Bk Depr'!$P$14)+M13</f>
        <v>123197.26821416666</v>
      </c>
      <c r="O13" s="293">
        <f>SUM('Cap&amp;OpEx 2020'!M25)-SUM('202011 Bk Depr'!$P$14)+N13</f>
        <v>-2942.1565122916654</v>
      </c>
      <c r="P13" s="293">
        <f>SUM('Cap&amp;OpEx 2020'!N25)-SUM('202012 Bk Depr'!$P$14)+O13</f>
        <v>-131963.36337458331</v>
      </c>
      <c r="Q13" s="291">
        <f t="shared" si="1"/>
        <v>-900.63474405448562</v>
      </c>
      <c r="R13" s="359"/>
      <c r="S13" s="465">
        <f>Q13-T13</f>
        <v>0</v>
      </c>
      <c r="T13" s="465">
        <v>-900.63474405448562</v>
      </c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284">
        <f>SUM(D11:D13)</f>
        <v>44002739.890000001</v>
      </c>
      <c r="E14" s="285">
        <f t="shared" ref="E14:Q14" si="2">SUM(E11:E13)</f>
        <v>46655058.210000001</v>
      </c>
      <c r="F14" s="285">
        <f t="shared" si="2"/>
        <v>49650737.149999999</v>
      </c>
      <c r="G14" s="285">
        <f t="shared" si="2"/>
        <v>54041312.049999997</v>
      </c>
      <c r="H14" s="285">
        <f t="shared" si="2"/>
        <v>59951368.5</v>
      </c>
      <c r="I14" s="285">
        <f t="shared" si="2"/>
        <v>63305594.030000001</v>
      </c>
      <c r="J14" s="285">
        <f t="shared" si="2"/>
        <v>67021007.730000004</v>
      </c>
      <c r="K14" s="285">
        <f t="shared" si="2"/>
        <v>70817410.409999996</v>
      </c>
      <c r="L14" s="285">
        <f t="shared" si="2"/>
        <v>76537033.349999994</v>
      </c>
      <c r="M14" s="285">
        <f t="shared" si="2"/>
        <v>80338856.75999999</v>
      </c>
      <c r="N14" s="285">
        <f t="shared" si="2"/>
        <v>86803564.988214165</v>
      </c>
      <c r="O14" s="285">
        <f t="shared" si="2"/>
        <v>90598680.893487707</v>
      </c>
      <c r="P14" s="285">
        <f t="shared" si="2"/>
        <v>93951984.506625414</v>
      </c>
      <c r="Q14" s="286">
        <f t="shared" si="2"/>
        <v>67975026.805255949</v>
      </c>
      <c r="R14" s="359"/>
      <c r="S14" s="465">
        <f>Q14-T14</f>
        <v>0</v>
      </c>
      <c r="T14" s="465">
        <v>67975026.805255949</v>
      </c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 s="359"/>
      <c r="S15" s="465"/>
      <c r="T15" s="458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292">
        <f>'Rev Req 2019-Trans'!P16</f>
        <v>0</v>
      </c>
      <c r="E16" s="293">
        <f>'Tax Depr 2020-Trans'!Q17</f>
        <v>0</v>
      </c>
      <c r="F16" s="293">
        <f>'Tax Depr 2020-Trans'!Q18</f>
        <v>0</v>
      </c>
      <c r="G16" s="293">
        <f>'Tax Depr 2020-Trans'!Q19</f>
        <v>0</v>
      </c>
      <c r="H16" s="293">
        <f>'Tax Depr 2020-Trans'!Q20</f>
        <v>0</v>
      </c>
      <c r="I16" s="293">
        <f>-'Tax Depr 2020-Trans'!Q21</f>
        <v>0</v>
      </c>
      <c r="J16" s="293">
        <f>-'Tax Depr 2020-Trans'!Q22</f>
        <v>0</v>
      </c>
      <c r="K16" s="293">
        <f>-'Tax Depr 2020-Trans'!Q23</f>
        <v>0</v>
      </c>
      <c r="L16" s="293">
        <f>-'Tax Depr 2020-Trans'!Q24</f>
        <v>0</v>
      </c>
      <c r="M16" s="293">
        <f>-'Tax Depr 2020-Trans'!Q25</f>
        <v>0</v>
      </c>
      <c r="N16" s="293">
        <f>-'Tax Depr 2020-Trans'!Q26</f>
        <v>-742888.50330360141</v>
      </c>
      <c r="O16" s="293">
        <f>-'Tax Depr 2020-Trans'!Q27</f>
        <v>-813924.95850674587</v>
      </c>
      <c r="P16" s="293">
        <f>-'Tax Depr 2020-Trans'!Q28</f>
        <v>-873652.32208204153</v>
      </c>
      <c r="Q16" s="291">
        <f t="shared" ref="Q16" si="3">AVERAGE(D16:P16)</f>
        <v>-186958.90645326066</v>
      </c>
      <c r="R16" s="359"/>
      <c r="S16" s="465">
        <f>AVERAGE(D16:P16)-T16</f>
        <v>0</v>
      </c>
      <c r="T16" s="465">
        <v>-186958.90645326066</v>
      </c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0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 s="359"/>
      <c r="S17" s="465"/>
      <c r="T17" s="458"/>
    </row>
    <row r="18" spans="1:20" s="31" customFormat="1">
      <c r="A18" s="32">
        <v>6</v>
      </c>
      <c r="B18" s="32"/>
      <c r="C18" s="78" t="s">
        <v>55</v>
      </c>
      <c r="D18" s="284">
        <f>SUM(D14:D16)</f>
        <v>44002739.890000001</v>
      </c>
      <c r="E18" s="285">
        <f t="shared" ref="E18:O18" si="4">SUM(E14:E16)</f>
        <v>46655058.210000001</v>
      </c>
      <c r="F18" s="285">
        <f t="shared" si="4"/>
        <v>49650737.149999999</v>
      </c>
      <c r="G18" s="285">
        <f t="shared" si="4"/>
        <v>54041312.049999997</v>
      </c>
      <c r="H18" s="285">
        <f t="shared" si="4"/>
        <v>59951368.5</v>
      </c>
      <c r="I18" s="285">
        <f t="shared" si="4"/>
        <v>63305594.030000001</v>
      </c>
      <c r="J18" s="285">
        <f t="shared" si="4"/>
        <v>67021007.730000004</v>
      </c>
      <c r="K18" s="285">
        <f t="shared" si="4"/>
        <v>70817410.409999996</v>
      </c>
      <c r="L18" s="285">
        <f t="shared" si="4"/>
        <v>76537033.349999994</v>
      </c>
      <c r="M18" s="285">
        <f t="shared" si="4"/>
        <v>80338856.75999999</v>
      </c>
      <c r="N18" s="285">
        <f t="shared" si="4"/>
        <v>86060676.484910563</v>
      </c>
      <c r="O18" s="285">
        <f t="shared" si="4"/>
        <v>89784755.934980959</v>
      </c>
      <c r="P18" s="285">
        <f>SUM(P14:P16)</f>
        <v>93078332.184543371</v>
      </c>
      <c r="Q18" s="286">
        <f>SUM(Q14:Q16)</f>
        <v>67788067.898802683</v>
      </c>
      <c r="R18" s="359"/>
      <c r="S18" s="465">
        <f>Q18-T18</f>
        <v>0</v>
      </c>
      <c r="T18" s="464">
        <v>67788067.898802683</v>
      </c>
    </row>
    <row r="19" spans="1:20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 s="359"/>
      <c r="S19" s="465"/>
      <c r="T19" s="458"/>
    </row>
    <row r="20" spans="1:20" s="31" customFormat="1">
      <c r="A20" s="32">
        <v>7</v>
      </c>
      <c r="B20" s="32"/>
      <c r="C20" s="31" t="s">
        <v>56</v>
      </c>
      <c r="D20" s="126">
        <f>'ROR 2020'!$G$12/12</f>
        <v>7.4333333333333335E-3</v>
      </c>
      <c r="E20" s="37">
        <f>'ROR 2020'!$G$12/12</f>
        <v>7.4333333333333335E-3</v>
      </c>
      <c r="F20" s="37">
        <f>'ROR 2020'!$G$12/12</f>
        <v>7.4333333333333335E-3</v>
      </c>
      <c r="G20" s="37">
        <f>'ROR 2020'!$G$12/12</f>
        <v>7.4333333333333335E-3</v>
      </c>
      <c r="H20" s="37">
        <f>'ROR 2020'!$G$12/12</f>
        <v>7.4333333333333335E-3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8.9200000000000002E-2</v>
      </c>
      <c r="R20" s="359"/>
      <c r="S20" s="465"/>
      <c r="T20" s="458">
        <v>8.9200000000000002E-2</v>
      </c>
    </row>
    <row r="21" spans="1:20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 s="359"/>
      <c r="S21" s="465"/>
      <c r="T21" s="458"/>
    </row>
    <row r="22" spans="1:20" s="31" customFormat="1">
      <c r="A22" s="32">
        <v>8</v>
      </c>
      <c r="B22" s="32"/>
      <c r="C22" s="31" t="s">
        <v>57</v>
      </c>
      <c r="D22" s="315">
        <f t="shared" ref="D22:O22" si="5">D18*D20</f>
        <v>327087.03318233334</v>
      </c>
      <c r="E22" s="316">
        <f>E18*E20</f>
        <v>346802.599361</v>
      </c>
      <c r="F22" s="316">
        <f t="shared" si="5"/>
        <v>369070.47948166664</v>
      </c>
      <c r="G22" s="316">
        <f t="shared" si="5"/>
        <v>401707.08623833332</v>
      </c>
      <c r="H22" s="316">
        <f t="shared" si="5"/>
        <v>445638.50585000002</v>
      </c>
      <c r="I22" s="316">
        <f t="shared" si="5"/>
        <v>470571.58228966669</v>
      </c>
      <c r="J22" s="316">
        <f t="shared" si="5"/>
        <v>498189.49079300003</v>
      </c>
      <c r="K22" s="316">
        <f t="shared" si="5"/>
        <v>526409.41738100001</v>
      </c>
      <c r="L22" s="316">
        <f t="shared" si="5"/>
        <v>568925.281235</v>
      </c>
      <c r="M22" s="316">
        <f t="shared" si="5"/>
        <v>597185.50191599992</v>
      </c>
      <c r="N22" s="316">
        <f t="shared" si="5"/>
        <v>639717.69520450186</v>
      </c>
      <c r="O22" s="316">
        <f t="shared" si="5"/>
        <v>667400.01911669178</v>
      </c>
      <c r="P22" s="316">
        <f>P18*P20</f>
        <v>691882.26923843904</v>
      </c>
      <c r="Q22" s="317">
        <f>Q18*Q20</f>
        <v>6046695.6565731997</v>
      </c>
      <c r="R22" s="359"/>
      <c r="S22" s="465">
        <f>Q22-T22</f>
        <v>0</v>
      </c>
      <c r="T22" s="465">
        <v>6046695.6565731997</v>
      </c>
    </row>
    <row r="23" spans="1:20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 s="359"/>
      <c r="S23" s="465"/>
      <c r="T23" s="458"/>
    </row>
    <row r="24" spans="1:20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 s="359"/>
      <c r="S24" s="465"/>
      <c r="T24" s="458"/>
    </row>
    <row r="25" spans="1:20" s="31" customFormat="1">
      <c r="A25" s="32">
        <v>9</v>
      </c>
      <c r="B25" s="32"/>
      <c r="C25" s="31" t="s">
        <v>0</v>
      </c>
      <c r="D25" s="284">
        <v>0</v>
      </c>
      <c r="E25" s="285">
        <f>'202001 Bk Depr'!P14+'202001 Bk Depr'!P23</f>
        <v>0</v>
      </c>
      <c r="F25" s="285">
        <f>'202002 Bk Depr'!P14+'202002 Bk Depr'!P23</f>
        <v>0</v>
      </c>
      <c r="G25" s="285">
        <f>'202003 Bk Depr'!P14+'202003 Bk Depr'!P23</f>
        <v>0</v>
      </c>
      <c r="H25" s="285">
        <f>'202004 Bk Depr'!P14+'202004 Bk Depr'!P23</f>
        <v>0</v>
      </c>
      <c r="I25" s="285">
        <f>'202005 Bk Depr'!P14+'202005 Bk Depr'!P23</f>
        <v>0</v>
      </c>
      <c r="J25" s="285">
        <f>'202006 Bk Depr'!P14+'202006 Bk Depr'!P23</f>
        <v>0</v>
      </c>
      <c r="K25" s="285">
        <f>'202007 Bk Depr'!P14+'202007 Bk Depr'!P23</f>
        <v>0</v>
      </c>
      <c r="L25" s="285">
        <f>'202008 Bk Depr'!P14+'202008 Bk Depr'!P23</f>
        <v>0</v>
      </c>
      <c r="M25" s="285">
        <f>'202009 Bk Depr'!P14+'202009 Bk Depr'!P23</f>
        <v>0</v>
      </c>
      <c r="N25" s="285">
        <f>'202010 Bk Depr'!P14+'202010 Bk Depr'!P23</f>
        <v>61923.381673958327</v>
      </c>
      <c r="O25" s="285">
        <f>'202011 Bk Depr'!P14+'202011 Bk Depr'!P23</f>
        <v>125770.86450270833</v>
      </c>
      <c r="P25" s="285">
        <f>'202012 Bk Depr'!P14+'202012 Bk Depr'!P23</f>
        <v>128652.64663854166</v>
      </c>
      <c r="Q25" s="286">
        <f>SUM(E25:P25)</f>
        <v>316346.8928152083</v>
      </c>
      <c r="R25" s="359"/>
      <c r="S25" s="465">
        <f>Q25-T25</f>
        <v>0</v>
      </c>
      <c r="T25" s="464">
        <v>316346.8928152083</v>
      </c>
    </row>
    <row r="26" spans="1:20" s="31" customFormat="1">
      <c r="A26" s="32">
        <v>10</v>
      </c>
      <c r="B26" s="32"/>
      <c r="C26" s="13" t="s">
        <v>59</v>
      </c>
      <c r="D26" s="284">
        <v>0</v>
      </c>
      <c r="E26" s="285">
        <f>'COS Budget 2020'!H34</f>
        <v>0</v>
      </c>
      <c r="F26" s="285">
        <f>'COS Budget 2020'!I34</f>
        <v>0</v>
      </c>
      <c r="G26" s="285">
        <f>'COS Budget 2020'!J34</f>
        <v>0</v>
      </c>
      <c r="H26" s="285">
        <f>'COS Budget 2020'!K34</f>
        <v>0</v>
      </c>
      <c r="I26" s="285">
        <f>'COS Budget 2020'!L34</f>
        <v>0</v>
      </c>
      <c r="J26" s="285">
        <f>'COS Budget 2020'!M34</f>
        <v>0</v>
      </c>
      <c r="K26" s="285">
        <f>'COS Budget 2020'!N34</f>
        <v>0</v>
      </c>
      <c r="L26" s="285">
        <f>'COS Budget 2020'!O34</f>
        <v>0</v>
      </c>
      <c r="M26" s="285">
        <f>'COS Budget 2020'!P34</f>
        <v>0</v>
      </c>
      <c r="N26" s="285">
        <f>'COS Budget 2020'!Q34</f>
        <v>0</v>
      </c>
      <c r="O26" s="285">
        <f>'COS Budget 2020'!R34</f>
        <v>0</v>
      </c>
      <c r="P26" s="285">
        <f>'COS Budget 2020'!S34</f>
        <v>0</v>
      </c>
      <c r="Q26" s="286">
        <f>SUM(E26:P26)</f>
        <v>0</v>
      </c>
      <c r="R26" s="359"/>
      <c r="S26" s="465">
        <f>Q26-T26</f>
        <v>0</v>
      </c>
      <c r="T26" s="464">
        <v>0</v>
      </c>
    </row>
    <row r="27" spans="1:20" s="31" customFormat="1">
      <c r="A27" s="32">
        <v>11</v>
      </c>
      <c r="B27" s="32"/>
      <c r="C27" s="31" t="s">
        <v>175</v>
      </c>
      <c r="D27" s="284">
        <f>'Cap&amp;OpEx 2019'!N33</f>
        <v>7144.99</v>
      </c>
      <c r="E27" s="285">
        <f>'Cap&amp;OpEx 2020'!C41</f>
        <v>20186.2</v>
      </c>
      <c r="F27" s="285">
        <f>'Cap&amp;OpEx 2020'!D41</f>
        <v>20186.2</v>
      </c>
      <c r="G27" s="285">
        <f>'Cap&amp;OpEx 2020'!E41</f>
        <v>20186.2</v>
      </c>
      <c r="H27" s="285">
        <f>'Cap&amp;OpEx 2020'!F41</f>
        <v>20186.2</v>
      </c>
      <c r="I27" s="285">
        <f>'Cap&amp;OpEx 2020'!G41</f>
        <v>20186.2</v>
      </c>
      <c r="J27" s="285">
        <f>'Cap&amp;OpEx 2020'!H41</f>
        <v>20186.2</v>
      </c>
      <c r="K27" s="285">
        <f>'Cap&amp;OpEx 2020'!I41</f>
        <v>20186.2</v>
      </c>
      <c r="L27" s="285">
        <f>'Cap&amp;OpEx 2020'!J41</f>
        <v>20186.2</v>
      </c>
      <c r="M27" s="285">
        <f>'Cap&amp;OpEx 2020'!K41</f>
        <v>20186.2</v>
      </c>
      <c r="N27" s="285">
        <f>'Cap&amp;OpEx 2020'!L41</f>
        <v>20186.2</v>
      </c>
      <c r="O27" s="285">
        <f>'Cap&amp;OpEx 2020'!M41</f>
        <v>64595</v>
      </c>
      <c r="P27" s="285">
        <f>'Cap&amp;OpEx 2020'!N41</f>
        <v>64595</v>
      </c>
      <c r="Q27" s="286">
        <f>SUM(E27:P27)</f>
        <v>331052</v>
      </c>
      <c r="R27" s="359"/>
      <c r="S27" s="465">
        <f>Q27-T27</f>
        <v>0</v>
      </c>
      <c r="T27" s="464">
        <v>331052</v>
      </c>
    </row>
    <row r="28" spans="1:20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 s="359"/>
      <c r="S28" s="465"/>
      <c r="T28" s="458"/>
    </row>
    <row r="29" spans="1:20" s="31" customFormat="1">
      <c r="A29" s="32">
        <v>12</v>
      </c>
      <c r="B29" s="32"/>
      <c r="C29" s="31" t="s">
        <v>60</v>
      </c>
      <c r="D29" s="284">
        <f>SUM(D25:D28)</f>
        <v>7144.99</v>
      </c>
      <c r="E29" s="285">
        <f t="shared" ref="E29:Q29" si="6">SUM(E25:E28)</f>
        <v>20186.2</v>
      </c>
      <c r="F29" s="285">
        <f t="shared" si="6"/>
        <v>20186.2</v>
      </c>
      <c r="G29" s="285">
        <f t="shared" si="6"/>
        <v>20186.2</v>
      </c>
      <c r="H29" s="285">
        <f t="shared" si="6"/>
        <v>20186.2</v>
      </c>
      <c r="I29" s="285">
        <f t="shared" si="6"/>
        <v>20186.2</v>
      </c>
      <c r="J29" s="285">
        <f t="shared" si="6"/>
        <v>20186.2</v>
      </c>
      <c r="K29" s="285">
        <f t="shared" si="6"/>
        <v>20186.2</v>
      </c>
      <c r="L29" s="285">
        <f t="shared" si="6"/>
        <v>20186.2</v>
      </c>
      <c r="M29" s="285">
        <f t="shared" si="6"/>
        <v>20186.2</v>
      </c>
      <c r="N29" s="285">
        <f t="shared" si="6"/>
        <v>82109.581673958324</v>
      </c>
      <c r="O29" s="285">
        <f t="shared" si="6"/>
        <v>190365.86450270831</v>
      </c>
      <c r="P29" s="285">
        <f t="shared" si="6"/>
        <v>193247.64663854166</v>
      </c>
      <c r="Q29" s="286">
        <f t="shared" si="6"/>
        <v>647398.8928152083</v>
      </c>
      <c r="R29" s="359"/>
      <c r="S29" s="465">
        <f>Q29-T29</f>
        <v>0</v>
      </c>
      <c r="T29" s="465">
        <v>647398.8928152083</v>
      </c>
    </row>
    <row r="30" spans="1:20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 s="359"/>
      <c r="S30" s="465"/>
      <c r="T30" s="458"/>
    </row>
    <row r="31" spans="1:20" s="31" customFormat="1">
      <c r="A31" s="32">
        <v>13</v>
      </c>
      <c r="B31" s="77" t="s">
        <v>162</v>
      </c>
      <c r="D31" s="321">
        <f>D22+D29</f>
        <v>334232.02318233333</v>
      </c>
      <c r="E31" s="322">
        <f>E22+E29</f>
        <v>366988.79936100001</v>
      </c>
      <c r="F31" s="322">
        <f t="shared" ref="F31:Q31" si="7">F22+F29</f>
        <v>389256.67948166665</v>
      </c>
      <c r="G31" s="322">
        <f t="shared" si="7"/>
        <v>421893.28623833333</v>
      </c>
      <c r="H31" s="322">
        <f t="shared" si="7"/>
        <v>465824.70585000003</v>
      </c>
      <c r="I31" s="322">
        <f t="shared" si="7"/>
        <v>490757.78228966671</v>
      </c>
      <c r="J31" s="322">
        <f t="shared" si="7"/>
        <v>518375.69079300005</v>
      </c>
      <c r="K31" s="322">
        <f t="shared" si="7"/>
        <v>546595.61738099996</v>
      </c>
      <c r="L31" s="322">
        <f t="shared" si="7"/>
        <v>589111.48123499996</v>
      </c>
      <c r="M31" s="322">
        <f t="shared" si="7"/>
        <v>617371.70191599987</v>
      </c>
      <c r="N31" s="322">
        <f t="shared" si="7"/>
        <v>721827.27687846019</v>
      </c>
      <c r="O31" s="322">
        <f t="shared" si="7"/>
        <v>857765.88361940009</v>
      </c>
      <c r="P31" s="322">
        <f>P22+P29</f>
        <v>885129.91587698064</v>
      </c>
      <c r="Q31" s="323">
        <f t="shared" si="7"/>
        <v>6694094.5493884077</v>
      </c>
      <c r="R31" s="359"/>
      <c r="S31" s="465">
        <f>Q31-T31</f>
        <v>0</v>
      </c>
      <c r="T31" s="465">
        <v>6694094.5493884077</v>
      </c>
    </row>
    <row r="32" spans="1:20" s="31" customFormat="1">
      <c r="A32" s="32"/>
      <c r="B32" s="32"/>
      <c r="D32" s="80"/>
      <c r="P32" s="80"/>
      <c r="R32" s="359"/>
    </row>
    <row r="33" spans="1:18" s="359" customFormat="1" ht="21" customHeight="1"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</row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 s="359"/>
    </row>
    <row r="35" spans="1:18" s="31" customFormat="1">
      <c r="A35" s="79"/>
      <c r="B35" s="30" t="s">
        <v>492</v>
      </c>
      <c r="Q35" s="80"/>
      <c r="R35" s="359"/>
    </row>
    <row r="39" spans="1:18">
      <c r="D39" s="481" t="s">
        <v>660</v>
      </c>
      <c r="E39" s="480">
        <f>E11-D11</f>
        <v>2652318.3200000003</v>
      </c>
      <c r="F39" s="480">
        <f t="shared" ref="F39:P39" si="8">F11-E11</f>
        <v>2995678.9399999976</v>
      </c>
      <c r="G39" s="480">
        <f t="shared" si="8"/>
        <v>4390574.8999999985</v>
      </c>
      <c r="H39" s="480">
        <f t="shared" si="8"/>
        <v>5910056.450000003</v>
      </c>
      <c r="I39" s="480">
        <f t="shared" si="8"/>
        <v>3354225.5300000012</v>
      </c>
      <c r="J39" s="480">
        <f t="shared" si="8"/>
        <v>3715413.700000003</v>
      </c>
      <c r="K39" s="480">
        <f t="shared" si="8"/>
        <v>3796402.6799999923</v>
      </c>
      <c r="L39" s="480">
        <f t="shared" si="8"/>
        <v>5719622.9399999976</v>
      </c>
      <c r="M39" s="480">
        <f t="shared" si="8"/>
        <v>3801823.4099999964</v>
      </c>
      <c r="N39" s="480">
        <f t="shared" si="8"/>
        <v>6301098.6700000018</v>
      </c>
      <c r="O39" s="480">
        <f t="shared" si="8"/>
        <v>3916609.3100000024</v>
      </c>
      <c r="P39" s="480">
        <f t="shared" si="8"/>
        <v>3482324.8199999928</v>
      </c>
    </row>
    <row r="40" spans="1:18">
      <c r="D40" s="481" t="s">
        <v>777</v>
      </c>
      <c r="E40" s="480">
        <v>2652318.3200000003</v>
      </c>
      <c r="F40" s="480">
        <v>2995678.9399999976</v>
      </c>
      <c r="G40" s="480">
        <v>4390574.8999999985</v>
      </c>
      <c r="H40" s="480">
        <v>5910056.4499999955</v>
      </c>
      <c r="I40" s="480">
        <v>3354225.5300000012</v>
      </c>
      <c r="J40" s="480">
        <v>3715413.700000003</v>
      </c>
      <c r="K40" s="480">
        <v>3796402.6799999997</v>
      </c>
      <c r="L40" s="480">
        <v>5719622.9399999976</v>
      </c>
      <c r="M40" s="480">
        <v>3801823.4100000113</v>
      </c>
      <c r="N40" s="480">
        <v>6301098.6700000018</v>
      </c>
      <c r="O40" s="480">
        <v>3916609.3100000024</v>
      </c>
      <c r="P40" s="480">
        <v>3482324.8199999928</v>
      </c>
    </row>
    <row r="41" spans="1:18">
      <c r="D41" s="481" t="s">
        <v>39</v>
      </c>
      <c r="E41" s="480">
        <f>E39-E40</f>
        <v>0</v>
      </c>
      <c r="F41" s="480">
        <f>F39-F40</f>
        <v>0</v>
      </c>
      <c r="G41" s="480">
        <f t="shared" ref="G41:P41" si="9">G39-G40</f>
        <v>0</v>
      </c>
      <c r="H41" s="480">
        <f t="shared" si="9"/>
        <v>7.4505805969238281E-9</v>
      </c>
      <c r="I41" s="480">
        <f t="shared" si="9"/>
        <v>0</v>
      </c>
      <c r="J41" s="480">
        <f t="shared" si="9"/>
        <v>0</v>
      </c>
      <c r="K41" s="480">
        <f t="shared" si="9"/>
        <v>-7.4505805969238281E-9</v>
      </c>
      <c r="L41" s="480">
        <f t="shared" si="9"/>
        <v>0</v>
      </c>
      <c r="M41" s="480">
        <f t="shared" si="9"/>
        <v>-1.4901161193847656E-8</v>
      </c>
      <c r="N41" s="480">
        <f t="shared" si="9"/>
        <v>0</v>
      </c>
      <c r="O41" s="480">
        <f t="shared" si="9"/>
        <v>0</v>
      </c>
      <c r="P41" s="480">
        <f t="shared" si="9"/>
        <v>0</v>
      </c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3" orientation="landscape" r:id="rId1"/>
  <headerFooter scaleWithDoc="0">
    <oddFooter>&amp;R&amp;"Times New Roman,Bold"Exhibit 4
Page 2 of 18&amp;L&amp;1#&amp;"Calibri"&amp;14&amp;K000000Business Use</oddFooter>
  </headerFooter>
  <rowBreaks count="1" manualBreakCount="1">
    <brk id="31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  <pageSetUpPr fitToPage="1"/>
  </sheetPr>
  <dimension ref="A1:V19"/>
  <sheetViews>
    <sheetView workbookViewId="0"/>
  </sheetViews>
  <sheetFormatPr defaultColWidth="9.140625" defaultRowHeight="12.75"/>
  <cols>
    <col min="1" max="1" width="5.85546875" style="378" customWidth="1"/>
    <col min="2" max="2" width="22.85546875" style="372" customWidth="1"/>
    <col min="3" max="3" width="12.85546875" style="372" customWidth="1"/>
    <col min="4" max="4" width="9.85546875" style="372" customWidth="1"/>
    <col min="5" max="5" width="11.85546875" style="372" customWidth="1"/>
    <col min="6" max="6" width="14.85546875" style="372" customWidth="1"/>
    <col min="7" max="7" width="15.85546875" style="372" customWidth="1"/>
    <col min="8" max="14" width="9.140625" style="372" customWidth="1"/>
    <col min="15" max="16384" width="9.140625" style="372"/>
  </cols>
  <sheetData>
    <row r="1" spans="1:22" ht="18.75">
      <c r="A1" s="191" t="s">
        <v>65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251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66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74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341" t="s">
        <v>457</v>
      </c>
      <c r="G7" s="189" t="s">
        <v>75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1.4005040758411292E-2</v>
      </c>
      <c r="D9" s="70">
        <v>3.3598855017064826E-2</v>
      </c>
      <c r="E9" s="70">
        <f>C9*D9</f>
        <v>4.7055333394994459E-4</v>
      </c>
      <c r="F9" s="69"/>
      <c r="G9" s="69">
        <f>E9</f>
        <v>4.7055333394994459E-4</v>
      </c>
      <c r="K9" s="373"/>
      <c r="L9" s="374"/>
      <c r="M9" s="375"/>
    </row>
    <row r="10" spans="1:22" ht="15.75">
      <c r="A10" s="66">
        <v>2</v>
      </c>
      <c r="B10" s="71" t="s">
        <v>50</v>
      </c>
      <c r="C10" s="69">
        <v>0.45497001497241335</v>
      </c>
      <c r="D10" s="70">
        <v>4.3744370689708191E-2</v>
      </c>
      <c r="E10" s="70">
        <f>C10*D10</f>
        <v>1.9902376987655335E-2</v>
      </c>
      <c r="F10" s="69"/>
      <c r="G10" s="69">
        <f>E10</f>
        <v>1.9902376987655335E-2</v>
      </c>
      <c r="K10" s="373"/>
      <c r="L10" s="374"/>
      <c r="M10" s="375"/>
    </row>
    <row r="11" spans="1:22" ht="15.75">
      <c r="A11" s="188">
        <v>3</v>
      </c>
      <c r="B11" s="185" t="s">
        <v>49</v>
      </c>
      <c r="C11" s="187">
        <v>0.53102494426917535</v>
      </c>
      <c r="D11" s="376">
        <v>9.7250000000000003E-2</v>
      </c>
      <c r="E11" s="186">
        <f>C11*D11</f>
        <v>5.1642175830177307E-2</v>
      </c>
      <c r="F11" s="187">
        <f>E11*(0.2495/(1-0.2495))</f>
        <v>1.7168185036148219E-2</v>
      </c>
      <c r="G11" s="187">
        <f>E11/(1-0.2495)</f>
        <v>6.8810360866325526E-2</v>
      </c>
      <c r="K11" s="373"/>
      <c r="L11" s="374"/>
      <c r="M11" s="375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7.2015106151782582E-2</v>
      </c>
      <c r="F12" s="69">
        <f>SUM(F9:F11)</f>
        <v>1.7168185036148219E-2</v>
      </c>
      <c r="G12" s="69">
        <f>ROUND(SUM(G9:G11),4)</f>
        <v>8.9200000000000002E-2</v>
      </c>
      <c r="K12" s="377"/>
      <c r="L12" s="374"/>
      <c r="M12" s="374"/>
    </row>
    <row r="13" spans="1:22" ht="15.75">
      <c r="A13" s="66"/>
      <c r="B13" s="26"/>
      <c r="C13" s="69"/>
      <c r="D13" s="26"/>
      <c r="E13" s="69"/>
      <c r="F13" s="69"/>
      <c r="G13" s="69"/>
      <c r="K13" s="377"/>
      <c r="L13" s="374"/>
      <c r="M13" s="374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490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26"/>
    </row>
    <row r="18" spans="1:7" ht="15.75">
      <c r="A18" s="66"/>
      <c r="B18" s="26"/>
      <c r="C18" s="26"/>
      <c r="D18" s="26"/>
      <c r="E18" s="26"/>
      <c r="F18" s="26"/>
      <c r="G18" s="26"/>
    </row>
    <row r="19" spans="1:7">
      <c r="D19" s="29"/>
    </row>
  </sheetData>
  <hyperlinks>
    <hyperlink ref="G7" r:id="rId1" display="^@ 38.9%" xr:uid="{00000000-0004-0000-1000-000000000000}"/>
  </hyperlinks>
  <printOptions horizontalCentered="1"/>
  <pageMargins left="0.5" right="0.62187499999999996" top="1" bottom="0.75" header="0.3" footer="0.3"/>
  <pageSetup orientation="landscape" r:id="rId2"/>
  <headerFooter>
    <oddFooter>&amp;R&amp;"Times New Roman,Bold"Exhibit 4
Page 3 of 18&amp;L&amp;1#&amp;"Calibri"&amp;14&amp;K000000Business Use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7622-E1B9-4F03-8F6C-852EFB6EB32B}">
  <sheetPr>
    <tabColor theme="6" tint="0.39997558519241921"/>
    <pageSetUpPr fitToPage="1"/>
  </sheetPr>
  <dimension ref="A1:AD58"/>
  <sheetViews>
    <sheetView workbookViewId="0"/>
  </sheetViews>
  <sheetFormatPr defaultColWidth="9.140625" defaultRowHeight="15.75"/>
  <cols>
    <col min="1" max="1" width="9.140625" style="372"/>
    <col min="2" max="2" width="44.7109375" style="26" customWidth="1"/>
    <col min="3" max="15" width="15.85546875" style="26" customWidth="1"/>
    <col min="16" max="16" width="12.140625" style="372" bestFit="1" customWidth="1"/>
    <col min="17" max="17" width="16.140625" style="372" bestFit="1" customWidth="1"/>
    <col min="18" max="30" width="14.85546875" style="372" customWidth="1"/>
    <col min="31" max="31" width="9.140625" style="372"/>
    <col min="32" max="32" width="10.5703125" style="372" bestFit="1" customWidth="1"/>
    <col min="33" max="16384" width="9.140625" style="372"/>
  </cols>
  <sheetData>
    <row r="1" spans="1:30" ht="18.75">
      <c r="A1" s="191" t="s">
        <v>65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379"/>
      <c r="Y1" s="379"/>
      <c r="Z1" s="379"/>
      <c r="AA1" s="379"/>
      <c r="AB1" s="379"/>
      <c r="AC1" s="379"/>
      <c r="AD1" s="379"/>
    </row>
    <row r="2" spans="1:30" ht="18.75">
      <c r="A2" s="191" t="s">
        <v>251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379"/>
      <c r="Y2" s="379"/>
      <c r="Z2" s="379"/>
      <c r="AA2" s="379"/>
      <c r="AB2" s="379"/>
      <c r="AC2" s="379"/>
      <c r="AD2" s="379"/>
    </row>
    <row r="3" spans="1:30" ht="18.75">
      <c r="A3" s="191" t="s">
        <v>158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379"/>
      <c r="Y3" s="379"/>
      <c r="Z3" s="379"/>
      <c r="AA3" s="379"/>
      <c r="AB3" s="379"/>
      <c r="AC3" s="379"/>
      <c r="AD3" s="379"/>
    </row>
    <row r="4" spans="1:30">
      <c r="Q4" s="379"/>
      <c r="R4" s="379"/>
      <c r="S4" s="379"/>
      <c r="T4" s="379"/>
      <c r="U4" s="379"/>
      <c r="V4" s="379"/>
      <c r="X4" s="379"/>
      <c r="Y4" s="379"/>
      <c r="Z4" s="379"/>
      <c r="AA4" s="379"/>
      <c r="AB4" s="379"/>
      <c r="AC4" s="379"/>
      <c r="AD4" s="379"/>
    </row>
    <row r="5" spans="1:30">
      <c r="Q5" s="379"/>
      <c r="R5" s="379"/>
      <c r="S5" s="379"/>
      <c r="T5" s="379"/>
      <c r="U5" s="379"/>
      <c r="V5" s="379"/>
      <c r="X5" s="379"/>
      <c r="Y5" s="379"/>
      <c r="Z5" s="379"/>
      <c r="AA5" s="379"/>
      <c r="AB5" s="379"/>
      <c r="AC5" s="379"/>
      <c r="AD5" s="379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67</v>
      </c>
      <c r="Q6" s="372"/>
      <c r="R6" s="372"/>
      <c r="S6" s="372"/>
      <c r="T6" s="372"/>
      <c r="U6" s="372"/>
      <c r="V6" s="372"/>
      <c r="W6" s="372"/>
    </row>
    <row r="7" spans="1:30" ht="16.5" thickBot="1">
      <c r="A7" s="44" t="s">
        <v>5</v>
      </c>
      <c r="B7" s="44" t="s">
        <v>6</v>
      </c>
      <c r="C7" s="44" t="s">
        <v>83</v>
      </c>
      <c r="D7" s="44" t="s">
        <v>84</v>
      </c>
      <c r="E7" s="44" t="s">
        <v>253</v>
      </c>
      <c r="F7" s="44" t="s">
        <v>254</v>
      </c>
      <c r="G7" s="44" t="s">
        <v>85</v>
      </c>
      <c r="H7" s="44" t="s">
        <v>255</v>
      </c>
      <c r="I7" s="44" t="s">
        <v>86</v>
      </c>
      <c r="J7" s="44" t="s">
        <v>87</v>
      </c>
      <c r="K7" s="44" t="s">
        <v>88</v>
      </c>
      <c r="L7" s="44" t="s">
        <v>89</v>
      </c>
      <c r="M7" s="44" t="s">
        <v>90</v>
      </c>
      <c r="N7" s="44" t="s">
        <v>91</v>
      </c>
      <c r="O7" s="44">
        <v>2020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378">
        <v>1</v>
      </c>
      <c r="B10" s="26" t="s">
        <v>246</v>
      </c>
      <c r="C10" s="364">
        <f>'2020 Capital Budget'!F27</f>
        <v>15172.200000000186</v>
      </c>
      <c r="D10" s="364">
        <f>'2020 Capital Budget'!G27</f>
        <v>8593.2599999979138</v>
      </c>
      <c r="E10" s="364">
        <f>'2020 Capital Budget'!H27</f>
        <v>18558.939999999478</v>
      </c>
      <c r="F10" s="364">
        <f>'2020 Capital Budget'!I27</f>
        <v>2481.5200000032783</v>
      </c>
      <c r="G10" s="364">
        <f>'2020 Capital Budget'!J27</f>
        <v>-43802.060000002384</v>
      </c>
      <c r="H10" s="364">
        <f>'2020 Capital Budget'!K27</f>
        <v>0</v>
      </c>
      <c r="I10" s="364">
        <f>'2020 Capital Budget'!L27</f>
        <v>0</v>
      </c>
      <c r="J10" s="364">
        <f>'2020 Capital Budget'!M27</f>
        <v>0</v>
      </c>
      <c r="K10" s="364">
        <f>'2020 Capital Budget'!N27</f>
        <v>0</v>
      </c>
      <c r="L10" s="364">
        <f>'2020 Capital Budget'!O27</f>
        <v>0</v>
      </c>
      <c r="M10" s="364">
        <f>'2020 Capital Budget'!P27</f>
        <v>0</v>
      </c>
      <c r="N10" s="364">
        <f>'2020 Capital Budget'!Q27</f>
        <v>0</v>
      </c>
      <c r="O10" s="364">
        <f>SUM(C10:N10)</f>
        <v>1003.8599999984726</v>
      </c>
      <c r="P10" s="380"/>
    </row>
    <row r="11" spans="1:30">
      <c r="A11" s="378">
        <f>A10+1</f>
        <v>2</v>
      </c>
      <c r="B11" s="26" t="s">
        <v>247</v>
      </c>
      <c r="C11" s="364">
        <f>SUM('2020 Capital Budget'!F22:F24,'2020 Capital Budget'!F28)</f>
        <v>2652318.3200000008</v>
      </c>
      <c r="D11" s="364">
        <f>SUM('2020 Capital Budget'!G22:G24,'2020 Capital Budget'!G28)</f>
        <v>2995678.9399999972</v>
      </c>
      <c r="E11" s="364">
        <f>SUM('2020 Capital Budget'!H22:H24,'2020 Capital Budget'!H28)</f>
        <v>4390574.9000000022</v>
      </c>
      <c r="F11" s="364">
        <f>SUM('2020 Capital Budget'!I22:I24,'2020 Capital Budget'!I28)</f>
        <v>5910056.4499999993</v>
      </c>
      <c r="G11" s="364">
        <f>SUM('2020 Capital Budget'!J22:J24,'2020 Capital Budget'!J28)</f>
        <v>3354225.5299999993</v>
      </c>
      <c r="H11" s="364">
        <f>SUM('2020 Capital Budget'!K22:K24,'2020 Capital Budget'!K28)</f>
        <v>3715413.7000000016</v>
      </c>
      <c r="I11" s="364">
        <f>SUM('2020 Capital Budget'!L22:L24,'2020 Capital Budget'!L28)</f>
        <v>3796402.6799999978</v>
      </c>
      <c r="J11" s="364">
        <f>SUM('2020 Capital Budget'!M22:M24,'2020 Capital Budget'!M28)</f>
        <v>5719622.9400000032</v>
      </c>
      <c r="K11" s="364">
        <f>SUM('2020 Capital Budget'!N22:N24,'2020 Capital Budget'!N28)</f>
        <v>3801823.4099999964</v>
      </c>
      <c r="L11" s="364">
        <f>SUM('2020 Capital Budget'!O22:O24,'2020 Capital Budget'!O28)</f>
        <v>6516841.2400000039</v>
      </c>
      <c r="M11" s="364">
        <f>SUM('2020 Capital Budget'!P22:P24,'2020 Capital Budget'!P28)</f>
        <v>3916609.3100000042</v>
      </c>
      <c r="N11" s="364">
        <f>SUM('2020 Capital Budget'!Q22:Q24,'2020 Capital Budget'!Q28)</f>
        <v>3482324.8199999947</v>
      </c>
      <c r="O11" s="364">
        <f t="shared" ref="O11:O14" si="0">SUM(C11:N11)</f>
        <v>50251892.240000002</v>
      </c>
      <c r="P11" s="380"/>
    </row>
    <row r="12" spans="1:30">
      <c r="A12" s="378">
        <f>A11+1</f>
        <v>3</v>
      </c>
      <c r="B12" s="26" t="s">
        <v>77</v>
      </c>
      <c r="C12" s="364">
        <f>'2020 Capital Budget'!F20+'2020 Capital Budget'!F21+'2020 Capital Budget'!F29</f>
        <v>272700.16999999783</v>
      </c>
      <c r="D12" s="364">
        <f>'2020 Capital Budget'!G20+'2020 Capital Budget'!G21+'2020 Capital Budget'!G29</f>
        <v>279316.35000000062</v>
      </c>
      <c r="E12" s="364">
        <f>'2020 Capital Budget'!H20+'2020 Capital Budget'!H21+'2020 Capital Budget'!H29</f>
        <v>294103.76000000013</v>
      </c>
      <c r="F12" s="364">
        <f>'2020 Capital Budget'!I20+'2020 Capital Budget'!I21+'2020 Capital Budget'!I29</f>
        <v>318095.74000000075</v>
      </c>
      <c r="G12" s="364">
        <f>'2020 Capital Budget'!J20+'2020 Capital Budget'!J21+'2020 Capital Budget'!J29</f>
        <v>262121.33000000013</v>
      </c>
      <c r="H12" s="364">
        <f>'2020 Capital Budget'!K20+'2020 Capital Budget'!K21+'2020 Capital Budget'!K29</f>
        <v>160408.20000000042</v>
      </c>
      <c r="I12" s="364">
        <f>'2020 Capital Budget'!L20+'2020 Capital Budget'!L21+'2020 Capital Budget'!L29</f>
        <v>190496.0699999989</v>
      </c>
      <c r="J12" s="364">
        <f>'2020 Capital Budget'!M20+'2020 Capital Budget'!M21+'2020 Capital Budget'!M29</f>
        <v>173314.40999999957</v>
      </c>
      <c r="K12" s="364">
        <f>'2020 Capital Budget'!N20+'2020 Capital Budget'!N21+'2020 Capital Budget'!N29</f>
        <v>247659.97000000044</v>
      </c>
      <c r="L12" s="364">
        <f>'2020 Capital Budget'!O20+'2020 Capital Budget'!O21+'2020 Capital Budget'!O29</f>
        <v>162789.86999999933</v>
      </c>
      <c r="M12" s="364">
        <f>'2020 Capital Budget'!P20+'2020 Capital Budget'!P21+'2020 Capital Budget'!P29</f>
        <v>261943.66000000312</v>
      </c>
      <c r="N12" s="364">
        <f>'2020 Capital Budget'!Q20+'2020 Capital Budget'!Q21+'2020 Capital Budget'!Q29</f>
        <v>-82118.140000001556</v>
      </c>
      <c r="O12" s="364">
        <f t="shared" si="0"/>
        <v>2540831.3899999997</v>
      </c>
      <c r="P12" s="380"/>
    </row>
    <row r="13" spans="1:30">
      <c r="A13" s="378">
        <f>A12+1</f>
        <v>4</v>
      </c>
      <c r="B13" s="26" t="s">
        <v>78</v>
      </c>
      <c r="C13" s="364">
        <v>0</v>
      </c>
      <c r="D13" s="364">
        <v>0</v>
      </c>
      <c r="E13" s="364">
        <v>0</v>
      </c>
      <c r="F13" s="364">
        <v>0</v>
      </c>
      <c r="G13" s="364">
        <v>0</v>
      </c>
      <c r="H13" s="364">
        <v>0</v>
      </c>
      <c r="I13" s="364">
        <v>0</v>
      </c>
      <c r="J13" s="364">
        <v>0</v>
      </c>
      <c r="K13" s="364">
        <v>0</v>
      </c>
      <c r="L13" s="364">
        <v>0</v>
      </c>
      <c r="M13" s="364">
        <v>0</v>
      </c>
      <c r="N13" s="364">
        <v>0</v>
      </c>
      <c r="O13" s="364">
        <f t="shared" si="0"/>
        <v>0</v>
      </c>
      <c r="P13" s="380"/>
    </row>
    <row r="14" spans="1:30">
      <c r="A14" s="378">
        <f>A13+1</f>
        <v>5</v>
      </c>
      <c r="B14" s="26" t="s">
        <v>159</v>
      </c>
      <c r="C14" s="338">
        <f>SUM('2020 Capital Budget'!F9:F15,'2020 Capital Budget'!F25:F26)</f>
        <v>769073.35000000021</v>
      </c>
      <c r="D14" s="338">
        <f>SUM('2020 Capital Budget'!G9:G15,'2020 Capital Budget'!G25:G26)</f>
        <v>551495.29999999807</v>
      </c>
      <c r="E14" s="338">
        <f>SUM('2020 Capital Budget'!H9:H15,'2020 Capital Budget'!H25:H26)</f>
        <v>2451683.8000000026</v>
      </c>
      <c r="F14" s="338">
        <f>SUM('2020 Capital Budget'!I9:I15,'2020 Capital Budget'!I25:I26)</f>
        <v>905564.04000000202</v>
      </c>
      <c r="G14" s="338">
        <f>SUM('2020 Capital Budget'!J9:J15,'2020 Capital Budget'!J25:J26)</f>
        <v>1119942.7899999963</v>
      </c>
      <c r="H14" s="338">
        <f>SUM('2020 Capital Budget'!K9:K15,'2020 Capital Budget'!K25:K26)</f>
        <v>1350403.2500000014</v>
      </c>
      <c r="I14" s="338">
        <f>SUM('2020 Capital Budget'!L9:L15,'2020 Capital Budget'!L25:L26)</f>
        <v>1134179.2499999984</v>
      </c>
      <c r="J14" s="338">
        <f>SUM('2020 Capital Budget'!M9:M15,'2020 Capital Budget'!M25:M26)</f>
        <v>1356362.8999999992</v>
      </c>
      <c r="K14" s="338">
        <f>SUM('2020 Capital Budget'!N9:N15,'2020 Capital Budget'!N25:N26)</f>
        <v>1164298.7700000014</v>
      </c>
      <c r="L14" s="338">
        <f>SUM('2020 Capital Budget'!O9:O15,'2020 Capital Budget'!O25:O26)</f>
        <v>1416333.2200000007</v>
      </c>
      <c r="M14" s="338">
        <f>SUM('2020 Capital Budget'!P9:P15,'2020 Capital Budget'!P25:P26)</f>
        <v>1076094.9199999985</v>
      </c>
      <c r="N14" s="338">
        <f>SUM('2020 Capital Budget'!Q9:Q15,'2020 Capital Budget'!Q25:Q26)</f>
        <v>1052295.860000001</v>
      </c>
      <c r="O14" s="338">
        <f t="shared" si="0"/>
        <v>14347727.449999999</v>
      </c>
      <c r="P14" s="381"/>
    </row>
    <row r="15" spans="1:30">
      <c r="A15" s="378">
        <f>A14+1</f>
        <v>6</v>
      </c>
      <c r="B15" s="26" t="s">
        <v>79</v>
      </c>
      <c r="C15" s="360">
        <f t="shared" ref="C15:N15" si="1">SUM(C10:C14)</f>
        <v>3709264.0399999986</v>
      </c>
      <c r="D15" s="360">
        <f t="shared" si="1"/>
        <v>3835083.8499999936</v>
      </c>
      <c r="E15" s="360">
        <f t="shared" si="1"/>
        <v>7154921.4000000041</v>
      </c>
      <c r="F15" s="360">
        <f t="shared" si="1"/>
        <v>7136197.7500000056</v>
      </c>
      <c r="G15" s="360">
        <f t="shared" si="1"/>
        <v>4692487.5899999933</v>
      </c>
      <c r="H15" s="360">
        <f t="shared" si="1"/>
        <v>5226225.1500000041</v>
      </c>
      <c r="I15" s="360">
        <f t="shared" si="1"/>
        <v>5121077.9999999953</v>
      </c>
      <c r="J15" s="360">
        <f t="shared" si="1"/>
        <v>7249300.2500000019</v>
      </c>
      <c r="K15" s="360">
        <f t="shared" si="1"/>
        <v>5213782.1499999985</v>
      </c>
      <c r="L15" s="360">
        <f t="shared" si="1"/>
        <v>8095964.3300000038</v>
      </c>
      <c r="M15" s="360">
        <f t="shared" si="1"/>
        <v>5254647.8900000062</v>
      </c>
      <c r="N15" s="360">
        <f t="shared" si="1"/>
        <v>4452502.5399999944</v>
      </c>
      <c r="O15" s="360">
        <f>SUM(O10:O14)</f>
        <v>67141454.939999998</v>
      </c>
      <c r="P15" s="380"/>
      <c r="Q15" s="380"/>
    </row>
    <row r="16" spans="1:30">
      <c r="I16" s="360"/>
      <c r="J16" s="360"/>
      <c r="K16" s="360"/>
      <c r="L16" s="360"/>
      <c r="M16" s="360"/>
      <c r="N16" s="360"/>
      <c r="O16" s="360"/>
      <c r="P16" s="380"/>
    </row>
    <row r="17" spans="1:17">
      <c r="A17" s="378">
        <f>A15+1</f>
        <v>7</v>
      </c>
      <c r="B17" s="26" t="s">
        <v>248</v>
      </c>
      <c r="C17" s="35">
        <f>-'Base Rate Retirements 2020'!B6</f>
        <v>0</v>
      </c>
      <c r="D17" s="35">
        <f>-'Base Rate Retirements 2020'!C6</f>
        <v>0</v>
      </c>
      <c r="E17" s="35">
        <f>-'Base Rate Retirements 2020'!D6</f>
        <v>0</v>
      </c>
      <c r="F17" s="35">
        <f>-'Base Rate Retirements 2020'!E6</f>
        <v>0</v>
      </c>
      <c r="G17" s="35">
        <f>-'Base Rate Retirements 2020'!F6</f>
        <v>0</v>
      </c>
      <c r="H17" s="35">
        <f>-'Base Rate Retirements 2020'!G6</f>
        <v>0</v>
      </c>
      <c r="I17" s="35">
        <f>-'Base Rate Retirements 2020'!H6</f>
        <v>0</v>
      </c>
      <c r="J17" s="35">
        <f>-'Base Rate Retirements 2020'!I6</f>
        <v>-87326.15</v>
      </c>
      <c r="K17" s="35">
        <f>-'Base Rate Retirements 2020'!J6</f>
        <v>0</v>
      </c>
      <c r="L17" s="35">
        <f>-'Base Rate Retirements 2020'!K6</f>
        <v>0</v>
      </c>
      <c r="M17" s="35">
        <f>-'Base Rate Retirements 2020'!L6</f>
        <v>0</v>
      </c>
      <c r="N17" s="35">
        <f>-'Base Rate Retirements 2020'!M6</f>
        <v>0</v>
      </c>
      <c r="O17" s="364">
        <f>SUM(C17:N17)</f>
        <v>-87326.15</v>
      </c>
      <c r="P17" s="380"/>
    </row>
    <row r="18" spans="1:17" ht="16.5">
      <c r="A18" s="378">
        <f t="shared" ref="A18:A19" si="2">A17+1</f>
        <v>8</v>
      </c>
      <c r="B18" s="26" t="s">
        <v>684</v>
      </c>
      <c r="C18" s="282">
        <f>-'Base Rate Retirements 2020'!B7</f>
        <v>0</v>
      </c>
      <c r="D18" s="282">
        <f>-'Base Rate Retirements 2020'!C7</f>
        <v>0</v>
      </c>
      <c r="E18" s="282">
        <f>-'Base Rate Retirements 2020'!D7</f>
        <v>0</v>
      </c>
      <c r="F18" s="282">
        <f>-'Base Rate Retirements 2020'!E7</f>
        <v>0</v>
      </c>
      <c r="G18" s="282">
        <f>-'Base Rate Retirements 2020'!F7</f>
        <v>0</v>
      </c>
      <c r="H18" s="282">
        <f>-'Base Rate Retirements 2020'!G7</f>
        <v>0</v>
      </c>
      <c r="I18" s="282">
        <f>-'Base Rate Retirements 2020'!H7</f>
        <v>0</v>
      </c>
      <c r="J18" s="282">
        <f>-'Base Rate Retirements 2020'!I7</f>
        <v>0</v>
      </c>
      <c r="K18" s="282">
        <f>-'Base Rate Retirements 2020'!J7</f>
        <v>0</v>
      </c>
      <c r="L18" s="282">
        <f>-'Base Rate Retirements 2020'!K7</f>
        <v>-215742.57</v>
      </c>
      <c r="M18" s="282">
        <f>-'Base Rate Retirements 2020'!L7</f>
        <v>0</v>
      </c>
      <c r="N18" s="282">
        <f>-'Base Rate Retirements 2020'!M7</f>
        <v>0</v>
      </c>
      <c r="O18" s="282">
        <f>SUM(C18:N18)</f>
        <v>-215742.57</v>
      </c>
      <c r="P18" s="380"/>
    </row>
    <row r="19" spans="1:17">
      <c r="A19" s="378">
        <f t="shared" si="2"/>
        <v>9</v>
      </c>
      <c r="B19" s="26" t="s">
        <v>70</v>
      </c>
      <c r="C19" s="35">
        <f>-'Base Rate Retirements 2020'!B8</f>
        <v>0</v>
      </c>
      <c r="D19" s="35">
        <f>-'Base Rate Retirements 2020'!C8</f>
        <v>0</v>
      </c>
      <c r="E19" s="35">
        <f>-'Base Rate Retirements 2020'!D8</f>
        <v>0</v>
      </c>
      <c r="F19" s="35">
        <f>-'Base Rate Retirements 2020'!E8</f>
        <v>0</v>
      </c>
      <c r="G19" s="35">
        <f>-'Base Rate Retirements 2020'!F8</f>
        <v>0</v>
      </c>
      <c r="H19" s="35">
        <f>-'Base Rate Retirements 2020'!G8</f>
        <v>0</v>
      </c>
      <c r="I19" s="35">
        <f>-'Base Rate Retirements 2020'!H8</f>
        <v>0</v>
      </c>
      <c r="J19" s="35">
        <f>-'Base Rate Retirements 2020'!I8</f>
        <v>0</v>
      </c>
      <c r="K19" s="35">
        <f>-'Base Rate Retirements 2020'!J8</f>
        <v>0</v>
      </c>
      <c r="L19" s="35">
        <f>-'Base Rate Retirements 2020'!K8</f>
        <v>0</v>
      </c>
      <c r="M19" s="35">
        <f>-'Base Rate Retirements 2020'!L8</f>
        <v>0</v>
      </c>
      <c r="N19" s="35">
        <f>-'Base Rate Retirements 2020'!M8</f>
        <v>0</v>
      </c>
      <c r="O19" s="364">
        <f>SUM(C19:N19)</f>
        <v>0</v>
      </c>
      <c r="P19" s="380"/>
    </row>
    <row r="20" spans="1:17" s="386" customFormat="1">
      <c r="A20" s="384">
        <f>A19+1</f>
        <v>10</v>
      </c>
      <c r="B20" s="385" t="s">
        <v>71</v>
      </c>
      <c r="C20" s="35">
        <f>-'Base Rate Retirements 2020'!B9</f>
        <v>0</v>
      </c>
      <c r="D20" s="35">
        <f>-'Base Rate Retirements 2020'!C9</f>
        <v>0</v>
      </c>
      <c r="E20" s="35">
        <f>-'Base Rate Retirements 2020'!D9</f>
        <v>0</v>
      </c>
      <c r="F20" s="35">
        <f>-'Base Rate Retirements 2020'!E9</f>
        <v>0</v>
      </c>
      <c r="G20" s="35">
        <f>-'Base Rate Retirements 2020'!F9</f>
        <v>0</v>
      </c>
      <c r="H20" s="35">
        <f>-'Base Rate Retirements 2020'!G9</f>
        <v>0</v>
      </c>
      <c r="I20" s="35">
        <f>-'Base Rate Retirements 2020'!H9</f>
        <v>0</v>
      </c>
      <c r="J20" s="35">
        <f>-'Base Rate Retirements 2020'!I9</f>
        <v>0</v>
      </c>
      <c r="K20" s="35">
        <f>-'Base Rate Retirements 2020'!J9</f>
        <v>0</v>
      </c>
      <c r="L20" s="35">
        <f>-'Base Rate Retirements 2020'!K9</f>
        <v>0</v>
      </c>
      <c r="M20" s="35">
        <f>-'Base Rate Retirements 2020'!L9</f>
        <v>0</v>
      </c>
      <c r="N20" s="35">
        <f>-'Base Rate Retirements 2020'!M9</f>
        <v>0</v>
      </c>
      <c r="O20" s="364">
        <f>SUM(C20:N20)</f>
        <v>0</v>
      </c>
      <c r="P20" s="381"/>
    </row>
    <row r="21" spans="1:17">
      <c r="A21" s="382">
        <f>A20+1</f>
        <v>11</v>
      </c>
      <c r="B21" s="383" t="s">
        <v>554</v>
      </c>
      <c r="C21" s="273">
        <f>-'Base Rate Retirements 2020'!B10</f>
        <v>0</v>
      </c>
      <c r="D21" s="273">
        <f>-'Base Rate Retirements 2020'!C10</f>
        <v>0</v>
      </c>
      <c r="E21" s="273">
        <f>-'Base Rate Retirements 2020'!D10</f>
        <v>0</v>
      </c>
      <c r="F21" s="273">
        <f>-'Base Rate Retirements 2020'!E10</f>
        <v>0</v>
      </c>
      <c r="G21" s="273">
        <f>-'Base Rate Retirements 2020'!F10</f>
        <v>0</v>
      </c>
      <c r="H21" s="273">
        <f>-'Base Rate Retirements 2020'!G10</f>
        <v>0</v>
      </c>
      <c r="I21" s="273">
        <f>-'Base Rate Retirements 2020'!H10</f>
        <v>0</v>
      </c>
      <c r="J21" s="273">
        <f>-'Base Rate Retirements 2020'!I10</f>
        <v>-63255.53</v>
      </c>
      <c r="K21" s="273">
        <f>-'Base Rate Retirements 2020'!J10</f>
        <v>0</v>
      </c>
      <c r="L21" s="273">
        <f>-'Base Rate Retirements 2020'!K10</f>
        <v>0</v>
      </c>
      <c r="M21" s="273">
        <f>-'Base Rate Retirements 2020'!L10</f>
        <v>0</v>
      </c>
      <c r="N21" s="273">
        <f>-'Base Rate Retirements 2020'!M10</f>
        <v>0</v>
      </c>
      <c r="O21" s="273">
        <f>SUM(C21:N21)</f>
        <v>-63255.53</v>
      </c>
      <c r="P21" s="380"/>
    </row>
    <row r="22" spans="1:17">
      <c r="A22" s="378">
        <f>A21+1</f>
        <v>12</v>
      </c>
      <c r="B22" s="26" t="s">
        <v>177</v>
      </c>
      <c r="C22" s="282">
        <f>SUM(C17:C21)</f>
        <v>0</v>
      </c>
      <c r="D22" s="282">
        <f t="shared" ref="D22:N22" si="3">SUM(D17:D21)</f>
        <v>0</v>
      </c>
      <c r="E22" s="282">
        <f t="shared" si="3"/>
        <v>0</v>
      </c>
      <c r="F22" s="282">
        <f t="shared" si="3"/>
        <v>0</v>
      </c>
      <c r="G22" s="282">
        <f t="shared" si="3"/>
        <v>0</v>
      </c>
      <c r="H22" s="282">
        <f t="shared" si="3"/>
        <v>0</v>
      </c>
      <c r="I22" s="282">
        <f t="shared" si="3"/>
        <v>0</v>
      </c>
      <c r="J22" s="282">
        <f t="shared" si="3"/>
        <v>-150581.68</v>
      </c>
      <c r="K22" s="282">
        <f t="shared" si="3"/>
        <v>0</v>
      </c>
      <c r="L22" s="282">
        <f t="shared" si="3"/>
        <v>-215742.57</v>
      </c>
      <c r="M22" s="282">
        <f t="shared" si="3"/>
        <v>0</v>
      </c>
      <c r="N22" s="282">
        <f t="shared" si="3"/>
        <v>0</v>
      </c>
      <c r="O22" s="282">
        <f>SUM(O17:O21)</f>
        <v>-366324.25</v>
      </c>
      <c r="P22" s="380"/>
    </row>
    <row r="23" spans="1:17">
      <c r="A23" s="378"/>
      <c r="I23" s="364"/>
      <c r="J23" s="364"/>
      <c r="K23" s="364"/>
      <c r="L23" s="364"/>
      <c r="M23" s="364"/>
      <c r="N23" s="364"/>
      <c r="O23" s="364"/>
      <c r="P23" s="380"/>
    </row>
    <row r="24" spans="1:17">
      <c r="A24" s="378">
        <f>A22+1</f>
        <v>13</v>
      </c>
      <c r="B24" s="26" t="s">
        <v>642</v>
      </c>
      <c r="C24" s="360">
        <f>-'Base Rate Retirements 2020'!B17</f>
        <v>0</v>
      </c>
      <c r="D24" s="360">
        <f>-'Base Rate Retirements 2020'!C17</f>
        <v>0</v>
      </c>
      <c r="E24" s="360">
        <f>-'Base Rate Retirements 2020'!D17</f>
        <v>0</v>
      </c>
      <c r="F24" s="360">
        <f>-'Base Rate Retirements 2020'!E17</f>
        <v>0</v>
      </c>
      <c r="G24" s="360">
        <f>-'Base Rate Retirements 2020'!F17</f>
        <v>0</v>
      </c>
      <c r="H24" s="360">
        <f>-'Base Rate Retirements 2020'!G17</f>
        <v>0</v>
      </c>
      <c r="I24" s="360">
        <f>-'Base Rate Retirements 2020'!H17</f>
        <v>0</v>
      </c>
      <c r="J24" s="360">
        <f>-'Base Rate Retirements 2020'!I17</f>
        <v>87326</v>
      </c>
      <c r="K24" s="360">
        <f>-'Base Rate Retirements 2020'!J17</f>
        <v>0</v>
      </c>
      <c r="L24" s="360">
        <f>-'Base Rate Retirements 2020'!K17</f>
        <v>0</v>
      </c>
      <c r="M24" s="360">
        <f>-'Base Rate Retirements 2020'!L17</f>
        <v>0</v>
      </c>
      <c r="N24" s="360">
        <f>-'Base Rate Retirements 2020'!M17</f>
        <v>0</v>
      </c>
      <c r="O24" s="360">
        <f>SUM(C24:N24)</f>
        <v>87326</v>
      </c>
      <c r="P24" s="380"/>
    </row>
    <row r="25" spans="1:17">
      <c r="A25" s="378">
        <f>A24+1</f>
        <v>14</v>
      </c>
      <c r="B25" s="26" t="s">
        <v>686</v>
      </c>
      <c r="C25" s="360">
        <f>-'Base Rate Retirements 2020'!B18</f>
        <v>0</v>
      </c>
      <c r="D25" s="360">
        <f>-'Base Rate Retirements 2020'!C18</f>
        <v>0</v>
      </c>
      <c r="E25" s="360">
        <f>-'Base Rate Retirements 2020'!D18</f>
        <v>0</v>
      </c>
      <c r="F25" s="360">
        <f>-'Base Rate Retirements 2020'!E18</f>
        <v>0</v>
      </c>
      <c r="G25" s="360">
        <f>-'Base Rate Retirements 2020'!F18</f>
        <v>0</v>
      </c>
      <c r="H25" s="360">
        <f>-'Base Rate Retirements 2020'!G18</f>
        <v>0</v>
      </c>
      <c r="I25" s="360">
        <f>-'Base Rate Retirements 2020'!H18</f>
        <v>0</v>
      </c>
      <c r="J25" s="360">
        <f>-'Base Rate Retirements 2020'!I18</f>
        <v>0</v>
      </c>
      <c r="K25" s="360">
        <f>-'Base Rate Retirements 2020'!J18</f>
        <v>0</v>
      </c>
      <c r="L25" s="360">
        <f>-'Base Rate Retirements 2020'!K18</f>
        <v>185304.93</v>
      </c>
      <c r="M25" s="360">
        <f>-'Base Rate Retirements 2020'!L18</f>
        <v>0</v>
      </c>
      <c r="N25" s="360">
        <f>-'Base Rate Retirements 2020'!M18</f>
        <v>0</v>
      </c>
      <c r="O25" s="360">
        <f>SUM(C25:N25)</f>
        <v>185304.93</v>
      </c>
      <c r="P25" s="380"/>
    </row>
    <row r="26" spans="1:17">
      <c r="A26" s="378">
        <f t="shared" ref="A26:A29" si="4">A25+1</f>
        <v>15</v>
      </c>
      <c r="B26" s="26" t="s">
        <v>643</v>
      </c>
      <c r="C26" s="360">
        <f>-'Base Rate Retirements 2020'!B19</f>
        <v>0</v>
      </c>
      <c r="D26" s="360">
        <f>-'Base Rate Retirements 2020'!C19</f>
        <v>0</v>
      </c>
      <c r="E26" s="360">
        <f>-'Base Rate Retirements 2020'!D19</f>
        <v>0</v>
      </c>
      <c r="F26" s="360">
        <f>-'Base Rate Retirements 2020'!E19</f>
        <v>0</v>
      </c>
      <c r="G26" s="360">
        <f>-'Base Rate Retirements 2020'!F19</f>
        <v>0</v>
      </c>
      <c r="H26" s="360">
        <f>-'Base Rate Retirements 2020'!G19</f>
        <v>0</v>
      </c>
      <c r="I26" s="360">
        <f>-'Base Rate Retirements 2020'!H19</f>
        <v>0</v>
      </c>
      <c r="J26" s="360">
        <f>-'Base Rate Retirements 2020'!I19</f>
        <v>0</v>
      </c>
      <c r="K26" s="360">
        <f>-'Base Rate Retirements 2020'!J19</f>
        <v>0</v>
      </c>
      <c r="L26" s="360">
        <f>-'Base Rate Retirements 2020'!K19</f>
        <v>0</v>
      </c>
      <c r="M26" s="360">
        <f>-'Base Rate Retirements 2020'!L19</f>
        <v>0</v>
      </c>
      <c r="N26" s="360">
        <f>-'Base Rate Retirements 2020'!M19</f>
        <v>0</v>
      </c>
      <c r="O26" s="360">
        <f>SUM(C26:N26)</f>
        <v>0</v>
      </c>
      <c r="P26" s="380"/>
    </row>
    <row r="27" spans="1:17">
      <c r="A27" s="378">
        <f t="shared" si="4"/>
        <v>16</v>
      </c>
      <c r="B27" s="26" t="s">
        <v>644</v>
      </c>
      <c r="C27" s="360">
        <f>-'Base Rate Retirements 2020'!B20</f>
        <v>0</v>
      </c>
      <c r="D27" s="360">
        <f>-'Base Rate Retirements 2020'!C20</f>
        <v>0</v>
      </c>
      <c r="E27" s="360">
        <f>-'Base Rate Retirements 2020'!D20</f>
        <v>0</v>
      </c>
      <c r="F27" s="360">
        <f>-'Base Rate Retirements 2020'!E20</f>
        <v>0</v>
      </c>
      <c r="G27" s="360">
        <f>-'Base Rate Retirements 2020'!F20</f>
        <v>0</v>
      </c>
      <c r="H27" s="360">
        <f>-'Base Rate Retirements 2020'!G20</f>
        <v>0</v>
      </c>
      <c r="I27" s="360">
        <f>-'Base Rate Retirements 2020'!H20</f>
        <v>0</v>
      </c>
      <c r="J27" s="360">
        <f>-'Base Rate Retirements 2020'!I20</f>
        <v>0</v>
      </c>
      <c r="K27" s="360">
        <f>-'Base Rate Retirements 2020'!J20</f>
        <v>0</v>
      </c>
      <c r="L27" s="360">
        <f>-'Base Rate Retirements 2020'!K20</f>
        <v>0</v>
      </c>
      <c r="M27" s="360">
        <f>-'Base Rate Retirements 2020'!L20</f>
        <v>0</v>
      </c>
      <c r="N27" s="360">
        <f>-'Base Rate Retirements 2020'!M20</f>
        <v>0</v>
      </c>
      <c r="O27" s="360">
        <f>SUM(C27:N27)</f>
        <v>0</v>
      </c>
      <c r="P27" s="380"/>
    </row>
    <row r="28" spans="1:17">
      <c r="A28" s="378">
        <f t="shared" si="4"/>
        <v>17</v>
      </c>
      <c r="B28" s="26" t="s">
        <v>645</v>
      </c>
      <c r="C28" s="360">
        <f>-'Base Rate Retirements 2020'!B21</f>
        <v>0</v>
      </c>
      <c r="D28" s="360">
        <f>-'Base Rate Retirements 2020'!C21</f>
        <v>0</v>
      </c>
      <c r="E28" s="360">
        <f>-'Base Rate Retirements 2020'!D21</f>
        <v>0</v>
      </c>
      <c r="F28" s="360">
        <f>-'Base Rate Retirements 2020'!E21</f>
        <v>0</v>
      </c>
      <c r="G28" s="360">
        <f>-'Base Rate Retirements 2020'!F21</f>
        <v>0</v>
      </c>
      <c r="H28" s="360">
        <f>-'Base Rate Retirements 2020'!G21</f>
        <v>0</v>
      </c>
      <c r="I28" s="360">
        <f>-'Base Rate Retirements 2020'!H21</f>
        <v>0</v>
      </c>
      <c r="J28" s="360">
        <f>-'Base Rate Retirements 2020'!I21</f>
        <v>63255.53</v>
      </c>
      <c r="K28" s="360">
        <f>-'Base Rate Retirements 2020'!J21</f>
        <v>0</v>
      </c>
      <c r="L28" s="360">
        <f>-'Base Rate Retirements 2020'!K21</f>
        <v>0</v>
      </c>
      <c r="M28" s="360">
        <f>-'Base Rate Retirements 2020'!L21</f>
        <v>0</v>
      </c>
      <c r="N28" s="360">
        <f>-'Base Rate Retirements 2020'!M21</f>
        <v>0</v>
      </c>
      <c r="O28" s="360">
        <f>SUM(C28:N28)</f>
        <v>63255.53</v>
      </c>
      <c r="P28" s="380"/>
    </row>
    <row r="29" spans="1:17">
      <c r="A29" s="378">
        <f t="shared" si="4"/>
        <v>18</v>
      </c>
      <c r="B29" s="26" t="s">
        <v>79</v>
      </c>
      <c r="C29" s="473">
        <f>SUM(C24:C28)</f>
        <v>0</v>
      </c>
      <c r="D29" s="473">
        <f t="shared" ref="D29:N29" si="5">SUM(D24:D28)</f>
        <v>0</v>
      </c>
      <c r="E29" s="473">
        <f t="shared" si="5"/>
        <v>0</v>
      </c>
      <c r="F29" s="473">
        <f t="shared" si="5"/>
        <v>0</v>
      </c>
      <c r="G29" s="473">
        <f t="shared" si="5"/>
        <v>0</v>
      </c>
      <c r="H29" s="473">
        <f t="shared" si="5"/>
        <v>0</v>
      </c>
      <c r="I29" s="473">
        <f t="shared" si="5"/>
        <v>0</v>
      </c>
      <c r="J29" s="473">
        <f t="shared" si="5"/>
        <v>150581.53</v>
      </c>
      <c r="K29" s="473">
        <f t="shared" si="5"/>
        <v>0</v>
      </c>
      <c r="L29" s="473">
        <f t="shared" si="5"/>
        <v>185304.93</v>
      </c>
      <c r="M29" s="473">
        <f t="shared" si="5"/>
        <v>0</v>
      </c>
      <c r="N29" s="473">
        <f t="shared" si="5"/>
        <v>0</v>
      </c>
      <c r="O29" s="473">
        <f>SUM(O24:O28)</f>
        <v>335886.45999999996</v>
      </c>
      <c r="P29" s="380"/>
      <c r="Q29" s="380"/>
    </row>
    <row r="30" spans="1:17">
      <c r="A30" s="378"/>
      <c r="I30" s="360"/>
      <c r="J30" s="360"/>
      <c r="K30" s="360"/>
      <c r="L30" s="360"/>
      <c r="M30" s="360"/>
      <c r="N30" s="360"/>
      <c r="O30" s="360"/>
      <c r="P30" s="380"/>
    </row>
    <row r="31" spans="1:17" ht="16.5" customHeight="1">
      <c r="A31" s="378">
        <f>A29+1</f>
        <v>19</v>
      </c>
      <c r="B31" s="26" t="s">
        <v>249</v>
      </c>
      <c r="C31" s="360">
        <v>0</v>
      </c>
      <c r="D31" s="360">
        <v>0</v>
      </c>
      <c r="E31" s="360">
        <v>0</v>
      </c>
      <c r="F31" s="360">
        <v>0</v>
      </c>
      <c r="G31" s="360">
        <v>0</v>
      </c>
      <c r="H31" s="360">
        <v>0</v>
      </c>
      <c r="I31" s="360">
        <v>0</v>
      </c>
      <c r="J31" s="360">
        <v>0</v>
      </c>
      <c r="K31" s="360">
        <v>0</v>
      </c>
      <c r="L31" s="360">
        <v>0</v>
      </c>
      <c r="M31" s="360">
        <v>0</v>
      </c>
      <c r="N31" s="360">
        <v>0</v>
      </c>
      <c r="O31" s="364">
        <f>SUM(C31:N31)</f>
        <v>0</v>
      </c>
      <c r="P31" s="380"/>
    </row>
    <row r="32" spans="1:17" ht="16.5" customHeight="1">
      <c r="A32" s="378">
        <f>A31+1</f>
        <v>20</v>
      </c>
      <c r="B32" s="26" t="s">
        <v>322</v>
      </c>
      <c r="C32" s="360">
        <f>SUM('2020 Capital Budget'!F38:F41)</f>
        <v>0</v>
      </c>
      <c r="D32" s="360">
        <f>SUM('2020 Capital Budget'!G38:G41)</f>
        <v>0</v>
      </c>
      <c r="E32" s="360">
        <f>SUM('2020 Capital Budget'!H38:H41)</f>
        <v>0</v>
      </c>
      <c r="F32" s="360">
        <f>SUM('2020 Capital Budget'!I38:I41)</f>
        <v>0</v>
      </c>
      <c r="G32" s="360">
        <f>SUM('2020 Capital Budget'!J38:J41)</f>
        <v>0</v>
      </c>
      <c r="H32" s="360">
        <f>SUM('2020 Capital Budget'!K38:K41)</f>
        <v>0</v>
      </c>
      <c r="I32" s="360">
        <f>SUM('2020 Capital Budget'!L38:L41)</f>
        <v>0</v>
      </c>
      <c r="J32" s="360">
        <f>SUM('2020 Capital Budget'!M38:M41)</f>
        <v>0</v>
      </c>
      <c r="K32" s="360">
        <f>SUM('2020 Capital Budget'!N38:N41)</f>
        <v>0</v>
      </c>
      <c r="L32" s="360">
        <f>SUM('2020 Capital Budget'!O38:O41)</f>
        <v>40412.29</v>
      </c>
      <c r="M32" s="360">
        <f>SUM('2020 Capital Budget'!P38:P41)</f>
        <v>4646.0200000000004</v>
      </c>
      <c r="N32" s="360">
        <f>SUM('2020 Capital Budget'!Q38:Q41)</f>
        <v>0</v>
      </c>
      <c r="O32" s="364">
        <f>SUM(C32:N32)</f>
        <v>45058.31</v>
      </c>
      <c r="P32" s="380"/>
    </row>
    <row r="33" spans="1:30">
      <c r="A33" s="378">
        <f t="shared" ref="A33:A35" si="6">A32+1</f>
        <v>21</v>
      </c>
      <c r="B33" s="26" t="s">
        <v>80</v>
      </c>
      <c r="C33" s="408">
        <f>SUM('2020 Capital Budget'!F36:F37,'2020 Capital Budget'!F44)</f>
        <v>42155.369999999995</v>
      </c>
      <c r="D33" s="408">
        <f>SUM('2020 Capital Budget'!G36:G37,'2020 Capital Budget'!G44)</f>
        <v>100571.17</v>
      </c>
      <c r="E33" s="408">
        <f>SUM('2020 Capital Budget'!H36:H37,'2020 Capital Budget'!H44)</f>
        <v>175695.94</v>
      </c>
      <c r="F33" s="408">
        <f>SUM('2020 Capital Budget'!I36:I37,'2020 Capital Budget'!I44)</f>
        <v>111533.73</v>
      </c>
      <c r="G33" s="408">
        <f>SUM('2020 Capital Budget'!J36:J37,'2020 Capital Budget'!J44)</f>
        <v>112107.56</v>
      </c>
      <c r="H33" s="408">
        <f>SUM('2020 Capital Budget'!K36:K37,'2020 Capital Budget'!K44)</f>
        <v>129396.25</v>
      </c>
      <c r="I33" s="408">
        <f>SUM('2020 Capital Budget'!L36:L37,'2020 Capital Budget'!L44)</f>
        <v>45603.539999999994</v>
      </c>
      <c r="J33" s="408">
        <f>SUM('2020 Capital Budget'!M36:M37,'2020 Capital Budget'!M44)</f>
        <v>46588.78</v>
      </c>
      <c r="K33" s="408">
        <f>SUM('2020 Capital Budget'!N36:N37,'2020 Capital Budget'!N44)</f>
        <v>43699.11</v>
      </c>
      <c r="L33" s="408">
        <f>SUM('2020 Capital Budget'!O36:O37,'2020 Capital Budget'!O44)</f>
        <v>186553.30000000002</v>
      </c>
      <c r="M33" s="408">
        <f>SUM('2020 Capital Budget'!P36:P37,'2020 Capital Budget'!P44)</f>
        <v>110719.84</v>
      </c>
      <c r="N33" s="408">
        <f>SUM('2020 Capital Budget'!Q36:Q37,'2020 Capital Budget'!Q44)</f>
        <v>-4495.0799999999981</v>
      </c>
      <c r="O33" s="409">
        <f t="shared" ref="O33:O34" si="7">SUM(C33:N33)</f>
        <v>1100129.51</v>
      </c>
      <c r="P33" s="388"/>
    </row>
    <row r="34" spans="1:30" s="386" customFormat="1">
      <c r="A34" s="384">
        <f t="shared" si="6"/>
        <v>22</v>
      </c>
      <c r="B34" s="385" t="s">
        <v>81</v>
      </c>
      <c r="C34" s="409">
        <v>0</v>
      </c>
      <c r="D34" s="409">
        <v>0</v>
      </c>
      <c r="E34" s="409">
        <v>0</v>
      </c>
      <c r="F34" s="409">
        <v>0</v>
      </c>
      <c r="G34" s="409">
        <v>0</v>
      </c>
      <c r="H34" s="409">
        <v>0</v>
      </c>
      <c r="I34" s="409">
        <v>0</v>
      </c>
      <c r="J34" s="409">
        <v>0</v>
      </c>
      <c r="K34" s="409">
        <v>0</v>
      </c>
      <c r="L34" s="409">
        <v>0</v>
      </c>
      <c r="M34" s="409">
        <v>0</v>
      </c>
      <c r="N34" s="409">
        <v>0</v>
      </c>
      <c r="O34" s="409">
        <f t="shared" si="7"/>
        <v>0</v>
      </c>
      <c r="P34" s="387"/>
    </row>
    <row r="35" spans="1:30">
      <c r="A35" s="382">
        <f t="shared" si="6"/>
        <v>23</v>
      </c>
      <c r="B35" s="383" t="s">
        <v>553</v>
      </c>
      <c r="C35" s="410">
        <f>SUM('2020 Capital Budget'!F33:F35,'2020 Capital Budget'!F42:F43)</f>
        <v>328014.84999999998</v>
      </c>
      <c r="D35" s="410">
        <f>SUM('2020 Capital Budget'!G33:G35,'2020 Capital Budget'!G42:G43)</f>
        <v>427931.43</v>
      </c>
      <c r="E35" s="410">
        <f>SUM('2020 Capital Budget'!H33:H35,'2020 Capital Budget'!H42:H43)</f>
        <v>490200.89</v>
      </c>
      <c r="F35" s="410">
        <f>SUM('2020 Capital Budget'!I33:I35,'2020 Capital Budget'!I42:I43)</f>
        <v>554849.76</v>
      </c>
      <c r="G35" s="410">
        <f>SUM('2020 Capital Budget'!J33:J35,'2020 Capital Budget'!J42:J43)</f>
        <v>416993.88</v>
      </c>
      <c r="H35" s="410">
        <f>SUM('2020 Capital Budget'!K33:K35,'2020 Capital Budget'!K42:K43)</f>
        <v>244742.98</v>
      </c>
      <c r="I35" s="410">
        <f>SUM('2020 Capital Budget'!L33:L35,'2020 Capital Budget'!L42:L43)</f>
        <v>298967.87</v>
      </c>
      <c r="J35" s="410">
        <f>SUM('2020 Capital Budget'!M33:M35,'2020 Capital Budget'!M42:M43)</f>
        <v>344150.75</v>
      </c>
      <c r="K35" s="410">
        <f>SUM('2020 Capital Budget'!N33:N35,'2020 Capital Budget'!N42:N43)</f>
        <v>315259.77999999997</v>
      </c>
      <c r="L35" s="410">
        <f>SUM('2020 Capital Budget'!O33:O35,'2020 Capital Budget'!O42:O43)</f>
        <v>379986.17</v>
      </c>
      <c r="M35" s="410">
        <f>SUM('2020 Capital Budget'!P33:P35,'2020 Capital Budget'!P42:P43)</f>
        <v>279990.17</v>
      </c>
      <c r="N35" s="410">
        <f>SUM('2020 Capital Budget'!Q33:Q35,'2020 Capital Budget'!Q42:Q43)</f>
        <v>260101.99</v>
      </c>
      <c r="O35" s="410">
        <f>SUM(C35:N35)</f>
        <v>4341190.5199999996</v>
      </c>
      <c r="P35" s="381"/>
    </row>
    <row r="36" spans="1:30">
      <c r="A36" s="378">
        <f>A35+1</f>
        <v>24</v>
      </c>
      <c r="B36" s="26" t="s">
        <v>82</v>
      </c>
      <c r="C36" s="283">
        <f>SUM(C31:C35)</f>
        <v>370170.22</v>
      </c>
      <c r="D36" s="283">
        <f t="shared" ref="D36:N36" si="8">SUM(D31:D35)</f>
        <v>528502.6</v>
      </c>
      <c r="E36" s="283">
        <f t="shared" si="8"/>
        <v>665896.83000000007</v>
      </c>
      <c r="F36" s="283">
        <f t="shared" si="8"/>
        <v>666383.49</v>
      </c>
      <c r="G36" s="283">
        <f t="shared" si="8"/>
        <v>529101.43999999994</v>
      </c>
      <c r="H36" s="283">
        <f t="shared" si="8"/>
        <v>374139.23</v>
      </c>
      <c r="I36" s="283">
        <f t="shared" si="8"/>
        <v>344571.41</v>
      </c>
      <c r="J36" s="283">
        <f t="shared" si="8"/>
        <v>390739.53</v>
      </c>
      <c r="K36" s="283">
        <f t="shared" si="8"/>
        <v>358958.88999999996</v>
      </c>
      <c r="L36" s="283">
        <f t="shared" si="8"/>
        <v>606951.76</v>
      </c>
      <c r="M36" s="283">
        <f t="shared" si="8"/>
        <v>395356.02999999997</v>
      </c>
      <c r="N36" s="283">
        <f t="shared" si="8"/>
        <v>255606.91</v>
      </c>
      <c r="O36" s="283">
        <f>SUM(O31:O35)</f>
        <v>5486378.3399999999</v>
      </c>
      <c r="P36" s="380"/>
    </row>
    <row r="37" spans="1:30">
      <c r="A37" s="378"/>
      <c r="I37" s="360"/>
      <c r="J37" s="360"/>
      <c r="K37" s="360"/>
      <c r="L37" s="360"/>
      <c r="M37" s="360"/>
      <c r="N37" s="360"/>
      <c r="O37" s="360"/>
      <c r="P37" s="380"/>
    </row>
    <row r="38" spans="1:30">
      <c r="A38" s="378">
        <f>A36+1</f>
        <v>25</v>
      </c>
      <c r="B38" s="26" t="s">
        <v>544</v>
      </c>
      <c r="C38" s="360">
        <f>'COS Budget 2020'!H33</f>
        <v>191850.95</v>
      </c>
      <c r="D38" s="360">
        <f>'COS Budget 2020'!I33</f>
        <v>109915.09</v>
      </c>
      <c r="E38" s="360">
        <f>'COS Budget 2020'!J33</f>
        <v>77236.679999999993</v>
      </c>
      <c r="F38" s="360">
        <f>'COS Budget 2020'!K33</f>
        <v>89067.53</v>
      </c>
      <c r="G38" s="360">
        <f>'COS Budget 2020'!L33</f>
        <v>200109.46</v>
      </c>
      <c r="H38" s="360">
        <f>'COS Budget 2020'!M33</f>
        <v>82944.179999999993</v>
      </c>
      <c r="I38" s="360">
        <f>'COS Budget 2020'!N33</f>
        <v>127792.47</v>
      </c>
      <c r="J38" s="360">
        <f>'COS Budget 2020'!O33</f>
        <v>102549.29999999999</v>
      </c>
      <c r="K38" s="360">
        <f>'COS Budget 2020'!P33</f>
        <v>144152.28</v>
      </c>
      <c r="L38" s="360">
        <f>'COS Budget 2020'!Q33</f>
        <v>128711.62</v>
      </c>
      <c r="M38" s="360">
        <f>'COS Budget 2020'!R33</f>
        <v>107195.41</v>
      </c>
      <c r="N38" s="360">
        <f>'COS Budget 2020'!S33</f>
        <v>99030.180000000008</v>
      </c>
      <c r="O38" s="360">
        <f>SUM(C38:N38)</f>
        <v>1460555.15</v>
      </c>
      <c r="P38" s="380"/>
    </row>
    <row r="39" spans="1:30">
      <c r="A39" s="378">
        <f t="shared" ref="A39:A41" si="9">A38+1</f>
        <v>26</v>
      </c>
      <c r="B39" s="26" t="s">
        <v>545</v>
      </c>
      <c r="C39" s="360">
        <f>'COS Budget 2020'!H34</f>
        <v>0</v>
      </c>
      <c r="D39" s="360">
        <f>'COS Budget 2020'!I34</f>
        <v>0</v>
      </c>
      <c r="E39" s="360">
        <f>'COS Budget 2020'!J34</f>
        <v>0</v>
      </c>
      <c r="F39" s="360">
        <f>'COS Budget 2020'!K34</f>
        <v>0</v>
      </c>
      <c r="G39" s="360">
        <f>'COS Budget 2020'!L34</f>
        <v>0</v>
      </c>
      <c r="H39" s="360">
        <f>'COS Budget 2020'!M34</f>
        <v>0</v>
      </c>
      <c r="I39" s="360">
        <f>'COS Budget 2020'!N34</f>
        <v>0</v>
      </c>
      <c r="J39" s="360">
        <f>'COS Budget 2020'!O34</f>
        <v>0</v>
      </c>
      <c r="K39" s="360">
        <f>'COS Budget 2020'!P34</f>
        <v>0</v>
      </c>
      <c r="L39" s="360">
        <f>'COS Budget 2020'!Q34</f>
        <v>0</v>
      </c>
      <c r="M39" s="360">
        <f>'COS Budget 2020'!R34</f>
        <v>0</v>
      </c>
      <c r="N39" s="360">
        <f>'COS Budget 2020'!S34</f>
        <v>0</v>
      </c>
      <c r="O39" s="360">
        <f>SUM(C39:N39)</f>
        <v>0</v>
      </c>
      <c r="P39" s="380"/>
    </row>
    <row r="40" spans="1:30">
      <c r="A40" s="378">
        <f t="shared" si="9"/>
        <v>27</v>
      </c>
      <c r="B40" s="26" t="s">
        <v>417</v>
      </c>
      <c r="C40" s="360">
        <f>'COS Budget 2020'!H36</f>
        <v>68347</v>
      </c>
      <c r="D40" s="360">
        <f>'COS Budget 2020'!I36</f>
        <v>68347</v>
      </c>
      <c r="E40" s="360">
        <f>'COS Budget 2020'!J36</f>
        <v>68347</v>
      </c>
      <c r="F40" s="360">
        <f>'COS Budget 2020'!K36</f>
        <v>68347</v>
      </c>
      <c r="G40" s="360">
        <f>'COS Budget 2020'!L36</f>
        <v>68347</v>
      </c>
      <c r="H40" s="360">
        <f>'COS Budget 2020'!M36</f>
        <v>68347</v>
      </c>
      <c r="I40" s="360">
        <f>'COS Budget 2020'!N36</f>
        <v>68347</v>
      </c>
      <c r="J40" s="360">
        <f>'COS Budget 2020'!O36</f>
        <v>68347</v>
      </c>
      <c r="K40" s="360">
        <f>'COS Budget 2020'!P36</f>
        <v>68347</v>
      </c>
      <c r="L40" s="360">
        <f>'COS Budget 2020'!Q36</f>
        <v>68347</v>
      </c>
      <c r="M40" s="360">
        <f>'COS Budget 2020'!R36</f>
        <v>68347</v>
      </c>
      <c r="N40" s="360">
        <f>'COS Budget 2020'!S36</f>
        <v>68347</v>
      </c>
      <c r="O40" s="360">
        <f>SUM(C40:N40)</f>
        <v>820164</v>
      </c>
      <c r="P40" s="380"/>
    </row>
    <row r="41" spans="1:30">
      <c r="A41" s="378">
        <f t="shared" si="9"/>
        <v>28</v>
      </c>
      <c r="B41" s="26" t="s">
        <v>418</v>
      </c>
      <c r="C41" s="360">
        <f>'COS Budget 2020'!H37</f>
        <v>20186.2</v>
      </c>
      <c r="D41" s="360">
        <f>'COS Budget 2020'!I37</f>
        <v>20186.2</v>
      </c>
      <c r="E41" s="360">
        <f>'COS Budget 2020'!J37</f>
        <v>20186.2</v>
      </c>
      <c r="F41" s="360">
        <f>'COS Budget 2020'!K37</f>
        <v>20186.2</v>
      </c>
      <c r="G41" s="360">
        <f>'COS Budget 2020'!L37</f>
        <v>20186.2</v>
      </c>
      <c r="H41" s="360">
        <f>'COS Budget 2020'!M37</f>
        <v>20186.2</v>
      </c>
      <c r="I41" s="360">
        <f>'COS Budget 2020'!N37</f>
        <v>20186.2</v>
      </c>
      <c r="J41" s="360">
        <f>'COS Budget 2020'!O37</f>
        <v>20186.2</v>
      </c>
      <c r="K41" s="360">
        <f>'COS Budget 2020'!P37</f>
        <v>20186.2</v>
      </c>
      <c r="L41" s="360">
        <f>'COS Budget 2020'!Q37</f>
        <v>20186.2</v>
      </c>
      <c r="M41" s="360">
        <f>'COS Budget 2020'!R37</f>
        <v>64595</v>
      </c>
      <c r="N41" s="360">
        <f>'COS Budget 2020'!S37</f>
        <v>64595</v>
      </c>
      <c r="O41" s="360">
        <f>SUM(C41:N41)</f>
        <v>331052</v>
      </c>
    </row>
    <row r="42" spans="1:30">
      <c r="L42" s="63"/>
      <c r="M42" s="360"/>
    </row>
    <row r="43" spans="1:30">
      <c r="B43" s="26" t="s">
        <v>685</v>
      </c>
      <c r="L43" s="63"/>
      <c r="M43" s="360"/>
    </row>
    <row r="44" spans="1:30">
      <c r="B44" s="506" t="s">
        <v>687</v>
      </c>
    </row>
    <row r="45" spans="1:30" s="26" customFormat="1">
      <c r="A45" s="372"/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</row>
    <row r="46" spans="1:30" s="26" customFormat="1">
      <c r="A46" s="372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P46" s="372"/>
      <c r="Q46" s="372"/>
      <c r="R46" s="372"/>
      <c r="S46" s="372"/>
      <c r="T46" s="372"/>
      <c r="U46" s="372"/>
      <c r="V46" s="372"/>
      <c r="W46" s="372"/>
      <c r="X46" s="372"/>
      <c r="Y46" s="372"/>
      <c r="Z46" s="372"/>
      <c r="AA46" s="372"/>
      <c r="AB46" s="372"/>
      <c r="AC46" s="372"/>
      <c r="AD46" s="372"/>
    </row>
    <row r="47" spans="1:30" s="26" customFormat="1">
      <c r="A47" s="372"/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</row>
    <row r="48" spans="1:30" s="26" customFormat="1">
      <c r="A48" s="372"/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</row>
    <row r="49" spans="1:30" s="26" customFormat="1">
      <c r="A49" s="372"/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P49" s="372"/>
      <c r="Q49" s="372"/>
      <c r="R49" s="372"/>
      <c r="S49" s="372"/>
      <c r="T49" s="372"/>
      <c r="U49" s="372"/>
      <c r="V49" s="372"/>
      <c r="W49" s="372"/>
      <c r="X49" s="372"/>
      <c r="Y49" s="372"/>
      <c r="Z49" s="372"/>
      <c r="AA49" s="372"/>
      <c r="AB49" s="372"/>
      <c r="AC49" s="372"/>
      <c r="AD49" s="372"/>
    </row>
    <row r="50" spans="1:30" s="26" customFormat="1">
      <c r="A50" s="372"/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</row>
    <row r="51" spans="1:30" s="26" customFormat="1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</row>
    <row r="52" spans="1:30" s="26" customFormat="1">
      <c r="A52" s="372"/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</row>
    <row r="53" spans="1:30" s="26" customFormat="1">
      <c r="A53" s="372"/>
      <c r="B53" s="372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P53" s="372"/>
      <c r="Q53" s="372"/>
      <c r="R53" s="372"/>
      <c r="S53" s="372"/>
      <c r="T53" s="372"/>
      <c r="U53" s="372"/>
      <c r="V53" s="372"/>
      <c r="W53" s="372"/>
      <c r="X53" s="372"/>
      <c r="Y53" s="372"/>
      <c r="Z53" s="372"/>
      <c r="AA53" s="372"/>
      <c r="AB53" s="372"/>
      <c r="AC53" s="372"/>
      <c r="AD53" s="372"/>
    </row>
    <row r="54" spans="1:30" s="26" customFormat="1">
      <c r="A54" s="372"/>
      <c r="B54" s="37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P54" s="372"/>
      <c r="Q54" s="372"/>
      <c r="R54" s="372"/>
      <c r="S54" s="372"/>
      <c r="T54" s="372"/>
      <c r="U54" s="372"/>
      <c r="V54" s="372"/>
      <c r="W54" s="372"/>
      <c r="X54" s="372"/>
      <c r="Y54" s="372"/>
      <c r="Z54" s="372"/>
      <c r="AA54" s="372"/>
      <c r="AB54" s="372"/>
      <c r="AC54" s="372"/>
      <c r="AD54" s="372"/>
    </row>
    <row r="55" spans="1:30" s="26" customFormat="1">
      <c r="A55" s="372"/>
      <c r="B55" s="372"/>
      <c r="C55" s="372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P55" s="372"/>
      <c r="Q55" s="372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</row>
    <row r="56" spans="1:30" s="26" customFormat="1">
      <c r="A56" s="372"/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72"/>
      <c r="AB56" s="372"/>
      <c r="AC56" s="372"/>
      <c r="AD56" s="372"/>
    </row>
    <row r="57" spans="1:30" s="26" customFormat="1">
      <c r="A57" s="372"/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</row>
    <row r="58" spans="1:30" s="26" customFormat="1">
      <c r="A58" s="372"/>
      <c r="B58" s="372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P58" s="372"/>
      <c r="Q58" s="372"/>
      <c r="R58" s="372"/>
      <c r="S58" s="372"/>
      <c r="T58" s="372"/>
      <c r="U58" s="372"/>
      <c r="V58" s="372"/>
      <c r="W58" s="372"/>
      <c r="X58" s="372"/>
      <c r="Y58" s="372"/>
      <c r="Z58" s="372"/>
      <c r="AA58" s="372"/>
      <c r="AB58" s="372"/>
      <c r="AC58" s="372"/>
      <c r="AD58" s="372"/>
    </row>
  </sheetData>
  <pageMargins left="0.7" right="0.7" top="0.75" bottom="0.75" header="0.3" footer="0.3"/>
  <pageSetup scale="48" orientation="landscape" r:id="rId1"/>
  <headerFooter>
    <oddFooter>&amp;R&amp;"Times New Roman,Bold"&amp;18Exhibit 4
Page 4 of 18&amp;L&amp;1#&amp;"Calibri"&amp;14&amp;K000000Business Use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9973F-4492-4144-BE75-DEDEC2D158D9}">
  <sheetPr>
    <tabColor theme="6" tint="0.39997558519241921"/>
    <pageSetUpPr fitToPage="1"/>
  </sheetPr>
  <dimension ref="A1:R42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92</v>
      </c>
      <c r="G6" s="12"/>
      <c r="H6" s="12"/>
      <c r="I6" s="12"/>
      <c r="J6" s="12" t="s">
        <v>92</v>
      </c>
      <c r="K6" s="12"/>
      <c r="L6" s="12" t="s">
        <v>92</v>
      </c>
      <c r="M6" s="12"/>
      <c r="N6" s="12"/>
      <c r="O6" s="12"/>
      <c r="P6" s="12"/>
      <c r="Q6" s="12"/>
      <c r="R6" s="12" t="s">
        <v>92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'201912 Bk Depr'!R13</f>
        <v>7460509.7299999986</v>
      </c>
      <c r="H13" s="1">
        <f>1.62%/12</f>
        <v>1.3500000000000003E-3</v>
      </c>
      <c r="J13" s="278">
        <f t="shared" ref="J13:J18" si="0">F13*H13</f>
        <v>10071.6881355</v>
      </c>
      <c r="L13" s="279">
        <f>'Cap&amp;OpEx 2020'!C10</f>
        <v>15172.200000000186</v>
      </c>
      <c r="N13" s="278">
        <f t="shared" ref="N13:N18" si="1">H13*L13*0.5</f>
        <v>10.241235000000128</v>
      </c>
      <c r="P13" s="278">
        <f t="shared" ref="P13:P18" si="2">J13+N13</f>
        <v>10081.9293705</v>
      </c>
      <c r="R13" s="278">
        <f t="shared" ref="R13:R18" si="3">L13+F13</f>
        <v>7475681.9299999988</v>
      </c>
    </row>
    <row r="14" spans="1:18">
      <c r="A14" s="6">
        <f t="shared" ref="A14:A18" si="4">A13+1</f>
        <v>2</v>
      </c>
      <c r="B14" s="4"/>
      <c r="C14" s="4" t="s">
        <v>535</v>
      </c>
      <c r="D14" s="6">
        <v>367</v>
      </c>
      <c r="F14" s="274"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9">
        <f>'2019 Capital Budget'!R19*0+'2018 Capital Budget'!R28*0+SUM('Capital Budget 2017'!K17:P17)*0-62</f>
        <v>-62</v>
      </c>
      <c r="H15" s="1">
        <f>1.62%/12</f>
        <v>1.3500000000000003E-3</v>
      </c>
      <c r="J15" s="278">
        <f t="shared" si="0"/>
        <v>-8.3700000000000024E-2</v>
      </c>
      <c r="L15" s="279">
        <f>'2020 Capital Budget'!F29</f>
        <v>845.69999999995343</v>
      </c>
      <c r="N15" s="278">
        <f t="shared" si="1"/>
        <v>0.57084749999996864</v>
      </c>
      <c r="P15" s="278">
        <f t="shared" si="2"/>
        <v>0.48714749999996865</v>
      </c>
      <c r="R15" s="278">
        <f t="shared" si="3"/>
        <v>783.69999999995343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9">
        <f>'201912 Bk Depr'!R14-'2019 Capital Budget'!R19*0-'2018 Capital Budget'!R28*0-SUM('Capital Budget 2017'!K17:P17)*0+62</f>
        <v>8027505.370000001</v>
      </c>
      <c r="H16" s="1">
        <f t="shared" ref="H16:H18" si="5">3.24%/12</f>
        <v>2.7000000000000006E-3</v>
      </c>
      <c r="J16" s="278">
        <f t="shared" si="0"/>
        <v>21674.264499000008</v>
      </c>
      <c r="L16" s="279">
        <f>'Cap&amp;OpEx 2020'!C12-L15-'2020 Capital Budget'!F86</f>
        <v>271811.78000000009</v>
      </c>
      <c r="N16" s="278">
        <f t="shared" si="1"/>
        <v>366.94590300000021</v>
      </c>
      <c r="P16" s="278">
        <f t="shared" si="2"/>
        <v>22041.210402000008</v>
      </c>
      <c r="R16" s="278">
        <f t="shared" si="3"/>
        <v>8299317.1500000013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'201912 Bk Depr'!R15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2020'!C13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'201912 Bk Depr'!R16</f>
        <v>33097175.020000003</v>
      </c>
      <c r="H18" s="1">
        <f t="shared" si="5"/>
        <v>2.7000000000000006E-3</v>
      </c>
      <c r="J18" s="278">
        <f t="shared" si="0"/>
        <v>89362.372554000031</v>
      </c>
      <c r="L18" s="280">
        <f>'Cap&amp;OpEx 2020'!C14-'2020 Capital Budget'!F89</f>
        <v>769073.35000000021</v>
      </c>
      <c r="N18" s="278">
        <f t="shared" si="1"/>
        <v>1038.2490225000006</v>
      </c>
      <c r="P18" s="278">
        <f t="shared" si="2"/>
        <v>90400.621576500038</v>
      </c>
      <c r="R18" s="278">
        <f t="shared" si="3"/>
        <v>33866248.370000005</v>
      </c>
    </row>
    <row r="19" spans="1:18">
      <c r="A19" s="6">
        <f>A18+1</f>
        <v>7</v>
      </c>
      <c r="B19" s="4"/>
      <c r="C19" s="4" t="s">
        <v>21</v>
      </c>
      <c r="F19" s="276">
        <f>SUM(F13:F18)</f>
        <v>55802508.359999999</v>
      </c>
      <c r="J19" s="276">
        <f>SUM(J13:J18)</f>
        <v>140595.16813650005</v>
      </c>
      <c r="L19" s="276">
        <f>SUM(L13:L18)</f>
        <v>1056903.0300000005</v>
      </c>
      <c r="N19" s="276">
        <f>SUM(N13:N18)</f>
        <v>1416.007008000001</v>
      </c>
      <c r="P19" s="276">
        <f>SUM(P13:P18)</f>
        <v>142011.17514450004</v>
      </c>
      <c r="R19" s="276">
        <f>SUM(R13:R18)</f>
        <v>56859411.390000008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'201912 Bk Depr'!R20</f>
        <v>0</v>
      </c>
      <c r="H22" s="1">
        <f>1.62%/12</f>
        <v>1.3500000000000003E-3</v>
      </c>
      <c r="J22" s="278">
        <f>F22*H22</f>
        <v>0</v>
      </c>
      <c r="L22" s="279">
        <f>'Cap&amp;OpEx 2020'!C17</f>
        <v>0</v>
      </c>
      <c r="N22" s="486">
        <f>H22*L22*0.5</f>
        <v>0</v>
      </c>
      <c r="P22" s="278">
        <f>J22+N22</f>
        <v>0</v>
      </c>
      <c r="R22" s="278">
        <f>L22+F22</f>
        <v>0</v>
      </c>
    </row>
    <row r="23" spans="1:18">
      <c r="A23" s="389">
        <f>A22+1</f>
        <v>9</v>
      </c>
      <c r="B23" s="390"/>
      <c r="C23" s="390" t="s">
        <v>535</v>
      </c>
      <c r="D23" s="389">
        <v>367</v>
      </c>
      <c r="E23" s="389"/>
      <c r="F23" s="391">
        <v>0</v>
      </c>
      <c r="G23" s="389"/>
      <c r="H23" s="392">
        <f>2.05%/12</f>
        <v>1.7083333333333332E-3</v>
      </c>
      <c r="I23" s="389"/>
      <c r="J23" s="326">
        <f>F23*H23</f>
        <v>0</v>
      </c>
      <c r="K23" s="389"/>
      <c r="L23" s="393">
        <f>'Cap&amp;OpEx 2020'!C18</f>
        <v>0</v>
      </c>
      <c r="M23" s="389"/>
      <c r="N23" s="487">
        <f t="shared" ref="N23:N27" si="6">H23*L23*0.5</f>
        <v>0</v>
      </c>
      <c r="O23" s="389"/>
      <c r="P23" s="326">
        <f>J23+N23</f>
        <v>0</v>
      </c>
      <c r="Q23" s="389"/>
      <c r="R23" s="326">
        <f>L23+F23</f>
        <v>0</v>
      </c>
    </row>
    <row r="24" spans="1:18">
      <c r="A24" s="6">
        <f>A23+1</f>
        <v>10</v>
      </c>
      <c r="B24" s="390"/>
      <c r="C24" s="9" t="s">
        <v>62</v>
      </c>
      <c r="D24" s="6">
        <v>376</v>
      </c>
      <c r="E24" s="389"/>
      <c r="F24" s="274">
        <v>0</v>
      </c>
      <c r="H24" s="1">
        <f>1.62%/12</f>
        <v>1.3500000000000003E-3</v>
      </c>
      <c r="J24" s="278">
        <f>F24*H24</f>
        <v>0</v>
      </c>
      <c r="L24" s="279">
        <v>0</v>
      </c>
      <c r="N24" s="486">
        <f t="shared" si="6"/>
        <v>0</v>
      </c>
      <c r="P24" s="278">
        <f>J24+N24</f>
        <v>0</v>
      </c>
      <c r="R24" s="278">
        <f>L24+F24</f>
        <v>0</v>
      </c>
    </row>
    <row r="25" spans="1:18">
      <c r="A25" s="6">
        <f>A24+1</f>
        <v>11</v>
      </c>
      <c r="B25" s="4"/>
      <c r="C25" s="9" t="s">
        <v>62</v>
      </c>
      <c r="D25" s="6">
        <v>380</v>
      </c>
      <c r="F25" s="274">
        <f>'201912 Bk Depr'!R21</f>
        <v>0</v>
      </c>
      <c r="H25" s="1">
        <f>3.24%/12</f>
        <v>2.7000000000000006E-3</v>
      </c>
      <c r="J25" s="278">
        <f t="shared" ref="J25:J26" si="7">F25*H25</f>
        <v>0</v>
      </c>
      <c r="L25" s="279">
        <f>'Cap&amp;OpEx 2020'!C19</f>
        <v>0</v>
      </c>
      <c r="N25" s="486">
        <f t="shared" si="6"/>
        <v>0</v>
      </c>
      <c r="P25" s="278">
        <f t="shared" ref="P25:P26" si="8">J25+N25</f>
        <v>0</v>
      </c>
      <c r="R25" s="278">
        <f t="shared" ref="R25:R26" si="9">L25+F25</f>
        <v>0</v>
      </c>
    </row>
    <row r="26" spans="1:18" s="398" customFormat="1">
      <c r="A26" s="397">
        <f t="shared" ref="A26" si="10">A25+1</f>
        <v>12</v>
      </c>
      <c r="C26" s="399" t="s">
        <v>63</v>
      </c>
      <c r="D26" s="397">
        <v>380</v>
      </c>
      <c r="E26" s="397"/>
      <c r="F26" s="274">
        <f>'201912 Bk Depr'!R22</f>
        <v>0</v>
      </c>
      <c r="G26" s="397"/>
      <c r="H26" s="400">
        <f>3.24%/12</f>
        <v>2.7000000000000006E-3</v>
      </c>
      <c r="I26" s="397"/>
      <c r="J26" s="274">
        <f t="shared" si="7"/>
        <v>0</v>
      </c>
      <c r="K26" s="397"/>
      <c r="L26" s="279">
        <f>'Cap&amp;OpEx 2020'!C20</f>
        <v>0</v>
      </c>
      <c r="M26" s="397"/>
      <c r="N26" s="486">
        <f t="shared" si="6"/>
        <v>0</v>
      </c>
      <c r="O26" s="397"/>
      <c r="P26" s="274">
        <f t="shared" si="8"/>
        <v>0</v>
      </c>
      <c r="Q26" s="397"/>
      <c r="R26" s="274">
        <f t="shared" si="9"/>
        <v>0</v>
      </c>
    </row>
    <row r="27" spans="1:18">
      <c r="A27" s="389">
        <f>A26+1</f>
        <v>13</v>
      </c>
      <c r="B27" s="390"/>
      <c r="C27" s="394" t="s">
        <v>160</v>
      </c>
      <c r="D27" s="389">
        <v>380</v>
      </c>
      <c r="E27" s="389"/>
      <c r="F27" s="395">
        <v>0</v>
      </c>
      <c r="G27" s="389"/>
      <c r="H27" s="392">
        <f>3.24%/12</f>
        <v>2.7000000000000006E-3</v>
      </c>
      <c r="I27" s="389"/>
      <c r="J27" s="326">
        <f t="shared" ref="J27" si="11">F27*H27</f>
        <v>0</v>
      </c>
      <c r="K27" s="389"/>
      <c r="L27" s="396">
        <f>'Cap&amp;OpEx 2020'!C21</f>
        <v>0</v>
      </c>
      <c r="M27" s="389"/>
      <c r="N27" s="487">
        <f t="shared" si="6"/>
        <v>0</v>
      </c>
      <c r="O27" s="389"/>
      <c r="P27" s="326">
        <f t="shared" ref="P27" si="12">J27+N27</f>
        <v>0</v>
      </c>
      <c r="Q27" s="389"/>
      <c r="R27" s="326">
        <f t="shared" ref="R27" si="13">L27+F27</f>
        <v>0</v>
      </c>
    </row>
    <row r="28" spans="1:18">
      <c r="A28" s="6">
        <f>A27+1</f>
        <v>14</v>
      </c>
      <c r="B28" s="4"/>
      <c r="C28" s="4" t="s">
        <v>22</v>
      </c>
      <c r="F28" s="401">
        <f>SUM(F22:F27)</f>
        <v>0</v>
      </c>
      <c r="J28" s="401">
        <f>SUM(J22:J27)</f>
        <v>0</v>
      </c>
      <c r="L28" s="401">
        <f>SUM(L22:L27)</f>
        <v>0</v>
      </c>
      <c r="N28" s="401">
        <f>SUM(N22:N27)</f>
        <v>0</v>
      </c>
      <c r="P28" s="401">
        <f>SUM(P22:P27)</f>
        <v>0</v>
      </c>
      <c r="R28" s="401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55802508.359999999</v>
      </c>
      <c r="G30" s="411"/>
      <c r="I30" s="411"/>
      <c r="J30" s="413">
        <f>J19+J28</f>
        <v>140595.16813650005</v>
      </c>
      <c r="K30" s="411"/>
      <c r="L30" s="413">
        <f>L19+L28</f>
        <v>1056903.0300000005</v>
      </c>
      <c r="M30" s="411"/>
      <c r="N30" s="413">
        <f>N19+N28</f>
        <v>1416.007008000001</v>
      </c>
      <c r="O30" s="411"/>
      <c r="P30" s="413">
        <f>P19+P28</f>
        <v>142011.17514450004</v>
      </c>
      <c r="Q30" s="411"/>
      <c r="R30" s="413">
        <f>R19+R28</f>
        <v>56859411.390000008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'201912 Bk Depr'!R28</f>
        <v>1927915.84</v>
      </c>
      <c r="J33" s="278"/>
      <c r="L33" s="279">
        <f>'Cap&amp;OpEx 2020'!C31</f>
        <v>0</v>
      </c>
      <c r="N33" s="278"/>
      <c r="P33" s="278"/>
      <c r="R33" s="278">
        <f t="shared" ref="R33:R38" si="14">L33+F33</f>
        <v>1927915.84</v>
      </c>
    </row>
    <row r="34" spans="1:18">
      <c r="A34" s="389">
        <f>A33+1</f>
        <v>17</v>
      </c>
      <c r="B34" s="390"/>
      <c r="C34" s="390" t="s">
        <v>535</v>
      </c>
      <c r="D34" s="389">
        <v>367</v>
      </c>
      <c r="E34" s="389"/>
      <c r="F34" s="391">
        <v>0</v>
      </c>
      <c r="G34" s="389"/>
      <c r="H34" s="390"/>
      <c r="I34" s="389"/>
      <c r="J34" s="326"/>
      <c r="K34" s="389"/>
      <c r="L34" s="393">
        <f>'Cap&amp;OpEx 2020'!C32</f>
        <v>0</v>
      </c>
      <c r="M34" s="389"/>
      <c r="N34" s="326"/>
      <c r="O34" s="389"/>
      <c r="P34" s="326"/>
      <c r="Q34" s="389"/>
      <c r="R34" s="326">
        <f t="shared" si="14"/>
        <v>0</v>
      </c>
    </row>
    <row r="35" spans="1:18">
      <c r="A35" s="6">
        <f>A34+1</f>
        <v>18</v>
      </c>
      <c r="B35" s="390"/>
      <c r="C35" s="9" t="s">
        <v>62</v>
      </c>
      <c r="D35" s="6">
        <v>376</v>
      </c>
      <c r="E35" s="389"/>
      <c r="F35" s="274">
        <v>0</v>
      </c>
      <c r="J35" s="278"/>
      <c r="L35" s="279">
        <v>0</v>
      </c>
      <c r="N35" s="278"/>
      <c r="P35" s="278"/>
      <c r="R35" s="278">
        <f t="shared" si="14"/>
        <v>0</v>
      </c>
    </row>
    <row r="36" spans="1:18">
      <c r="A36" s="6">
        <f>A35+1</f>
        <v>19</v>
      </c>
      <c r="B36" s="4"/>
      <c r="C36" s="9" t="s">
        <v>62</v>
      </c>
      <c r="D36" s="6">
        <v>380</v>
      </c>
      <c r="F36" s="274">
        <f>'201912 Bk Depr'!R29</f>
        <v>6000817.6099999994</v>
      </c>
      <c r="J36" s="278"/>
      <c r="L36" s="415">
        <f>'Cap&amp;OpEx 2020'!C33</f>
        <v>42155.369999999995</v>
      </c>
      <c r="N36" s="278"/>
      <c r="P36" s="278"/>
      <c r="R36" s="417">
        <f t="shared" si="14"/>
        <v>6042972.9799999995</v>
      </c>
    </row>
    <row r="37" spans="1:18" s="398" customFormat="1">
      <c r="A37" s="397">
        <f t="shared" ref="A37:A38" si="15">A36+1</f>
        <v>20</v>
      </c>
      <c r="C37" s="399" t="s">
        <v>63</v>
      </c>
      <c r="D37" s="397">
        <v>380</v>
      </c>
      <c r="E37" s="397"/>
      <c r="F37" s="274">
        <f>'201912 Bk Depr'!R30</f>
        <v>160988.60999999999</v>
      </c>
      <c r="G37" s="397"/>
      <c r="I37" s="397"/>
      <c r="J37" s="274"/>
      <c r="K37" s="397"/>
      <c r="L37" s="418">
        <f>'Cap&amp;OpEx 2020'!C34</f>
        <v>0</v>
      </c>
      <c r="M37" s="397"/>
      <c r="N37" s="274"/>
      <c r="O37" s="397"/>
      <c r="P37" s="274"/>
      <c r="Q37" s="397"/>
      <c r="R37" s="274">
        <f t="shared" si="14"/>
        <v>160988.60999999999</v>
      </c>
    </row>
    <row r="38" spans="1:18">
      <c r="A38" s="389">
        <f t="shared" si="15"/>
        <v>21</v>
      </c>
      <c r="B38" s="390"/>
      <c r="C38" s="394" t="s">
        <v>160</v>
      </c>
      <c r="D38" s="389">
        <v>380</v>
      </c>
      <c r="E38" s="389"/>
      <c r="F38" s="395">
        <v>0</v>
      </c>
      <c r="G38" s="389"/>
      <c r="H38" s="390"/>
      <c r="I38" s="389"/>
      <c r="J38" s="326"/>
      <c r="K38" s="389"/>
      <c r="L38" s="416">
        <f>'Cap&amp;OpEx 2020'!C35</f>
        <v>328014.84999999998</v>
      </c>
      <c r="M38" s="389"/>
      <c r="N38" s="326"/>
      <c r="O38" s="389"/>
      <c r="P38" s="326"/>
      <c r="Q38" s="389"/>
      <c r="R38" s="417">
        <f t="shared" si="14"/>
        <v>328014.84999999998</v>
      </c>
    </row>
    <row r="39" spans="1:18">
      <c r="A39" s="6">
        <f>A38+1</f>
        <v>22</v>
      </c>
      <c r="B39" s="4"/>
      <c r="C39" s="4" t="s">
        <v>23</v>
      </c>
      <c r="F39" s="401">
        <f>SUM(F33:F38)</f>
        <v>8089722.0599999996</v>
      </c>
      <c r="G39" s="389"/>
      <c r="H39" s="390"/>
      <c r="I39" s="389"/>
      <c r="J39" s="401">
        <f>SUM(J33:J38)</f>
        <v>0</v>
      </c>
      <c r="K39" s="389"/>
      <c r="L39" s="401">
        <f>SUM(L33:L38)</f>
        <v>370170.22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8459892.2799999993</v>
      </c>
    </row>
    <row r="41" spans="1:18">
      <c r="P41" s="367"/>
    </row>
    <row r="42" spans="1:18">
      <c r="P42" s="367"/>
    </row>
  </sheetData>
  <pageMargins left="0.7" right="0.7" top="0.75" bottom="0.75" header="0.3" footer="0.3"/>
  <pageSetup scale="82" orientation="landscape" r:id="rId1"/>
  <headerFooter>
    <oddFooter>&amp;R&amp;"Times New Roman,Bold"&amp;12Exhibit 4
Page 5 of 18&amp;L&amp;1#&amp;"Calibri"&amp;14&amp;K000000Business Use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86E36-0697-4581-BC45-678AB61535B1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95</v>
      </c>
      <c r="G6" s="12"/>
      <c r="H6" s="12"/>
      <c r="I6" s="12"/>
      <c r="J6" s="12" t="s">
        <v>95</v>
      </c>
      <c r="K6" s="12"/>
      <c r="L6" s="12" t="s">
        <v>95</v>
      </c>
      <c r="M6" s="12"/>
      <c r="N6" s="12"/>
      <c r="O6" s="12"/>
      <c r="P6" s="12"/>
      <c r="Q6" s="12"/>
      <c r="R6" s="12" t="s">
        <v>95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'202001 Bk Depr'!R13</f>
        <v>7475681.9299999988</v>
      </c>
      <c r="H13" s="1">
        <f>1.62%/12</f>
        <v>1.3500000000000003E-3</v>
      </c>
      <c r="J13" s="278">
        <f t="shared" ref="J13:J18" si="0">F13*H13</f>
        <v>10092.170605500001</v>
      </c>
      <c r="L13" s="279">
        <f>'Cap&amp;OpEx 2020'!D10</f>
        <v>8593.2599999979138</v>
      </c>
      <c r="N13" s="278">
        <f t="shared" ref="N13:N18" si="1">H13*L13*0.5</f>
        <v>5.8004504999985933</v>
      </c>
      <c r="P13" s="278">
        <f t="shared" ref="P13:P18" si="2">J13+N13</f>
        <v>10097.971056</v>
      </c>
      <c r="R13" s="278">
        <f t="shared" ref="R13:R18" si="3">L13+F13</f>
        <v>7484275.1899999967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9">
        <f>'202001 Bk Depr'!R15</f>
        <v>783.69999999995343</v>
      </c>
      <c r="H15" s="1">
        <f>1.62%/12</f>
        <v>1.3500000000000003E-3</v>
      </c>
      <c r="J15" s="278">
        <f t="shared" si="0"/>
        <v>1.0579949999999374</v>
      </c>
      <c r="L15" s="279">
        <f>'2020 Capital Budget'!G29</f>
        <v>730.29999999993015</v>
      </c>
      <c r="N15" s="278">
        <f>H15*L15*0.5</f>
        <v>0.49295249999995294</v>
      </c>
      <c r="P15" s="278">
        <f>J15+N15</f>
        <v>1.5509474999998902</v>
      </c>
      <c r="R15" s="278">
        <f t="shared" si="3"/>
        <v>1513.9999999998836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'202001 Bk Depr'!R16</f>
        <v>8299317.1500000013</v>
      </c>
      <c r="H16" s="1">
        <f t="shared" ref="H16:H18" si="5">3.24%/12</f>
        <v>2.7000000000000006E-3</v>
      </c>
      <c r="J16" s="278">
        <f t="shared" si="0"/>
        <v>22408.156305000008</v>
      </c>
      <c r="L16" s="279">
        <f>'Cap&amp;OpEx 2020'!D12-L15-'2020 Capital Budget'!G86</f>
        <v>278612.85000000068</v>
      </c>
      <c r="N16" s="278">
        <f t="shared" si="1"/>
        <v>376.12734750000101</v>
      </c>
      <c r="P16" s="278">
        <f t="shared" si="2"/>
        <v>22784.283652500009</v>
      </c>
      <c r="R16" s="278">
        <f t="shared" si="3"/>
        <v>8577930.0000000019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'202001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2020'!D13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'202001 Bk Depr'!R18</f>
        <v>33866248.370000005</v>
      </c>
      <c r="H18" s="1">
        <f t="shared" si="5"/>
        <v>2.7000000000000006E-3</v>
      </c>
      <c r="J18" s="278">
        <f t="shared" si="0"/>
        <v>91438.870599000031</v>
      </c>
      <c r="L18" s="280">
        <f>'Cap&amp;OpEx 2020'!D14-'2020 Capital Budget'!G89</f>
        <v>539655.03999999643</v>
      </c>
      <c r="N18" s="278">
        <f t="shared" si="1"/>
        <v>728.53430399999536</v>
      </c>
      <c r="P18" s="278">
        <f t="shared" si="2"/>
        <v>92167.404903000031</v>
      </c>
      <c r="R18" s="278">
        <f t="shared" si="3"/>
        <v>34405903.410000004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56859411.390000008</v>
      </c>
      <c r="J19" s="276">
        <f>SUM(J13:J18)</f>
        <v>143427.18215250006</v>
      </c>
      <c r="L19" s="276">
        <f>SUM(L13:L18)</f>
        <v>827591.44999999495</v>
      </c>
      <c r="N19" s="276">
        <f>SUM(N13:N18)</f>
        <v>1110.955054499995</v>
      </c>
      <c r="P19" s="276">
        <f>SUM(P13:P18)</f>
        <v>144538.13720700005</v>
      </c>
      <c r="R19" s="276">
        <f>SUM(R13:R18)</f>
        <v>57687002.840000004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'202001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2020'!D17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'202001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2020'!D18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'202001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'202001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2020'!D19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'202001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2020'!D20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'202001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2020'!D21</f>
        <v>0</v>
      </c>
      <c r="M27" s="389"/>
      <c r="N27" s="487">
        <f t="shared" si="10"/>
        <v>0</v>
      </c>
      <c r="O27" s="389"/>
      <c r="P27" s="326">
        <f t="shared" si="7"/>
        <v>0</v>
      </c>
      <c r="Q27" s="389"/>
      <c r="R27" s="32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56859411.390000008</v>
      </c>
      <c r="G30" s="411"/>
      <c r="I30" s="411"/>
      <c r="J30" s="413">
        <f>J19+J28</f>
        <v>143427.18215250006</v>
      </c>
      <c r="K30" s="411"/>
      <c r="L30" s="413">
        <f>L19+L28</f>
        <v>827591.44999999495</v>
      </c>
      <c r="M30" s="411"/>
      <c r="N30" s="413">
        <f>N19+N28</f>
        <v>1110.955054499995</v>
      </c>
      <c r="O30" s="411"/>
      <c r="P30" s="413">
        <f>P19+P28</f>
        <v>144538.13720700005</v>
      </c>
      <c r="Q30" s="411"/>
      <c r="R30" s="413">
        <f>R19+R28</f>
        <v>57687002.840000004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'202001 Bk Depr'!R33</f>
        <v>1927915.84</v>
      </c>
      <c r="J33" s="278"/>
      <c r="L33" s="279">
        <f>'Cap&amp;OpEx 2020'!D31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'202001 Bk Depr'!R34</f>
        <v>0</v>
      </c>
      <c r="G34" s="389"/>
      <c r="H34" s="390"/>
      <c r="I34" s="389"/>
      <c r="J34" s="326"/>
      <c r="K34" s="389"/>
      <c r="L34" s="393">
        <f>'Cap&amp;OpEx 2020'!D32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'202001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'202001 Bk Depr'!R36</f>
        <v>6042972.9799999995</v>
      </c>
      <c r="J36" s="278"/>
      <c r="L36" s="415">
        <f>'Cap&amp;OpEx 2020'!D33</f>
        <v>100571.17</v>
      </c>
      <c r="N36" s="278"/>
      <c r="P36" s="278"/>
      <c r="R36" s="417">
        <f t="shared" si="11"/>
        <v>6143544.1499999994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274">
        <f>'202001 Bk Depr'!R37</f>
        <v>160988.60999999999</v>
      </c>
      <c r="G37" s="397"/>
      <c r="I37" s="397"/>
      <c r="J37" s="274"/>
      <c r="K37" s="397"/>
      <c r="L37" s="415">
        <f>'Cap&amp;OpEx 2020'!D34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'202001 Bk Depr'!R38</f>
        <v>328014.84999999998</v>
      </c>
      <c r="G38" s="389"/>
      <c r="H38" s="390"/>
      <c r="I38" s="389"/>
      <c r="J38" s="326"/>
      <c r="K38" s="389"/>
      <c r="L38" s="416">
        <f>'Cap&amp;OpEx 2020'!D35</f>
        <v>427931.43</v>
      </c>
      <c r="M38" s="389"/>
      <c r="N38" s="326"/>
      <c r="O38" s="389"/>
      <c r="P38" s="326"/>
      <c r="Q38" s="389"/>
      <c r="R38" s="417">
        <f t="shared" si="11"/>
        <v>755946.28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8459892.2799999993</v>
      </c>
      <c r="G39" s="389"/>
      <c r="H39" s="390"/>
      <c r="I39" s="389"/>
      <c r="J39" s="401">
        <f>SUM(J33:J38)</f>
        <v>0</v>
      </c>
      <c r="K39" s="389"/>
      <c r="L39" s="401">
        <f>SUM(L33:L38)</f>
        <v>528502.6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8988394.879999999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6 of 18&amp;L&amp;1#&amp;"Calibri"&amp;14&amp;K000000Business Use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831AA-7392-4D57-BBD2-BEC4C18AF432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96</v>
      </c>
      <c r="G6" s="12"/>
      <c r="H6" s="12"/>
      <c r="I6" s="12"/>
      <c r="J6" s="12" t="s">
        <v>96</v>
      </c>
      <c r="K6" s="12"/>
      <c r="L6" s="12" t="s">
        <v>96</v>
      </c>
      <c r="M6" s="12"/>
      <c r="N6" s="12"/>
      <c r="O6" s="12"/>
      <c r="P6" s="12"/>
      <c r="Q6" s="12"/>
      <c r="R6" s="12" t="s">
        <v>96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'202002 Bk Depr'!R13</f>
        <v>7484275.1899999967</v>
      </c>
      <c r="H13" s="1">
        <f>1.62%/12</f>
        <v>1.3500000000000003E-3</v>
      </c>
      <c r="J13" s="278">
        <f t="shared" ref="J13:J18" si="0">F13*H13</f>
        <v>10103.771506499997</v>
      </c>
      <c r="L13" s="279">
        <f>'Cap&amp;OpEx 2020'!E10</f>
        <v>18558.939999999478</v>
      </c>
      <c r="N13" s="278">
        <f t="shared" ref="N13:N18" si="1">H13*L13*0.5</f>
        <v>12.52728449999965</v>
      </c>
      <c r="P13" s="278">
        <f t="shared" ref="P13:P18" si="2">J13+N13</f>
        <v>10116.298790999997</v>
      </c>
      <c r="R13" s="278">
        <f t="shared" ref="R13:R18" si="3">L13+F13</f>
        <v>7502834.1299999962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9">
        <f>'202002 Bk Depr'!R15</f>
        <v>1513.9999999998836</v>
      </c>
      <c r="H15" s="1">
        <f>1.62%/12</f>
        <v>1.3500000000000003E-3</v>
      </c>
      <c r="J15" s="278">
        <f t="shared" si="0"/>
        <v>2.0438999999998431</v>
      </c>
      <c r="L15" s="279">
        <f>'2020 Capital Budget'!H29</f>
        <v>872.39000000001397</v>
      </c>
      <c r="N15" s="278">
        <f t="shared" si="1"/>
        <v>0.58886325000000961</v>
      </c>
      <c r="P15" s="278">
        <f t="shared" si="2"/>
        <v>2.6327632499998526</v>
      </c>
      <c r="R15" s="278">
        <f t="shared" si="3"/>
        <v>2386.3899999998976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'202002 Bk Depr'!R16</f>
        <v>8577930.0000000019</v>
      </c>
      <c r="H16" s="1">
        <f t="shared" ref="H16:H18" si="5">3.24%/12</f>
        <v>2.7000000000000006E-3</v>
      </c>
      <c r="J16" s="278">
        <f t="shared" si="0"/>
        <v>23160.411000000011</v>
      </c>
      <c r="L16" s="279">
        <f>'Cap&amp;OpEx 2020'!E12-L15-'2020 Capital Budget'!H86</f>
        <v>293198.46000000014</v>
      </c>
      <c r="N16" s="278">
        <f t="shared" si="1"/>
        <v>395.8179210000003</v>
      </c>
      <c r="P16" s="278">
        <f t="shared" si="2"/>
        <v>23556.228921000013</v>
      </c>
      <c r="R16" s="278">
        <f t="shared" si="3"/>
        <v>8871128.4600000028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'202002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2020'!E13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'202002 Bk Depr'!R18</f>
        <v>34405903.410000004</v>
      </c>
      <c r="H18" s="1">
        <f t="shared" si="5"/>
        <v>2.7000000000000006E-3</v>
      </c>
      <c r="J18" s="278">
        <f t="shared" si="0"/>
        <v>92895.939207000032</v>
      </c>
      <c r="L18" s="280">
        <f>'Cap&amp;OpEx 2020'!E14-'2020 Capital Budget'!H89</f>
        <v>2456813.590000004</v>
      </c>
      <c r="N18" s="278">
        <f t="shared" si="1"/>
        <v>3316.6983465000062</v>
      </c>
      <c r="P18" s="278">
        <f t="shared" si="2"/>
        <v>96212.637553500041</v>
      </c>
      <c r="R18" s="278">
        <f t="shared" si="3"/>
        <v>36862717.000000007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57687002.840000004</v>
      </c>
      <c r="J19" s="276">
        <f>SUM(J13:J18)</f>
        <v>145649.09226150005</v>
      </c>
      <c r="L19" s="276">
        <f>SUM(L13:L18)</f>
        <v>2769443.3800000036</v>
      </c>
      <c r="N19" s="276">
        <f>SUM(N13:N18)</f>
        <v>3725.632415250006</v>
      </c>
      <c r="P19" s="276">
        <f>SUM(P13:P18)</f>
        <v>149374.72467675008</v>
      </c>
      <c r="R19" s="276">
        <f>SUM(R13:R18)</f>
        <v>60456446.220000006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'202002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2020'!E17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'202002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2020'!E18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'202002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'202002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2020'!E19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'202002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2020'!E20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'202002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2020'!E21</f>
        <v>0</v>
      </c>
      <c r="M27" s="389"/>
      <c r="N27" s="487">
        <f t="shared" si="10"/>
        <v>0</v>
      </c>
      <c r="O27" s="389"/>
      <c r="P27" s="326">
        <f t="shared" si="7"/>
        <v>0</v>
      </c>
      <c r="Q27" s="389"/>
      <c r="R27" s="32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57687002.840000004</v>
      </c>
      <c r="G30" s="411"/>
      <c r="I30" s="411"/>
      <c r="J30" s="413">
        <f>J19+J28</f>
        <v>145649.09226150005</v>
      </c>
      <c r="K30" s="411"/>
      <c r="L30" s="413">
        <f>L19+L28</f>
        <v>2769443.3800000036</v>
      </c>
      <c r="M30" s="411"/>
      <c r="N30" s="413">
        <f>N19+N28</f>
        <v>3725.632415250006</v>
      </c>
      <c r="O30" s="411"/>
      <c r="P30" s="413">
        <f>P19+P28</f>
        <v>149374.72467675008</v>
      </c>
      <c r="Q30" s="411"/>
      <c r="R30" s="413">
        <f>R19+R28</f>
        <v>60456446.220000006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'202002 Bk Depr'!R33</f>
        <v>1927915.84</v>
      </c>
      <c r="J33" s="278"/>
      <c r="L33" s="279">
        <f>'Cap&amp;OpEx 2020'!E31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'202002 Bk Depr'!R34</f>
        <v>0</v>
      </c>
      <c r="G34" s="389"/>
      <c r="H34" s="390"/>
      <c r="I34" s="389"/>
      <c r="J34" s="326"/>
      <c r="K34" s="389"/>
      <c r="L34" s="393">
        <f>'Cap&amp;OpEx 2020'!E32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'202002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'202002 Bk Depr'!R36</f>
        <v>6143544.1499999994</v>
      </c>
      <c r="J36" s="278"/>
      <c r="L36" s="415">
        <f>'Cap&amp;OpEx 2020'!E33</f>
        <v>175695.94</v>
      </c>
      <c r="N36" s="278"/>
      <c r="P36" s="278"/>
      <c r="R36" s="417">
        <f t="shared" si="11"/>
        <v>6319240.0899999999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'202002 Bk Depr'!R37</f>
        <v>160988.60999999999</v>
      </c>
      <c r="G37" s="397"/>
      <c r="I37" s="397"/>
      <c r="J37" s="274"/>
      <c r="K37" s="397"/>
      <c r="L37" s="415">
        <f>'Cap&amp;OpEx 2020'!E34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'202002 Bk Depr'!R38</f>
        <v>755946.28</v>
      </c>
      <c r="G38" s="389"/>
      <c r="H38" s="390"/>
      <c r="I38" s="389"/>
      <c r="J38" s="326"/>
      <c r="K38" s="389"/>
      <c r="L38" s="416">
        <f>'Cap&amp;OpEx 2020'!E35</f>
        <v>490200.89</v>
      </c>
      <c r="M38" s="389"/>
      <c r="N38" s="326"/>
      <c r="O38" s="389"/>
      <c r="P38" s="326"/>
      <c r="Q38" s="389"/>
      <c r="R38" s="417">
        <f t="shared" si="11"/>
        <v>1246147.17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8988394.879999999</v>
      </c>
      <c r="G39" s="389"/>
      <c r="H39" s="390"/>
      <c r="I39" s="389"/>
      <c r="J39" s="401">
        <f>SUM(J33:J38)</f>
        <v>0</v>
      </c>
      <c r="K39" s="389"/>
      <c r="L39" s="401">
        <f>SUM(L33:L38)</f>
        <v>665896.83000000007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9654291.709999999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7 of 18&amp;L&amp;1#&amp;"Calibri"&amp;14&amp;K000000Business Use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8748-58F9-427B-B5A0-17B9851522F5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'202003 Bk Depr'!R13</f>
        <v>7502834.1299999962</v>
      </c>
      <c r="H13" s="1">
        <f>1.62%/12</f>
        <v>1.3500000000000003E-3</v>
      </c>
      <c r="J13" s="278">
        <f t="shared" ref="J13:J18" si="0">F13*H13</f>
        <v>10128.826075499997</v>
      </c>
      <c r="L13" s="279">
        <f>'Cap&amp;OpEx 2020'!F10</f>
        <v>2481.5200000032783</v>
      </c>
      <c r="N13" s="278">
        <f t="shared" ref="N13:N18" si="1">H13*L13*0.5</f>
        <v>1.6750260000022132</v>
      </c>
      <c r="P13" s="278">
        <f t="shared" ref="P13:P18" si="2">J13+N13</f>
        <v>10130.5011015</v>
      </c>
      <c r="R13" s="278">
        <f t="shared" ref="R13:R18" si="3">L13+F13</f>
        <v>7505315.6499999994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9">
        <f>'202003 Bk Depr'!R15</f>
        <v>2386.3899999998976</v>
      </c>
      <c r="H15" s="1">
        <f>1.62%/12</f>
        <v>1.3500000000000003E-3</v>
      </c>
      <c r="J15" s="278">
        <f t="shared" si="0"/>
        <v>3.2216264999998625</v>
      </c>
      <c r="L15" s="279">
        <f>'2020 Capital Budget'!I29</f>
        <v>766.42000000016196</v>
      </c>
      <c r="N15" s="278">
        <f t="shared" si="1"/>
        <v>0.51733350000010947</v>
      </c>
      <c r="P15" s="278">
        <f t="shared" si="2"/>
        <v>3.7389599999999721</v>
      </c>
      <c r="R15" s="278">
        <f t="shared" si="3"/>
        <v>3152.8100000000595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'202003 Bk Depr'!R16</f>
        <v>8871128.4600000028</v>
      </c>
      <c r="H16" s="1">
        <f t="shared" ref="H16:H18" si="5">3.24%/12</f>
        <v>2.7000000000000006E-3</v>
      </c>
      <c r="J16" s="278">
        <f t="shared" si="0"/>
        <v>23952.046842000014</v>
      </c>
      <c r="L16" s="279">
        <f>'Cap&amp;OpEx 2020'!F12-L15-'2020 Capital Budget'!I86</f>
        <v>317329.32000000059</v>
      </c>
      <c r="N16" s="278">
        <f t="shared" si="1"/>
        <v>428.39458200000087</v>
      </c>
      <c r="P16" s="278">
        <f t="shared" si="2"/>
        <v>24380.441424000015</v>
      </c>
      <c r="R16" s="278">
        <f t="shared" si="3"/>
        <v>9188457.7800000031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'202003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2020'!F13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'202003 Bk Depr'!R18</f>
        <v>36862717.000000007</v>
      </c>
      <c r="H18" s="1">
        <f t="shared" si="5"/>
        <v>2.7000000000000006E-3</v>
      </c>
      <c r="J18" s="278">
        <f t="shared" si="0"/>
        <v>99529.335900000035</v>
      </c>
      <c r="L18" s="280">
        <f>'Cap&amp;OpEx 2020'!F14-'2020 Capital Budget'!I89</f>
        <v>905564.04000000202</v>
      </c>
      <c r="N18" s="278">
        <f t="shared" si="1"/>
        <v>1222.5114540000029</v>
      </c>
      <c r="P18" s="278">
        <f t="shared" si="2"/>
        <v>100751.84735400004</v>
      </c>
      <c r="R18" s="278">
        <f t="shared" si="3"/>
        <v>37768281.040000007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60456446.220000006</v>
      </c>
      <c r="J19" s="276">
        <f>SUM(J13:J18)</f>
        <v>153100.35709200005</v>
      </c>
      <c r="L19" s="276">
        <f>SUM(L13:L18)</f>
        <v>1226141.3000000061</v>
      </c>
      <c r="N19" s="276">
        <f>SUM(N13:N18)</f>
        <v>1653.0983955000061</v>
      </c>
      <c r="P19" s="276">
        <f>SUM(P13:P18)</f>
        <v>154753.45548750006</v>
      </c>
      <c r="R19" s="276">
        <f>SUM(R13:R18)</f>
        <v>61682587.520000011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'202003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2020'!F17</f>
        <v>0</v>
      </c>
      <c r="N22" s="486">
        <f>H22*L22*0.5</f>
        <v>0</v>
      </c>
      <c r="P22" s="278">
        <f t="shared" ref="P22:P27" si="7">J22+N22</f>
        <v>0</v>
      </c>
      <c r="R22" s="278">
        <f>L22+F22</f>
        <v>0</v>
      </c>
    </row>
    <row r="23" spans="1:18">
      <c r="A23" s="389">
        <f t="shared" ref="A23:A28" si="8">A22+1</f>
        <v>9</v>
      </c>
      <c r="B23" s="390"/>
      <c r="C23" s="390" t="s">
        <v>535</v>
      </c>
      <c r="D23" s="389">
        <v>367</v>
      </c>
      <c r="E23" s="389"/>
      <c r="F23" s="391">
        <f>'202003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2020'!F18</f>
        <v>0</v>
      </c>
      <c r="M23" s="389"/>
      <c r="N23" s="487">
        <f t="shared" ref="N23:N27" si="9">H23*L23*0.5</f>
        <v>0</v>
      </c>
      <c r="O23" s="389"/>
      <c r="P23" s="326">
        <f t="shared" si="7"/>
        <v>0</v>
      </c>
      <c r="Q23" s="389"/>
      <c r="R23" s="326">
        <f>L23+F23</f>
        <v>0</v>
      </c>
    </row>
    <row r="24" spans="1:18">
      <c r="A24" s="6">
        <f t="shared" si="8"/>
        <v>10</v>
      </c>
      <c r="B24" s="390"/>
      <c r="C24" s="9" t="s">
        <v>62</v>
      </c>
      <c r="D24" s="6">
        <v>376</v>
      </c>
      <c r="E24" s="389"/>
      <c r="F24" s="274">
        <f>'202003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9"/>
        <v>0</v>
      </c>
      <c r="P24" s="278">
        <f t="shared" si="7"/>
        <v>0</v>
      </c>
      <c r="R24" s="278">
        <f>L24+F24</f>
        <v>0</v>
      </c>
    </row>
    <row r="25" spans="1:18">
      <c r="A25" s="6">
        <f t="shared" si="8"/>
        <v>11</v>
      </c>
      <c r="B25" s="4"/>
      <c r="C25" s="9" t="s">
        <v>62</v>
      </c>
      <c r="D25" s="6">
        <v>380</v>
      </c>
      <c r="F25" s="274">
        <f>'202003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2020'!F19</f>
        <v>0</v>
      </c>
      <c r="N25" s="486">
        <f t="shared" si="9"/>
        <v>0</v>
      </c>
      <c r="P25" s="278">
        <f t="shared" si="7"/>
        <v>0</v>
      </c>
      <c r="R25" s="278">
        <f t="shared" ref="R25" si="10">L25+F25</f>
        <v>0</v>
      </c>
    </row>
    <row r="26" spans="1:18" s="398" customFormat="1">
      <c r="A26" s="397">
        <f t="shared" si="8"/>
        <v>12</v>
      </c>
      <c r="C26" s="399" t="s">
        <v>63</v>
      </c>
      <c r="D26" s="397">
        <v>380</v>
      </c>
      <c r="E26" s="397"/>
      <c r="F26" s="274">
        <f>'202003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2020'!F20</f>
        <v>0</v>
      </c>
      <c r="M26" s="397"/>
      <c r="N26" s="486">
        <f t="shared" si="9"/>
        <v>0</v>
      </c>
      <c r="O26" s="397"/>
      <c r="P26" s="274">
        <f t="shared" si="7"/>
        <v>0</v>
      </c>
      <c r="Q26" s="397"/>
      <c r="R26" s="274">
        <f>L26+F26</f>
        <v>0</v>
      </c>
    </row>
    <row r="27" spans="1:18">
      <c r="A27" s="389">
        <f t="shared" si="8"/>
        <v>13</v>
      </c>
      <c r="B27" s="390"/>
      <c r="C27" s="394" t="s">
        <v>160</v>
      </c>
      <c r="D27" s="389">
        <v>380</v>
      </c>
      <c r="E27" s="389"/>
      <c r="F27" s="395">
        <f>'202003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2020'!F21</f>
        <v>0</v>
      </c>
      <c r="M27" s="389"/>
      <c r="N27" s="487">
        <f t="shared" si="9"/>
        <v>0</v>
      </c>
      <c r="O27" s="389"/>
      <c r="P27" s="326">
        <f t="shared" si="7"/>
        <v>0</v>
      </c>
      <c r="Q27" s="389"/>
      <c r="R27" s="326">
        <f>L27+F27</f>
        <v>0</v>
      </c>
    </row>
    <row r="28" spans="1:18">
      <c r="A28" s="6">
        <f t="shared" si="8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60456446.220000006</v>
      </c>
      <c r="G30" s="411"/>
      <c r="I30" s="411"/>
      <c r="J30" s="413">
        <f>J19+J28</f>
        <v>153100.35709200005</v>
      </c>
      <c r="K30" s="411"/>
      <c r="L30" s="413">
        <f>L19+L28</f>
        <v>1226141.3000000061</v>
      </c>
      <c r="M30" s="411"/>
      <c r="N30" s="413">
        <f>N19+N28</f>
        <v>1653.0983955000061</v>
      </c>
      <c r="O30" s="411"/>
      <c r="P30" s="413">
        <f>P19+P28</f>
        <v>154753.45548750006</v>
      </c>
      <c r="Q30" s="411"/>
      <c r="R30" s="413">
        <f>R19+R28</f>
        <v>61682587.520000011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'202003 Bk Depr'!R33</f>
        <v>1927915.84</v>
      </c>
      <c r="J33" s="278"/>
      <c r="L33" s="279">
        <f>'Cap&amp;OpEx 2020'!F31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'202003 Bk Depr'!R34</f>
        <v>0</v>
      </c>
      <c r="G34" s="389"/>
      <c r="H34" s="390"/>
      <c r="I34" s="389"/>
      <c r="J34" s="326"/>
      <c r="K34" s="389"/>
      <c r="L34" s="393">
        <f>'Cap&amp;OpEx 2020'!F32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'202003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'202003 Bk Depr'!R36</f>
        <v>6319240.0899999999</v>
      </c>
      <c r="J36" s="278"/>
      <c r="L36" s="415">
        <f>'Cap&amp;OpEx 2020'!F33</f>
        <v>111533.73</v>
      </c>
      <c r="N36" s="278"/>
      <c r="P36" s="278"/>
      <c r="R36" s="417">
        <f t="shared" si="11"/>
        <v>6430773.8200000003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'202003 Bk Depr'!R37</f>
        <v>160988.60999999999</v>
      </c>
      <c r="G37" s="397"/>
      <c r="I37" s="397"/>
      <c r="J37" s="274"/>
      <c r="K37" s="397"/>
      <c r="L37" s="415">
        <f>'Cap&amp;OpEx 2020'!F34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'202003 Bk Depr'!R38</f>
        <v>1246147.17</v>
      </c>
      <c r="G38" s="389"/>
      <c r="H38" s="390"/>
      <c r="I38" s="389"/>
      <c r="J38" s="326"/>
      <c r="K38" s="389"/>
      <c r="L38" s="416">
        <f>'Cap&amp;OpEx 2020'!F35</f>
        <v>554849.76</v>
      </c>
      <c r="M38" s="389"/>
      <c r="N38" s="326"/>
      <c r="O38" s="389"/>
      <c r="P38" s="326"/>
      <c r="Q38" s="389"/>
      <c r="R38" s="417">
        <f t="shared" si="11"/>
        <v>1800996.93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9654291.709999999</v>
      </c>
      <c r="G39" s="389"/>
      <c r="H39" s="390"/>
      <c r="I39" s="389"/>
      <c r="J39" s="401">
        <f>SUM(J33:J38)</f>
        <v>0</v>
      </c>
      <c r="K39" s="389"/>
      <c r="L39" s="401">
        <f>SUM(L33:L38)</f>
        <v>666383.49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10320675.199999999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8 of 18&amp;L&amp;1#&amp;"Calibri"&amp;14&amp;K000000Business Use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65CB-B7C2-4FE3-8513-6CD04C997CA6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85</v>
      </c>
      <c r="G6" s="12"/>
      <c r="H6" s="12"/>
      <c r="I6" s="12"/>
      <c r="J6" s="12" t="s">
        <v>85</v>
      </c>
      <c r="K6" s="12"/>
      <c r="L6" s="12" t="s">
        <v>85</v>
      </c>
      <c r="M6" s="12"/>
      <c r="N6" s="12"/>
      <c r="O6" s="12"/>
      <c r="P6" s="12"/>
      <c r="Q6" s="12"/>
      <c r="R6" s="12" t="s">
        <v>85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'202004 Bk Depr'!R13</f>
        <v>7505315.6499999994</v>
      </c>
      <c r="H13" s="1">
        <f>1.62%/12</f>
        <v>1.3500000000000003E-3</v>
      </c>
      <c r="J13" s="278">
        <f t="shared" ref="J13:J18" si="0">F13*H13</f>
        <v>10132.176127500001</v>
      </c>
      <c r="L13" s="279">
        <f>'Cap&amp;OpEx 2020'!G10</f>
        <v>-43802.060000002384</v>
      </c>
      <c r="N13" s="278">
        <f t="shared" ref="N13:N18" si="1">H13*L13*0.5</f>
        <v>-29.566390500001617</v>
      </c>
      <c r="P13" s="278">
        <f t="shared" ref="P13:P18" si="2">J13+N13</f>
        <v>10102.609736999999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9">
        <f>'202004 Bk Depr'!R15</f>
        <v>3152.8100000000595</v>
      </c>
      <c r="H15" s="1">
        <f>1.62%/12</f>
        <v>1.3500000000000003E-3</v>
      </c>
      <c r="J15" s="278">
        <f t="shared" si="0"/>
        <v>4.2562935000000817</v>
      </c>
      <c r="L15" s="279">
        <f>'2020 Capital Budget'!J29</f>
        <v>665.01999999989857</v>
      </c>
      <c r="N15" s="278">
        <f t="shared" si="1"/>
        <v>0.44888849999993163</v>
      </c>
      <c r="P15" s="278">
        <f t="shared" si="2"/>
        <v>4.7051820000000131</v>
      </c>
      <c r="R15" s="278">
        <f t="shared" si="3"/>
        <v>3817.8299999999581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'202004 Bk Depr'!R16</f>
        <v>9188457.7800000031</v>
      </c>
      <c r="H16" s="1">
        <f t="shared" ref="H16:H18" si="5">3.24%/12</f>
        <v>2.7000000000000006E-3</v>
      </c>
      <c r="J16" s="278">
        <f t="shared" si="0"/>
        <v>24808.836006000012</v>
      </c>
      <c r="L16" s="279">
        <f>'Cap&amp;OpEx 2020'!G12-L15-'2020 Capital Budget'!J86</f>
        <v>261504.31999999986</v>
      </c>
      <c r="N16" s="278">
        <f t="shared" si="1"/>
        <v>353.03083199999986</v>
      </c>
      <c r="P16" s="278">
        <f t="shared" si="2"/>
        <v>25161.866838000013</v>
      </c>
      <c r="R16" s="278">
        <f t="shared" si="3"/>
        <v>9449962.1000000034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'202004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2020'!G13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'202004 Bk Depr'!R18</f>
        <v>37768281.040000007</v>
      </c>
      <c r="H18" s="1">
        <f t="shared" si="5"/>
        <v>2.7000000000000006E-3</v>
      </c>
      <c r="J18" s="278">
        <f t="shared" si="0"/>
        <v>101974.35880800003</v>
      </c>
      <c r="L18" s="280">
        <f>'Cap&amp;OpEx 2020'!G14-'2020 Capital Budget'!J89</f>
        <v>1121786.1099999961</v>
      </c>
      <c r="N18" s="278">
        <f t="shared" si="1"/>
        <v>1514.4112484999951</v>
      </c>
      <c r="P18" s="278">
        <f t="shared" si="2"/>
        <v>103488.77005650003</v>
      </c>
      <c r="R18" s="278">
        <f t="shared" si="3"/>
        <v>38890067.150000006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61682587.520000011</v>
      </c>
      <c r="J19" s="276">
        <f>SUM(J13:J18)</f>
        <v>156406.55388300004</v>
      </c>
      <c r="L19" s="276">
        <f>SUM(L13:L18)</f>
        <v>1340153.3899999936</v>
      </c>
      <c r="N19" s="276">
        <f>SUM(N13:N18)</f>
        <v>1838.3245784999931</v>
      </c>
      <c r="P19" s="276">
        <f>SUM(P13:P18)</f>
        <v>158244.87846150005</v>
      </c>
      <c r="R19" s="276">
        <f>SUM(R13:R18)</f>
        <v>63022740.910000011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'202004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2020'!G17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'202004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2020'!G18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'202004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'202004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2020'!G19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'202004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2020'!G20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'202004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2020'!G21</f>
        <v>0</v>
      </c>
      <c r="M27" s="389"/>
      <c r="N27" s="487">
        <f t="shared" si="10"/>
        <v>0</v>
      </c>
      <c r="O27" s="389"/>
      <c r="P27" s="326">
        <f t="shared" si="7"/>
        <v>0</v>
      </c>
      <c r="Q27" s="389"/>
      <c r="R27" s="32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61682587.520000011</v>
      </c>
      <c r="G30" s="411"/>
      <c r="I30" s="411"/>
      <c r="J30" s="413">
        <f>J19+J28</f>
        <v>156406.55388300004</v>
      </c>
      <c r="K30" s="411"/>
      <c r="L30" s="413">
        <f>L19+L28</f>
        <v>1340153.3899999936</v>
      </c>
      <c r="M30" s="411"/>
      <c r="N30" s="413">
        <f>N19+N28</f>
        <v>1838.3245784999931</v>
      </c>
      <c r="O30" s="411"/>
      <c r="P30" s="413">
        <f>P19+P28</f>
        <v>158244.87846150005</v>
      </c>
      <c r="Q30" s="411"/>
      <c r="R30" s="413">
        <f>R19+R28</f>
        <v>63022740.910000011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'202004 Bk Depr'!R33</f>
        <v>1927915.84</v>
      </c>
      <c r="J33" s="278"/>
      <c r="L33" s="279">
        <f>'Cap&amp;OpEx 2020'!G31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'202004 Bk Depr'!R34</f>
        <v>0</v>
      </c>
      <c r="G34" s="389"/>
      <c r="H34" s="390"/>
      <c r="I34" s="389"/>
      <c r="J34" s="326"/>
      <c r="K34" s="389"/>
      <c r="L34" s="393">
        <f>'Cap&amp;OpEx 2020'!G32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'202004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'202004 Bk Depr'!R36</f>
        <v>6430773.8200000003</v>
      </c>
      <c r="J36" s="278"/>
      <c r="L36" s="415">
        <f>'Cap&amp;OpEx 2020'!G33</f>
        <v>112107.56</v>
      </c>
      <c r="N36" s="278"/>
      <c r="P36" s="278"/>
      <c r="R36" s="417">
        <f t="shared" si="11"/>
        <v>6542881.3799999999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'202004 Bk Depr'!R37</f>
        <v>160988.60999999999</v>
      </c>
      <c r="G37" s="397"/>
      <c r="I37" s="397"/>
      <c r="J37" s="274"/>
      <c r="K37" s="397"/>
      <c r="L37" s="415">
        <f>'Cap&amp;OpEx 2020'!G34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'202004 Bk Depr'!R38</f>
        <v>1800996.93</v>
      </c>
      <c r="G38" s="389"/>
      <c r="H38" s="390"/>
      <c r="I38" s="389"/>
      <c r="J38" s="326"/>
      <c r="K38" s="389"/>
      <c r="L38" s="416">
        <f>'Cap&amp;OpEx 2020'!G35</f>
        <v>416993.88</v>
      </c>
      <c r="M38" s="389"/>
      <c r="N38" s="326"/>
      <c r="O38" s="389"/>
      <c r="P38" s="326"/>
      <c r="Q38" s="389"/>
      <c r="R38" s="417">
        <f t="shared" si="11"/>
        <v>2217990.81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10320675.199999999</v>
      </c>
      <c r="G39" s="389"/>
      <c r="H39" s="390"/>
      <c r="I39" s="389"/>
      <c r="J39" s="401">
        <f>SUM(J33:J38)</f>
        <v>0</v>
      </c>
      <c r="K39" s="389"/>
      <c r="L39" s="401">
        <f>SUM(L33:L38)</f>
        <v>529101.43999999994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10849776.640000001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9 of 18&amp;L&amp;1#&amp;"Calibri"&amp;14&amp;K000000Business Use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2556-0541-4115-B584-77A36689AB93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499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161</v>
      </c>
      <c r="I7" s="12"/>
      <c r="J7" s="12" t="s">
        <v>11</v>
      </c>
      <c r="K7" s="12"/>
      <c r="L7" s="12" t="s">
        <v>20</v>
      </c>
      <c r="M7" s="12"/>
      <c r="N7" s="12" t="s">
        <v>93</v>
      </c>
      <c r="O7" s="12"/>
      <c r="P7" s="12" t="s">
        <v>93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94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413</v>
      </c>
      <c r="D13" s="6">
        <v>376</v>
      </c>
      <c r="F13" s="274">
        <f>'202005 Bk Depr'!R13</f>
        <v>7461513.5899999971</v>
      </c>
      <c r="H13" s="1">
        <f>1.62%/12</f>
        <v>1.3500000000000003E-3</v>
      </c>
      <c r="J13" s="278">
        <f t="shared" ref="J13:J18" si="0">F13*H13</f>
        <v>10073.043346499999</v>
      </c>
      <c r="L13" s="279">
        <f>'Cap&amp;OpEx 2020'!H10</f>
        <v>0</v>
      </c>
      <c r="N13" s="278">
        <f t="shared" ref="N13:N18" si="1">H13*L13*0.5</f>
        <v>0</v>
      </c>
      <c r="P13" s="278">
        <f t="shared" ref="P13:P18" si="2">J13+N13</f>
        <v>10073.043346499999</v>
      </c>
      <c r="R13" s="27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535</v>
      </c>
      <c r="D14" s="6">
        <v>367</v>
      </c>
      <c r="F14" s="274">
        <f>'202005 Bk Depr'!R14</f>
        <v>0</v>
      </c>
      <c r="H14" s="1">
        <f>2.05%/12</f>
        <v>1.7083333333333332E-3</v>
      </c>
      <c r="J14" s="278">
        <f t="shared" si="0"/>
        <v>0</v>
      </c>
      <c r="L14" s="279">
        <v>0</v>
      </c>
      <c r="N14" s="278">
        <f t="shared" si="1"/>
        <v>0</v>
      </c>
      <c r="P14" s="278">
        <f t="shared" si="2"/>
        <v>0</v>
      </c>
      <c r="R14" s="27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274">
        <f>'202005 Bk Depr'!R15</f>
        <v>3817.8299999999581</v>
      </c>
      <c r="H15" s="1">
        <f>1.62%/12</f>
        <v>1.3500000000000003E-3</v>
      </c>
      <c r="J15" s="278">
        <f t="shared" si="0"/>
        <v>5.1540704999999445</v>
      </c>
      <c r="L15" s="279">
        <f>'2020 Capital Budget'!K29</f>
        <v>768.96999999997206</v>
      </c>
      <c r="N15" s="278">
        <f t="shared" si="1"/>
        <v>0.51905474999998125</v>
      </c>
      <c r="P15" s="278">
        <f t="shared" si="2"/>
        <v>5.6731252499999254</v>
      </c>
      <c r="R15" s="278">
        <f t="shared" si="3"/>
        <v>4586.7999999999302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274">
        <f>'202005 Bk Depr'!R16</f>
        <v>9449962.1000000034</v>
      </c>
      <c r="H16" s="1">
        <f t="shared" ref="H16:H18" si="5">3.24%/12</f>
        <v>2.7000000000000006E-3</v>
      </c>
      <c r="J16" s="278">
        <f t="shared" si="0"/>
        <v>25514.897670000013</v>
      </c>
      <c r="L16" s="279">
        <f>'Cap&amp;OpEx 2020'!H12-L15-'2020 Capital Budget'!K86</f>
        <v>159615.02999999933</v>
      </c>
      <c r="N16" s="278">
        <f t="shared" si="1"/>
        <v>215.48029049999914</v>
      </c>
      <c r="P16" s="278">
        <f t="shared" si="2"/>
        <v>25730.377960500013</v>
      </c>
      <c r="R16" s="278">
        <f t="shared" si="3"/>
        <v>9609577.1300000027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274">
        <f>'202005 Bk Depr'!R17</f>
        <v>7217380.2400000012</v>
      </c>
      <c r="H17" s="1">
        <f t="shared" si="5"/>
        <v>2.7000000000000006E-3</v>
      </c>
      <c r="J17" s="278">
        <f t="shared" si="0"/>
        <v>19486.926648000008</v>
      </c>
      <c r="L17" s="279">
        <f>'Cap&amp;OpEx 2020'!H13</f>
        <v>0</v>
      </c>
      <c r="N17" s="278">
        <f t="shared" si="1"/>
        <v>0</v>
      </c>
      <c r="P17" s="278">
        <f t="shared" si="2"/>
        <v>19486.926648000008</v>
      </c>
      <c r="R17" s="278">
        <f t="shared" si="3"/>
        <v>7217380.2400000012</v>
      </c>
    </row>
    <row r="18" spans="1:18">
      <c r="A18" s="6">
        <f t="shared" si="4"/>
        <v>6</v>
      </c>
      <c r="B18" s="4"/>
      <c r="C18" s="4" t="s">
        <v>160</v>
      </c>
      <c r="D18" s="6">
        <v>380</v>
      </c>
      <c r="F18" s="275">
        <f>'202005 Bk Depr'!R18</f>
        <v>38890067.150000006</v>
      </c>
      <c r="H18" s="1">
        <f t="shared" si="5"/>
        <v>2.7000000000000006E-3</v>
      </c>
      <c r="J18" s="278">
        <f t="shared" si="0"/>
        <v>105003.18130500003</v>
      </c>
      <c r="L18" s="280">
        <f>'Cap&amp;OpEx 2020'!H14-'2020 Capital Budget'!K89</f>
        <v>1350902.6600000015</v>
      </c>
      <c r="N18" s="278">
        <f t="shared" si="1"/>
        <v>1823.7185910000026</v>
      </c>
      <c r="P18" s="278">
        <f t="shared" si="2"/>
        <v>106826.89989600003</v>
      </c>
      <c r="R18" s="278">
        <f t="shared" si="3"/>
        <v>40240969.81000001</v>
      </c>
    </row>
    <row r="19" spans="1:18">
      <c r="A19" s="6">
        <f t="shared" si="4"/>
        <v>7</v>
      </c>
      <c r="B19" s="4"/>
      <c r="C19" s="4" t="s">
        <v>21</v>
      </c>
      <c r="F19" s="276">
        <f>SUM(F13:F18)</f>
        <v>63022740.910000011</v>
      </c>
      <c r="J19" s="276">
        <f>SUM(J13:J18)</f>
        <v>160083.20304000005</v>
      </c>
      <c r="L19" s="276">
        <f>SUM(L13:L18)</f>
        <v>1511286.6600000008</v>
      </c>
      <c r="N19" s="276">
        <f>SUM(N13:N18)</f>
        <v>2039.7179362500017</v>
      </c>
      <c r="P19" s="276">
        <f>SUM(P13:P18)</f>
        <v>162122.92097625005</v>
      </c>
      <c r="R19" s="276">
        <f>SUM(R13:R18)</f>
        <v>64534027.570000008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413</v>
      </c>
      <c r="D22" s="6">
        <v>376</v>
      </c>
      <c r="F22" s="274">
        <f>'202005 Bk Depr'!R22</f>
        <v>0</v>
      </c>
      <c r="H22" s="1">
        <f>1.62%/12</f>
        <v>1.3500000000000003E-3</v>
      </c>
      <c r="J22" s="278">
        <f t="shared" ref="J22:J27" si="6">F22*H22</f>
        <v>0</v>
      </c>
      <c r="L22" s="279">
        <f>'Cap&amp;OpEx 2020'!H17</f>
        <v>0</v>
      </c>
      <c r="N22" s="486">
        <f>H22*L22*0.5</f>
        <v>0</v>
      </c>
      <c r="P22" s="278">
        <f t="shared" ref="P22:P27" si="7">J22+N22</f>
        <v>0</v>
      </c>
      <c r="R22" s="278">
        <f t="shared" ref="R22:R27" si="8">L22+F22</f>
        <v>0</v>
      </c>
    </row>
    <row r="23" spans="1:18">
      <c r="A23" s="389">
        <f t="shared" ref="A23:A28" si="9">A22+1</f>
        <v>9</v>
      </c>
      <c r="B23" s="390"/>
      <c r="C23" s="390" t="s">
        <v>535</v>
      </c>
      <c r="D23" s="389">
        <v>367</v>
      </c>
      <c r="E23" s="389"/>
      <c r="F23" s="391">
        <f>'202005 Bk Depr'!R23</f>
        <v>0</v>
      </c>
      <c r="G23" s="389"/>
      <c r="H23" s="392">
        <f>2.05%/12</f>
        <v>1.7083333333333332E-3</v>
      </c>
      <c r="I23" s="389"/>
      <c r="J23" s="326">
        <f t="shared" si="6"/>
        <v>0</v>
      </c>
      <c r="K23" s="389"/>
      <c r="L23" s="393">
        <f>'Cap&amp;OpEx 2020'!H18</f>
        <v>0</v>
      </c>
      <c r="M23" s="389"/>
      <c r="N23" s="487">
        <f t="shared" ref="N23:N27" si="10">H23*L23*0.5</f>
        <v>0</v>
      </c>
      <c r="O23" s="389"/>
      <c r="P23" s="326">
        <f t="shared" si="7"/>
        <v>0</v>
      </c>
      <c r="Q23" s="389"/>
      <c r="R23" s="326">
        <f t="shared" si="8"/>
        <v>0</v>
      </c>
    </row>
    <row r="24" spans="1:18">
      <c r="A24" s="6">
        <f t="shared" si="9"/>
        <v>10</v>
      </c>
      <c r="B24" s="390"/>
      <c r="C24" s="9" t="s">
        <v>62</v>
      </c>
      <c r="D24" s="6">
        <v>376</v>
      </c>
      <c r="E24" s="389"/>
      <c r="F24" s="274">
        <f>'202005 Bk Depr'!R24</f>
        <v>0</v>
      </c>
      <c r="H24" s="1">
        <f>1.62%/12</f>
        <v>1.3500000000000003E-3</v>
      </c>
      <c r="J24" s="278">
        <f t="shared" si="6"/>
        <v>0</v>
      </c>
      <c r="L24" s="279">
        <v>0</v>
      </c>
      <c r="N24" s="486">
        <f t="shared" si="10"/>
        <v>0</v>
      </c>
      <c r="P24" s="278">
        <f t="shared" si="7"/>
        <v>0</v>
      </c>
      <c r="R24" s="27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274">
        <f>'202005 Bk Depr'!R25</f>
        <v>0</v>
      </c>
      <c r="H25" s="1">
        <f>3.24%/12</f>
        <v>2.7000000000000006E-3</v>
      </c>
      <c r="J25" s="278">
        <f t="shared" si="6"/>
        <v>0</v>
      </c>
      <c r="L25" s="279">
        <f>'Cap&amp;OpEx 2020'!H19</f>
        <v>0</v>
      </c>
      <c r="N25" s="486">
        <f t="shared" si="10"/>
        <v>0</v>
      </c>
      <c r="P25" s="278">
        <f t="shared" si="7"/>
        <v>0</v>
      </c>
      <c r="R25" s="278">
        <f t="shared" si="8"/>
        <v>0</v>
      </c>
    </row>
    <row r="26" spans="1:18" s="398" customFormat="1">
      <c r="A26" s="397">
        <f t="shared" si="9"/>
        <v>12</v>
      </c>
      <c r="C26" s="399" t="s">
        <v>63</v>
      </c>
      <c r="D26" s="397">
        <v>380</v>
      </c>
      <c r="E26" s="397"/>
      <c r="F26" s="274">
        <f>'202005 Bk Depr'!R26</f>
        <v>0</v>
      </c>
      <c r="G26" s="397"/>
      <c r="H26" s="400">
        <f>3.24%/12</f>
        <v>2.7000000000000006E-3</v>
      </c>
      <c r="I26" s="397"/>
      <c r="J26" s="274">
        <f t="shared" si="6"/>
        <v>0</v>
      </c>
      <c r="K26" s="397"/>
      <c r="L26" s="279">
        <f>'Cap&amp;OpEx 2020'!H20</f>
        <v>0</v>
      </c>
      <c r="M26" s="397"/>
      <c r="N26" s="486">
        <f t="shared" si="10"/>
        <v>0</v>
      </c>
      <c r="O26" s="397"/>
      <c r="P26" s="274">
        <f t="shared" si="7"/>
        <v>0</v>
      </c>
      <c r="Q26" s="397"/>
      <c r="R26" s="274">
        <f t="shared" si="8"/>
        <v>0</v>
      </c>
    </row>
    <row r="27" spans="1:18">
      <c r="A27" s="389">
        <f t="shared" si="9"/>
        <v>13</v>
      </c>
      <c r="B27" s="390"/>
      <c r="C27" s="394" t="s">
        <v>160</v>
      </c>
      <c r="D27" s="389">
        <v>380</v>
      </c>
      <c r="E27" s="389"/>
      <c r="F27" s="395">
        <f>'202005 Bk Depr'!R27</f>
        <v>0</v>
      </c>
      <c r="G27" s="389"/>
      <c r="H27" s="392">
        <f>3.24%/12</f>
        <v>2.7000000000000006E-3</v>
      </c>
      <c r="I27" s="389"/>
      <c r="J27" s="326">
        <f t="shared" si="6"/>
        <v>0</v>
      </c>
      <c r="K27" s="389"/>
      <c r="L27" s="396">
        <f>'Cap&amp;OpEx 2020'!H21</f>
        <v>0</v>
      </c>
      <c r="M27" s="389"/>
      <c r="N27" s="487">
        <f t="shared" si="10"/>
        <v>0</v>
      </c>
      <c r="O27" s="389"/>
      <c r="P27" s="326">
        <f t="shared" si="7"/>
        <v>0</v>
      </c>
      <c r="Q27" s="389"/>
      <c r="R27" s="32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276">
        <f>SUM(F22:F27)</f>
        <v>0</v>
      </c>
      <c r="J28" s="276">
        <f>SUM(J22:J27)</f>
        <v>0</v>
      </c>
      <c r="L28" s="276">
        <f>SUM(L22:L27)</f>
        <v>0</v>
      </c>
      <c r="N28" s="276">
        <f>SUM(N22:N27)</f>
        <v>0</v>
      </c>
      <c r="P28" s="276">
        <f>SUM(P22:P27)</f>
        <v>0</v>
      </c>
      <c r="R28" s="276">
        <f>SUM(R22:R27)</f>
        <v>0</v>
      </c>
    </row>
    <row r="29" spans="1:18">
      <c r="B29" s="4"/>
    </row>
    <row r="30" spans="1:18" s="414" customFormat="1" ht="16.5" thickBot="1">
      <c r="A30" s="411">
        <f>A28+1</f>
        <v>15</v>
      </c>
      <c r="B30" s="412" t="s">
        <v>18</v>
      </c>
      <c r="C30" s="412"/>
      <c r="D30" s="411"/>
      <c r="E30" s="411"/>
      <c r="F30" s="413">
        <f>F19+F28</f>
        <v>63022740.910000011</v>
      </c>
      <c r="G30" s="411"/>
      <c r="I30" s="411"/>
      <c r="J30" s="413">
        <f>J19+J28</f>
        <v>160083.20304000005</v>
      </c>
      <c r="K30" s="411"/>
      <c r="L30" s="413">
        <f>L19+L28</f>
        <v>1511286.6600000008</v>
      </c>
      <c r="M30" s="411"/>
      <c r="N30" s="413">
        <f>N19+N28</f>
        <v>2039.7179362500017</v>
      </c>
      <c r="O30" s="411"/>
      <c r="P30" s="413">
        <f>P19+P28</f>
        <v>162122.92097625005</v>
      </c>
      <c r="Q30" s="411"/>
      <c r="R30" s="413">
        <f>R19+R28</f>
        <v>64534027.570000008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413</v>
      </c>
      <c r="D33" s="6">
        <v>376</v>
      </c>
      <c r="F33" s="274">
        <f>'202005 Bk Depr'!R33</f>
        <v>1927915.84</v>
      </c>
      <c r="J33" s="278"/>
      <c r="L33" s="279">
        <f>'Cap&amp;OpEx 2020'!H31</f>
        <v>0</v>
      </c>
      <c r="N33" s="278"/>
      <c r="P33" s="278"/>
      <c r="R33" s="278">
        <f t="shared" ref="R33:R38" si="11">L33+F33</f>
        <v>1927915.84</v>
      </c>
    </row>
    <row r="34" spans="1:18">
      <c r="A34" s="389">
        <f t="shared" ref="A34:A39" si="12">A33+1</f>
        <v>17</v>
      </c>
      <c r="B34" s="390"/>
      <c r="C34" s="390" t="s">
        <v>535</v>
      </c>
      <c r="D34" s="389">
        <v>367</v>
      </c>
      <c r="E34" s="389"/>
      <c r="F34" s="391">
        <f>'202005 Bk Depr'!R34</f>
        <v>0</v>
      </c>
      <c r="G34" s="389"/>
      <c r="H34" s="390"/>
      <c r="I34" s="389"/>
      <c r="J34" s="326"/>
      <c r="K34" s="389"/>
      <c r="L34" s="393">
        <f>'Cap&amp;OpEx 2020'!H32</f>
        <v>0</v>
      </c>
      <c r="M34" s="389"/>
      <c r="N34" s="326"/>
      <c r="O34" s="389"/>
      <c r="P34" s="326"/>
      <c r="Q34" s="389"/>
      <c r="R34" s="326">
        <f t="shared" si="11"/>
        <v>0</v>
      </c>
    </row>
    <row r="35" spans="1:18">
      <c r="A35" s="6">
        <f t="shared" si="12"/>
        <v>18</v>
      </c>
      <c r="B35" s="390"/>
      <c r="C35" s="9" t="s">
        <v>62</v>
      </c>
      <c r="D35" s="6">
        <v>376</v>
      </c>
      <c r="E35" s="389"/>
      <c r="F35" s="274">
        <f>'202005 Bk Depr'!R35</f>
        <v>0</v>
      </c>
      <c r="J35" s="278"/>
      <c r="L35" s="279">
        <v>0</v>
      </c>
      <c r="N35" s="278"/>
      <c r="P35" s="278"/>
      <c r="R35" s="27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19">
        <f>'202005 Bk Depr'!R36</f>
        <v>6542881.3799999999</v>
      </c>
      <c r="J36" s="278"/>
      <c r="L36" s="415">
        <f>'Cap&amp;OpEx 2020'!H33</f>
        <v>129396.25</v>
      </c>
      <c r="N36" s="278"/>
      <c r="P36" s="278"/>
      <c r="R36" s="417">
        <f t="shared" si="11"/>
        <v>6672277.6299999999</v>
      </c>
    </row>
    <row r="37" spans="1:18" s="398" customFormat="1">
      <c r="A37" s="397">
        <f t="shared" si="12"/>
        <v>20</v>
      </c>
      <c r="C37" s="399" t="s">
        <v>63</v>
      </c>
      <c r="D37" s="397">
        <v>380</v>
      </c>
      <c r="E37" s="397"/>
      <c r="F37" s="419">
        <f>'202005 Bk Depr'!R37</f>
        <v>160988.60999999999</v>
      </c>
      <c r="G37" s="397"/>
      <c r="I37" s="397"/>
      <c r="J37" s="274"/>
      <c r="K37" s="397"/>
      <c r="L37" s="415">
        <f>'Cap&amp;OpEx 2020'!H34</f>
        <v>0</v>
      </c>
      <c r="M37" s="397"/>
      <c r="N37" s="274"/>
      <c r="O37" s="397"/>
      <c r="P37" s="274"/>
      <c r="Q37" s="397"/>
      <c r="R37" s="419">
        <f t="shared" si="11"/>
        <v>160988.60999999999</v>
      </c>
    </row>
    <row r="38" spans="1:18">
      <c r="A38" s="389">
        <f t="shared" si="12"/>
        <v>21</v>
      </c>
      <c r="B38" s="390"/>
      <c r="C38" s="394" t="s">
        <v>160</v>
      </c>
      <c r="D38" s="389">
        <v>380</v>
      </c>
      <c r="E38" s="389"/>
      <c r="F38" s="420">
        <f>'202005 Bk Depr'!R38</f>
        <v>2217990.81</v>
      </c>
      <c r="G38" s="389"/>
      <c r="H38" s="390"/>
      <c r="I38" s="389"/>
      <c r="J38" s="326"/>
      <c r="K38" s="389"/>
      <c r="L38" s="416">
        <f>'Cap&amp;OpEx 2020'!H35</f>
        <v>244742.98</v>
      </c>
      <c r="M38" s="389"/>
      <c r="N38" s="326"/>
      <c r="O38" s="389"/>
      <c r="P38" s="326"/>
      <c r="Q38" s="389"/>
      <c r="R38" s="417">
        <f t="shared" si="11"/>
        <v>2462733.79</v>
      </c>
    </row>
    <row r="39" spans="1:18">
      <c r="A39" s="6">
        <f t="shared" si="12"/>
        <v>22</v>
      </c>
      <c r="B39" s="4"/>
      <c r="C39" s="4" t="s">
        <v>23</v>
      </c>
      <c r="F39" s="401">
        <f>SUM(F33:F38)</f>
        <v>10849776.640000001</v>
      </c>
      <c r="G39" s="389"/>
      <c r="H39" s="390"/>
      <c r="I39" s="389"/>
      <c r="J39" s="401">
        <f>SUM(J33:J38)</f>
        <v>0</v>
      </c>
      <c r="K39" s="389"/>
      <c r="L39" s="401">
        <f>SUM(L33:L38)</f>
        <v>374139.23</v>
      </c>
      <c r="M39" s="389"/>
      <c r="N39" s="401">
        <f>SUM(N33:N38)</f>
        <v>0</v>
      </c>
      <c r="O39" s="389"/>
      <c r="P39" s="401">
        <f>SUM(P33:P38)</f>
        <v>0</v>
      </c>
      <c r="Q39" s="389"/>
      <c r="R39" s="401">
        <f>SUM(R33:R38)</f>
        <v>11223915.870000001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10 of 18&amp;L&amp;1#&amp;"Calibri"&amp;14&amp;K000000Business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157</vt:i4>
      </vt:variant>
      <vt:variant>
        <vt:lpstr>Named Ranges</vt:lpstr>
      </vt:variant>
      <vt:variant>
        <vt:i4>80</vt:i4>
      </vt:variant>
    </vt:vector>
  </HeadingPairs>
  <TitlesOfParts>
    <vt:vector size="237" baseType="lpstr">
      <vt:lpstr>Project Overview</vt:lpstr>
      <vt:lpstr>Exhibit 1</vt:lpstr>
      <vt:lpstr>Exhibit 2</vt:lpstr>
      <vt:lpstr>Class Allocation</vt:lpstr>
      <vt:lpstr>Exhibit 3</vt:lpstr>
      <vt:lpstr>OU Collection</vt:lpstr>
      <vt:lpstr>RevReq</vt:lpstr>
      <vt:lpstr>Net Assets</vt:lpstr>
      <vt:lpstr>OpEx</vt:lpstr>
      <vt:lpstr>Exhibit 4</vt:lpstr>
      <vt:lpstr>2024 Filing &gt;&gt;</vt:lpstr>
      <vt:lpstr>Rev Req 2024-Distr</vt:lpstr>
      <vt:lpstr>ROR 2024</vt:lpstr>
      <vt:lpstr>Cap&amp;OpEx 2024</vt:lpstr>
      <vt:lpstr>Depreciation 2024</vt:lpstr>
      <vt:lpstr>Tax Depr 2024</vt:lpstr>
      <vt:lpstr>2024 Capital Budget</vt:lpstr>
      <vt:lpstr>COS Budget 2024</vt:lpstr>
      <vt:lpstr>Retirements 2024</vt:lpstr>
      <vt:lpstr>Day 4 Report -Dec 2023</vt:lpstr>
      <vt:lpstr>2023 Filing &gt;&gt;</vt:lpstr>
      <vt:lpstr>Rev Req 2023-Distr</vt:lpstr>
      <vt:lpstr>Cap&amp;OpEx 2023</vt:lpstr>
      <vt:lpstr>2023 Capital Budget</vt:lpstr>
      <vt:lpstr>COS Budget 2023</vt:lpstr>
      <vt:lpstr>Tax Depr 2023</vt:lpstr>
      <vt:lpstr>Base Rate Retirements 2023</vt:lpstr>
      <vt:lpstr>202301 Bk Depr</vt:lpstr>
      <vt:lpstr>202302 Bk Depr</vt:lpstr>
      <vt:lpstr>202303 Bk Depr</vt:lpstr>
      <vt:lpstr>202304 Bk Depr</vt:lpstr>
      <vt:lpstr>202305 Bk Depr</vt:lpstr>
      <vt:lpstr>202306 Bk Depr</vt:lpstr>
      <vt:lpstr>202307 Bk Depr</vt:lpstr>
      <vt:lpstr>202308 Bk Depr</vt:lpstr>
      <vt:lpstr>202309 Bk Depr</vt:lpstr>
      <vt:lpstr>202310 Bk Depr</vt:lpstr>
      <vt:lpstr>202311 Bk Depr</vt:lpstr>
      <vt:lpstr>202312 Bk Depr</vt:lpstr>
      <vt:lpstr>Day 4 Report -Dec 2022</vt:lpstr>
      <vt:lpstr>ROR 2023</vt:lpstr>
      <vt:lpstr>2022 XM OU</vt:lpstr>
      <vt:lpstr>2022 Filing &gt;&gt;</vt:lpstr>
      <vt:lpstr>Rev Req 2022-Distr</vt:lpstr>
      <vt:lpstr>Cap&amp;OpEx 2022</vt:lpstr>
      <vt:lpstr>Tax Depr 2022 - Dist</vt:lpstr>
      <vt:lpstr>2022 Capital Budget</vt:lpstr>
      <vt:lpstr>COS Budget 2022</vt:lpstr>
      <vt:lpstr>202201 Bk Depr</vt:lpstr>
      <vt:lpstr>202202 Bk Depr</vt:lpstr>
      <vt:lpstr>202203 Bk Depr</vt:lpstr>
      <vt:lpstr>202204 Bk Depr</vt:lpstr>
      <vt:lpstr>202205 Bk Depr</vt:lpstr>
      <vt:lpstr>202206 Bk Depr</vt:lpstr>
      <vt:lpstr>202207 Bk Depr</vt:lpstr>
      <vt:lpstr>202208 Bk Depr</vt:lpstr>
      <vt:lpstr>202209 Bk Depr</vt:lpstr>
      <vt:lpstr>202210 Bk Depr</vt:lpstr>
      <vt:lpstr>202211 Bk Depr</vt:lpstr>
      <vt:lpstr>202212 Bk Depr</vt:lpstr>
      <vt:lpstr>ROR 2022</vt:lpstr>
      <vt:lpstr>Base Rate Retirements 2022</vt:lpstr>
      <vt:lpstr>Day 4 Report -Dec 2021</vt:lpstr>
      <vt:lpstr>2021 Filing &gt;&gt;</vt:lpstr>
      <vt:lpstr>Rev Req 2021-Distr</vt:lpstr>
      <vt:lpstr>Rev Req 2021-Trans</vt:lpstr>
      <vt:lpstr>Cap&amp;OpEx 2021</vt:lpstr>
      <vt:lpstr>202101 Bk Depr</vt:lpstr>
      <vt:lpstr>202102 Bk Depr</vt:lpstr>
      <vt:lpstr>202103 Bk Depr</vt:lpstr>
      <vt:lpstr>202104 Bk Depr</vt:lpstr>
      <vt:lpstr>202105 Bk Depr</vt:lpstr>
      <vt:lpstr>202106 Bk Depr</vt:lpstr>
      <vt:lpstr>202107 Bk Depr</vt:lpstr>
      <vt:lpstr>202108 Bk Depr</vt:lpstr>
      <vt:lpstr>202109 Bk Depr</vt:lpstr>
      <vt:lpstr>202110 Bk Depr</vt:lpstr>
      <vt:lpstr>202111 Bk Depr</vt:lpstr>
      <vt:lpstr>202112 Bk Depr</vt:lpstr>
      <vt:lpstr>Tax Depr 2021-Dist</vt:lpstr>
      <vt:lpstr>Tax Depr 2021-Trans</vt:lpstr>
      <vt:lpstr>2021 Capital Budget</vt:lpstr>
      <vt:lpstr>COS Budget 2021</vt:lpstr>
      <vt:lpstr>Base Rate Retirements 2021</vt:lpstr>
      <vt:lpstr>Day 4 Report Dec 2020</vt:lpstr>
      <vt:lpstr>ROR Eff 07.2021</vt:lpstr>
      <vt:lpstr>ROR 2021</vt:lpstr>
      <vt:lpstr>2020 Support &gt;&gt;</vt:lpstr>
      <vt:lpstr>Rev Req 2020-Distr</vt:lpstr>
      <vt:lpstr>Rev Req 2020-Trans</vt:lpstr>
      <vt:lpstr>ROR 2020</vt:lpstr>
      <vt:lpstr>Cap&amp;OpEx 2020</vt:lpstr>
      <vt:lpstr>202001 Bk Depr</vt:lpstr>
      <vt:lpstr>202002 Bk Depr</vt:lpstr>
      <vt:lpstr>202003 Bk Depr</vt:lpstr>
      <vt:lpstr>202004 Bk Depr</vt:lpstr>
      <vt:lpstr>202005 Bk Depr</vt:lpstr>
      <vt:lpstr>202006 Bk Depr</vt:lpstr>
      <vt:lpstr>202007 Bk Depr</vt:lpstr>
      <vt:lpstr>202008 Bk Depr</vt:lpstr>
      <vt:lpstr>202009 Bk Depr</vt:lpstr>
      <vt:lpstr>202010 Bk Depr</vt:lpstr>
      <vt:lpstr>202011 Bk Depr</vt:lpstr>
      <vt:lpstr>202012 Bk Depr</vt:lpstr>
      <vt:lpstr>Tax Depr 2020-Dist</vt:lpstr>
      <vt:lpstr>Tax Depr 2020-Trans</vt:lpstr>
      <vt:lpstr>2020 Capital Budget</vt:lpstr>
      <vt:lpstr>COS Budget 2020</vt:lpstr>
      <vt:lpstr>Base Rate Retirements 2020</vt:lpstr>
      <vt:lpstr>2019 Support &gt;&gt;</vt:lpstr>
      <vt:lpstr>Rev Req 2019-Distr</vt:lpstr>
      <vt:lpstr>Rev Req 2019-Trans</vt:lpstr>
      <vt:lpstr>Cap&amp;OpEx 2019</vt:lpstr>
      <vt:lpstr>201901 Bk Depr</vt:lpstr>
      <vt:lpstr>201902 Bk Depr</vt:lpstr>
      <vt:lpstr>201903 Bk Depr</vt:lpstr>
      <vt:lpstr>201904 Bk Depr</vt:lpstr>
      <vt:lpstr>201905 Bk Depr</vt:lpstr>
      <vt:lpstr>201906 Bk Depr</vt:lpstr>
      <vt:lpstr>201907 Bk Depr</vt:lpstr>
      <vt:lpstr>201908 Bk Depr</vt:lpstr>
      <vt:lpstr>201909 Bk Depr</vt:lpstr>
      <vt:lpstr>201910 Bk Depr</vt:lpstr>
      <vt:lpstr>201911 Bk Depr</vt:lpstr>
      <vt:lpstr>201912 Bk Depr</vt:lpstr>
      <vt:lpstr>Tax Depr 2019</vt:lpstr>
      <vt:lpstr>2019 Capital Budget</vt:lpstr>
      <vt:lpstr>2018 Support &gt;&gt;</vt:lpstr>
      <vt:lpstr>Rev Req 2018-Distr</vt:lpstr>
      <vt:lpstr>Rev Req 2018-Trans</vt:lpstr>
      <vt:lpstr>Cap&amp;OpEx 2018</vt:lpstr>
      <vt:lpstr>201801 Bk Depr</vt:lpstr>
      <vt:lpstr>201802 Bk Depr</vt:lpstr>
      <vt:lpstr>201803 Bk Depr</vt:lpstr>
      <vt:lpstr>201804 Bk Depr</vt:lpstr>
      <vt:lpstr>201805 Bk Depr</vt:lpstr>
      <vt:lpstr>201806 Bk Depr</vt:lpstr>
      <vt:lpstr>201807 Bk Depr</vt:lpstr>
      <vt:lpstr>201808 Bk Depr</vt:lpstr>
      <vt:lpstr>201809 Bk Depr</vt:lpstr>
      <vt:lpstr>201810 Bk Depr</vt:lpstr>
      <vt:lpstr>201811 Bk Depr</vt:lpstr>
      <vt:lpstr>201812 Bk Depr</vt:lpstr>
      <vt:lpstr>Tax Depr 2018</vt:lpstr>
      <vt:lpstr>2018 Capital Budget</vt:lpstr>
      <vt:lpstr>2017 Support &gt;&gt;</vt:lpstr>
      <vt:lpstr>Rev Req 2017-Distr</vt:lpstr>
      <vt:lpstr>Rev Req 2017-Trans</vt:lpstr>
      <vt:lpstr>Cap&amp;OpEx 2017</vt:lpstr>
      <vt:lpstr>201707 Bk Depr</vt:lpstr>
      <vt:lpstr>201708 Bk Depr</vt:lpstr>
      <vt:lpstr>201709 Bk Depr</vt:lpstr>
      <vt:lpstr>201710 Bk Depr</vt:lpstr>
      <vt:lpstr>201711 Bk Depr</vt:lpstr>
      <vt:lpstr>201712 Bk Depr</vt:lpstr>
      <vt:lpstr>Tax Depr 2017</vt:lpstr>
      <vt:lpstr>Capital Budget 2017</vt:lpstr>
      <vt:lpstr>'202001 Bk Depr'!Print_Area</vt:lpstr>
      <vt:lpstr>'202101 Bk Depr'!Print_Area</vt:lpstr>
      <vt:lpstr>'202102 Bk Depr'!Print_Area</vt:lpstr>
      <vt:lpstr>'202103 Bk Depr'!Print_Area</vt:lpstr>
      <vt:lpstr>'202104 Bk Depr'!Print_Area</vt:lpstr>
      <vt:lpstr>'202105 Bk Depr'!Print_Area</vt:lpstr>
      <vt:lpstr>'202106 Bk Depr'!Print_Area</vt:lpstr>
      <vt:lpstr>'202107 Bk Depr'!Print_Area</vt:lpstr>
      <vt:lpstr>'202108 Bk Depr'!Print_Area</vt:lpstr>
      <vt:lpstr>'202109 Bk Depr'!Print_Area</vt:lpstr>
      <vt:lpstr>'202110 Bk Depr'!Print_Area</vt:lpstr>
      <vt:lpstr>'202111 Bk Depr'!Print_Area</vt:lpstr>
      <vt:lpstr>'202112 Bk Depr'!Print_Area</vt:lpstr>
      <vt:lpstr>'2022 XM OU'!Print_Area</vt:lpstr>
      <vt:lpstr>'202201 Bk Depr'!Print_Area</vt:lpstr>
      <vt:lpstr>'202202 Bk Depr'!Print_Area</vt:lpstr>
      <vt:lpstr>'202203 Bk Depr'!Print_Area</vt:lpstr>
      <vt:lpstr>'202204 Bk Depr'!Print_Area</vt:lpstr>
      <vt:lpstr>'202205 Bk Depr'!Print_Area</vt:lpstr>
      <vt:lpstr>'202206 Bk Depr'!Print_Area</vt:lpstr>
      <vt:lpstr>'202207 Bk Depr'!Print_Area</vt:lpstr>
      <vt:lpstr>'202208 Bk Depr'!Print_Area</vt:lpstr>
      <vt:lpstr>'202209 Bk Depr'!Print_Area</vt:lpstr>
      <vt:lpstr>'202210 Bk Depr'!Print_Area</vt:lpstr>
      <vt:lpstr>'202211 Bk Depr'!Print_Area</vt:lpstr>
      <vt:lpstr>'202212 Bk Depr'!Print_Area</vt:lpstr>
      <vt:lpstr>'202301 Bk Depr'!Print_Area</vt:lpstr>
      <vt:lpstr>'202302 Bk Depr'!Print_Area</vt:lpstr>
      <vt:lpstr>'202303 Bk Depr'!Print_Area</vt:lpstr>
      <vt:lpstr>'202304 Bk Depr'!Print_Area</vt:lpstr>
      <vt:lpstr>'202305 Bk Depr'!Print_Area</vt:lpstr>
      <vt:lpstr>'202306 Bk Depr'!Print_Area</vt:lpstr>
      <vt:lpstr>'202307 Bk Depr'!Print_Area</vt:lpstr>
      <vt:lpstr>'202308 Bk Depr'!Print_Area</vt:lpstr>
      <vt:lpstr>'202309 Bk Depr'!Print_Area</vt:lpstr>
      <vt:lpstr>'202310 Bk Depr'!Print_Area</vt:lpstr>
      <vt:lpstr>'202311 Bk Depr'!Print_Area</vt:lpstr>
      <vt:lpstr>'202312 Bk Depr'!Print_Area</vt:lpstr>
      <vt:lpstr>'Cap&amp;OpEx 2021'!Print_Area</vt:lpstr>
      <vt:lpstr>'Cap&amp;OpEx 2022'!Print_Area</vt:lpstr>
      <vt:lpstr>'Cap&amp;OpEx 2023'!Print_Area</vt:lpstr>
      <vt:lpstr>'Cap&amp;OpEx 2024'!Print_Area</vt:lpstr>
      <vt:lpstr>'Capital Budget 2017'!Print_Area</vt:lpstr>
      <vt:lpstr>'Class Allocation'!Print_Area</vt:lpstr>
      <vt:lpstr>'Depreciation 2024'!Print_Area</vt:lpstr>
      <vt:lpstr>'Exhibit 1'!Print_Area</vt:lpstr>
      <vt:lpstr>'Exhibit 2'!Print_Area</vt:lpstr>
      <vt:lpstr>'Exhibit 3'!Print_Area</vt:lpstr>
      <vt:lpstr>'Exhibit 4'!Print_Area</vt:lpstr>
      <vt:lpstr>'Net Assets'!Print_Area</vt:lpstr>
      <vt:lpstr>OpEx!Print_Area</vt:lpstr>
      <vt:lpstr>'OU Collection'!Print_Area</vt:lpstr>
      <vt:lpstr>'Rev Req 2017-Distr'!Print_Area</vt:lpstr>
      <vt:lpstr>'Rev Req 2017-Trans'!Print_Area</vt:lpstr>
      <vt:lpstr>'Rev Req 2018-Distr'!Print_Area</vt:lpstr>
      <vt:lpstr>'Rev Req 2018-Trans'!Print_Area</vt:lpstr>
      <vt:lpstr>'Rev Req 2019-Distr'!Print_Area</vt:lpstr>
      <vt:lpstr>'Rev Req 2019-Trans'!Print_Area</vt:lpstr>
      <vt:lpstr>'Rev Req 2020-Distr'!Print_Area</vt:lpstr>
      <vt:lpstr>'Rev Req 2020-Trans'!Print_Area</vt:lpstr>
      <vt:lpstr>'Rev Req 2021-Distr'!Print_Area</vt:lpstr>
      <vt:lpstr>'Rev Req 2021-Trans'!Print_Area</vt:lpstr>
      <vt:lpstr>'Rev Req 2022-Distr'!Print_Area</vt:lpstr>
      <vt:lpstr>'Rev Req 2023-Distr'!Print_Area</vt:lpstr>
      <vt:lpstr>'Rev Req 2024-Distr'!Print_Area</vt:lpstr>
      <vt:lpstr>RevReq!Print_Area</vt:lpstr>
      <vt:lpstr>'Tax Depr 2018'!Print_Area</vt:lpstr>
      <vt:lpstr>'Tax Depr 2019'!Print_Area</vt:lpstr>
      <vt:lpstr>'Tax Depr 2020-Dist'!Print_Area</vt:lpstr>
      <vt:lpstr>'Tax Depr 2020-Trans'!Print_Area</vt:lpstr>
      <vt:lpstr>'Tax Depr 2021-Dist'!Print_Area</vt:lpstr>
      <vt:lpstr>'Tax Depr 2021-Trans'!Print_Area</vt:lpstr>
      <vt:lpstr>'Tax Depr 2022 - Dist'!Print_Area</vt:lpstr>
      <vt:lpstr>'Tax Depr 2023'!Print_Area</vt:lpstr>
      <vt:lpstr>'Tax Depr 2024'!Print_Area</vt:lpstr>
      <vt:lpstr>'Class Allocation'!Print_Titles</vt:lpstr>
      <vt:lpstr>'Depreciation 2024'!Print_Titles</vt:lpstr>
      <vt:lpstr>'Tax Depr 2022 - Dist'!Print_Titles</vt:lpstr>
      <vt:lpstr>'Tax Depr 2023'!Print_Titles</vt:lpstr>
      <vt:lpstr>'Tax Depr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2021-07-27T12:29:21Z</dcterms:created>
  <dcterms:modified xsi:type="dcterms:W3CDTF">2024-03-01T17:38:44Z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2023-05-04T20:24:22Z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5d10a437-d896-48b4-8b6e-0658d9c16d67</vt:lpwstr>
  </property>
  <property fmtid="{D5CDD505-2E9C-101B-9397-08002B2CF9AE}" pid="8" name="MSIP_Label_0adee1c6-0c13-46fe-9f7d-d5b32ad2c571_ContentBits">
    <vt:lpwstr>2</vt:lpwstr>
  </property>
</Properties>
</file>