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Hyden-Leslie County WD/"/>
    </mc:Choice>
  </mc:AlternateContent>
  <xr:revisionPtr revIDLastSave="505" documentId="8_{75162ADE-4D8C-4170-BFDD-6EA23412F991}" xr6:coauthVersionLast="47" xr6:coauthVersionMax="47" xr10:uidLastSave="{8CD31723-DDEE-4518-A82B-5A300A687196}"/>
  <bookViews>
    <workbookView xWindow="-98" yWindow="-98" windowWidth="20715" windowHeight="13155" tabRatio="641" xr2:uid="{00000000-000D-0000-FFFF-FFFF00000000}"/>
  </bookViews>
  <sheets>
    <sheet name="SAO" sheetId="6" r:id="rId1"/>
    <sheet name="Late Charges" sheetId="61" r:id="rId2"/>
    <sheet name="Service Charges" sheetId="62" r:id="rId3"/>
    <sheet name="Wages" sheetId="59" r:id="rId4"/>
    <sheet name="Medical" sheetId="60" r:id="rId5"/>
    <sheet name="Debt Service" sheetId="50" r:id="rId6"/>
    <sheet name="Depreciation" sheetId="51" r:id="rId7"/>
    <sheet name="Capital" sheetId="56" r:id="rId8"/>
    <sheet name="Water Loss" sheetId="54" r:id="rId9"/>
    <sheet name="Rates" sheetId="2" r:id="rId10"/>
    <sheet name="Bills" sheetId="42" r:id="rId11"/>
    <sheet name="ExBA" sheetId="52" r:id="rId12"/>
    <sheet name="PrBA" sheetId="58" r:id="rId13"/>
  </sheets>
  <definedNames>
    <definedName name="AHV">#REF!</definedName>
    <definedName name="_xlnm.Print_Area" localSheetId="10">Bills!$B$2:$I$18</definedName>
    <definedName name="_xlnm.Print_Area" localSheetId="5">'Debt Service'!$A$1:$O$24</definedName>
    <definedName name="_xlnm.Print_Area" localSheetId="6">Depreciation!$A$1:$L$47</definedName>
    <definedName name="_xlnm.Print_Area" localSheetId="11">ExBA!$A$1:$J$32</definedName>
    <definedName name="_xlnm.Print_Area" localSheetId="12">PrBA!$A$1:$J$32</definedName>
    <definedName name="_xlnm.Print_Area" localSheetId="9">Rates!$B$1:$I$28</definedName>
    <definedName name="_xlnm.Print_Area" localSheetId="0">SAO!$A$1:$H$49</definedName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6" l="1"/>
  <c r="B5" i="62"/>
  <c r="I18" i="60"/>
  <c r="I12" i="60"/>
  <c r="I10" i="60"/>
  <c r="I9" i="60"/>
  <c r="D19" i="60"/>
  <c r="C17" i="60"/>
  <c r="G16" i="60"/>
  <c r="I16" i="60" s="1"/>
  <c r="G12" i="60"/>
  <c r="C18" i="60"/>
  <c r="G18" i="60" s="1"/>
  <c r="C15" i="60"/>
  <c r="G15" i="60" s="1"/>
  <c r="I15" i="60" s="1"/>
  <c r="C8" i="60"/>
  <c r="G8" i="60" s="1"/>
  <c r="I8" i="60" s="1"/>
  <c r="C16" i="60"/>
  <c r="C10" i="60"/>
  <c r="G10" i="60" s="1"/>
  <c r="C9" i="60"/>
  <c r="G9" i="60" s="1"/>
  <c r="C11" i="60"/>
  <c r="G11" i="60" s="1"/>
  <c r="I11" i="60" s="1"/>
  <c r="C6" i="60"/>
  <c r="G6" i="60" s="1"/>
  <c r="I6" i="60" s="1"/>
  <c r="C13" i="60"/>
  <c r="G13" i="60" s="1"/>
  <c r="I13" i="60" s="1"/>
  <c r="C7" i="60"/>
  <c r="G7" i="60" s="1"/>
  <c r="I7" i="60" s="1"/>
  <c r="C14" i="60"/>
  <c r="G14" i="60" s="1"/>
  <c r="I14" i="60" s="1"/>
  <c r="H39" i="59"/>
  <c r="H38" i="59"/>
  <c r="H37" i="59"/>
  <c r="F9" i="6"/>
  <c r="G12" i="61"/>
  <c r="G11" i="61"/>
  <c r="G10" i="61"/>
  <c r="H22" i="52"/>
  <c r="G22" i="52"/>
  <c r="G20" i="52"/>
  <c r="H21" i="52"/>
  <c r="G21" i="52"/>
  <c r="B30" i="52"/>
  <c r="E22" i="52"/>
  <c r="E18" i="52"/>
  <c r="G6" i="61"/>
  <c r="G9" i="61" s="1"/>
  <c r="D17" i="59"/>
  <c r="G17" i="59" s="1"/>
  <c r="D15" i="59"/>
  <c r="G15" i="59" s="1"/>
  <c r="D14" i="59"/>
  <c r="G14" i="59" s="1"/>
  <c r="D12" i="59"/>
  <c r="G12" i="59" s="1"/>
  <c r="D10" i="59"/>
  <c r="G10" i="59" s="1"/>
  <c r="D9" i="59"/>
  <c r="G9" i="59" s="1"/>
  <c r="D8" i="59"/>
  <c r="G8" i="59" s="1"/>
  <c r="D5" i="59"/>
  <c r="G5" i="59" s="1"/>
  <c r="D7" i="59"/>
  <c r="G7" i="59" s="1"/>
  <c r="G32" i="6"/>
  <c r="H32" i="59"/>
  <c r="H26" i="59"/>
  <c r="F7" i="59"/>
  <c r="F8" i="59"/>
  <c r="F9" i="59"/>
  <c r="F10" i="59"/>
  <c r="F11" i="59"/>
  <c r="F12" i="59"/>
  <c r="F14" i="59"/>
  <c r="F15" i="59"/>
  <c r="F16" i="59"/>
  <c r="F17" i="59"/>
  <c r="G11" i="59"/>
  <c r="G16" i="59"/>
  <c r="C18" i="59"/>
  <c r="G6" i="59"/>
  <c r="F6" i="59"/>
  <c r="F5" i="59"/>
  <c r="I19" i="60" l="1"/>
  <c r="C19" i="60"/>
  <c r="G17" i="60"/>
  <c r="I17" i="60" s="1"/>
  <c r="H9" i="59"/>
  <c r="H10" i="59"/>
  <c r="H11" i="59"/>
  <c r="H7" i="59"/>
  <c r="G16" i="61"/>
  <c r="H9" i="6" s="1"/>
  <c r="H43" i="6" s="1"/>
  <c r="I22" i="52"/>
  <c r="D18" i="59"/>
  <c r="H8" i="59"/>
  <c r="H17" i="59"/>
  <c r="H16" i="59"/>
  <c r="H15" i="59"/>
  <c r="H14" i="59"/>
  <c r="H12" i="59"/>
  <c r="G18" i="59"/>
  <c r="F18" i="59"/>
  <c r="H6" i="59"/>
  <c r="H5" i="59"/>
  <c r="G19" i="60" l="1"/>
  <c r="D23" i="60"/>
  <c r="D25" i="60" s="1"/>
  <c r="F19" i="6" s="1"/>
  <c r="H18" i="59"/>
  <c r="H20" i="59" s="1"/>
  <c r="H22" i="59" l="1"/>
  <c r="H35" i="59" s="1"/>
  <c r="H29" i="59"/>
  <c r="H31" i="59" s="1"/>
  <c r="H33" i="59" s="1"/>
  <c r="F32" i="6" s="1"/>
  <c r="H25" i="59"/>
  <c r="H27" i="59" s="1"/>
  <c r="F16" i="6" s="1"/>
  <c r="H41" i="59" l="1"/>
  <c r="F18" i="6" s="1"/>
  <c r="H19" i="6" s="1"/>
  <c r="D13" i="2"/>
  <c r="D14" i="2"/>
  <c r="D15" i="2"/>
  <c r="D16" i="2"/>
  <c r="D12" i="2"/>
  <c r="Q31" i="58"/>
  <c r="B31" i="58"/>
  <c r="B29" i="58"/>
  <c r="B28" i="58"/>
  <c r="B27" i="58"/>
  <c r="D23" i="58"/>
  <c r="C23" i="58"/>
  <c r="C27" i="58" s="1"/>
  <c r="H22" i="58"/>
  <c r="H30" i="58" s="1"/>
  <c r="G22" i="58"/>
  <c r="J18" i="58"/>
  <c r="I17" i="58"/>
  <c r="H17" i="58"/>
  <c r="G17" i="58"/>
  <c r="G21" i="58" s="1"/>
  <c r="F17" i="58"/>
  <c r="F22" i="58" s="1"/>
  <c r="E17" i="58"/>
  <c r="E21" i="58" s="1"/>
  <c r="G8" i="58"/>
  <c r="F7" i="58"/>
  <c r="M17" i="50"/>
  <c r="I22" i="58" l="1"/>
  <c r="I23" i="58" s="1"/>
  <c r="D31" i="58" s="1"/>
  <c r="J22" i="58"/>
  <c r="C32" i="58"/>
  <c r="E19" i="58"/>
  <c r="E20" i="58"/>
  <c r="F20" i="58"/>
  <c r="F21" i="58"/>
  <c r="F23" i="6"/>
  <c r="F15" i="6"/>
  <c r="H16" i="6" s="1"/>
  <c r="G10" i="52"/>
  <c r="H7" i="6"/>
  <c r="G23" i="6"/>
  <c r="G22" i="6"/>
  <c r="B32" i="54"/>
  <c r="B31" i="54"/>
  <c r="J18" i="52"/>
  <c r="J20" i="52"/>
  <c r="F22" i="52"/>
  <c r="F21" i="52"/>
  <c r="F20" i="52"/>
  <c r="E21" i="52"/>
  <c r="E20" i="52"/>
  <c r="E19" i="52"/>
  <c r="G8" i="52"/>
  <c r="F7" i="52"/>
  <c r="J21" i="52" l="1"/>
  <c r="J22" i="52"/>
  <c r="J19" i="52"/>
  <c r="F19" i="52"/>
  <c r="H21" i="58"/>
  <c r="H23" i="58" s="1"/>
  <c r="D30" i="58" s="1"/>
  <c r="G20" i="58"/>
  <c r="G23" i="58" s="1"/>
  <c r="D29" i="58" s="1"/>
  <c r="F19" i="58"/>
  <c r="F23" i="58" s="1"/>
  <c r="D28" i="58" s="1"/>
  <c r="J19" i="58"/>
  <c r="E23" i="58"/>
  <c r="D27" i="58" s="1"/>
  <c r="D32" i="58" s="1"/>
  <c r="F50" i="51"/>
  <c r="H20" i="6"/>
  <c r="L17" i="50"/>
  <c r="K17" i="50"/>
  <c r="J17" i="50"/>
  <c r="H17" i="50"/>
  <c r="I17" i="50"/>
  <c r="G17" i="50"/>
  <c r="D17" i="50"/>
  <c r="F17" i="50"/>
  <c r="E17" i="50"/>
  <c r="C17" i="50"/>
  <c r="M16" i="50"/>
  <c r="M15" i="50"/>
  <c r="M14" i="50"/>
  <c r="M13" i="50"/>
  <c r="J20" i="58" l="1"/>
  <c r="J23" i="58" s="1"/>
  <c r="J21" i="58"/>
  <c r="Q31" i="52"/>
  <c r="B31" i="52"/>
  <c r="B29" i="52"/>
  <c r="B28" i="52"/>
  <c r="B27" i="52"/>
  <c r="D23" i="52"/>
  <c r="C23" i="52"/>
  <c r="C27" i="52" s="1"/>
  <c r="C32" i="52" s="1"/>
  <c r="I17" i="52"/>
  <c r="H17" i="52"/>
  <c r="G17" i="52"/>
  <c r="F17" i="52"/>
  <c r="E17" i="52"/>
  <c r="E23" i="52" l="1"/>
  <c r="D27" i="52" s="1"/>
  <c r="G23" i="52"/>
  <c r="D29" i="52" s="1"/>
  <c r="F29" i="52" s="1"/>
  <c r="H23" i="52"/>
  <c r="D30" i="52" s="1"/>
  <c r="F27" i="52"/>
  <c r="I23" i="52"/>
  <c r="D31" i="52" s="1"/>
  <c r="F31" i="52" s="1"/>
  <c r="F30" i="52" l="1"/>
  <c r="F23" i="52"/>
  <c r="D28" i="52" s="1"/>
  <c r="F28" i="52" s="1"/>
  <c r="J23" i="52"/>
  <c r="F32" i="52" l="1"/>
  <c r="G6" i="52" s="1"/>
  <c r="G7" i="52" s="1"/>
  <c r="D32" i="52"/>
  <c r="H32" i="6"/>
  <c r="E11" i="42"/>
  <c r="A32" i="54"/>
  <c r="A31" i="54"/>
  <c r="E15" i="42" l="1"/>
  <c r="E12" i="42"/>
  <c r="E14" i="42"/>
  <c r="E13" i="42"/>
  <c r="F44" i="51"/>
  <c r="J19" i="51"/>
  <c r="J18" i="51"/>
  <c r="J42" i="51"/>
  <c r="J23" i="51"/>
  <c r="K23" i="51" s="1"/>
  <c r="K19" i="51" l="1"/>
  <c r="K18" i="51"/>
  <c r="K42" i="51"/>
  <c r="C6" i="56"/>
  <c r="C5" i="56"/>
  <c r="C22" i="54"/>
  <c r="C14" i="54"/>
  <c r="C5" i="54"/>
  <c r="C23" i="54" l="1"/>
  <c r="D25" i="54"/>
  <c r="D27" i="54" s="1"/>
  <c r="C32" i="54" l="1"/>
  <c r="D32" i="54" s="1"/>
  <c r="F22" i="6" s="1"/>
  <c r="C31" i="54"/>
  <c r="D31" i="54" s="1"/>
  <c r="F21" i="6" s="1"/>
  <c r="F29" i="6" s="1"/>
  <c r="D33" i="54" l="1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M12" i="50"/>
  <c r="G9" i="52" l="1"/>
  <c r="G11" i="52" s="1"/>
  <c r="F6" i="6" s="1"/>
  <c r="G21" i="2"/>
  <c r="K44" i="51"/>
  <c r="J44" i="51"/>
  <c r="F49" i="51" s="1"/>
  <c r="F51" i="51" s="1"/>
  <c r="F31" i="6" s="1"/>
  <c r="F33" i="6" s="1"/>
  <c r="P17" i="50"/>
  <c r="M20" i="50"/>
  <c r="H39" i="6" s="1"/>
  <c r="F11" i="6" l="1"/>
  <c r="F35" i="6" s="1"/>
  <c r="H6" i="6"/>
  <c r="H31" i="6"/>
  <c r="M22" i="50"/>
  <c r="H40" i="6" s="1"/>
  <c r="E10" i="42"/>
  <c r="K11" i="52" l="1"/>
  <c r="H46" i="6"/>
  <c r="P22" i="50"/>
  <c r="H28" i="6"/>
  <c r="H27" i="6"/>
  <c r="H26" i="6"/>
  <c r="H25" i="6"/>
  <c r="H23" i="6"/>
  <c r="H22" i="6"/>
  <c r="H21" i="6"/>
  <c r="H17" i="6"/>
  <c r="H24" i="6" l="1"/>
  <c r="H10" i="6" l="1"/>
  <c r="F16" i="2" l="1"/>
  <c r="F12" i="2"/>
  <c r="D11" i="6" l="1"/>
  <c r="D29" i="6"/>
  <c r="H42" i="6" l="1"/>
  <c r="H29" i="6"/>
  <c r="D33" i="6"/>
  <c r="H33" i="6" l="1"/>
  <c r="H11" i="6"/>
  <c r="D35" i="6"/>
  <c r="H38" i="6" l="1"/>
  <c r="H41" i="6" s="1"/>
  <c r="H35" i="6"/>
  <c r="H45" i="6" l="1"/>
  <c r="G10" i="58" s="1"/>
  <c r="H47" i="6" l="1"/>
  <c r="H49" i="6" s="1"/>
  <c r="L4" i="58" s="1"/>
  <c r="E14" i="2" l="1"/>
  <c r="G14" i="2" s="1"/>
  <c r="H14" i="2" s="1"/>
  <c r="E15" i="2"/>
  <c r="G15" i="2" s="1"/>
  <c r="H15" i="2" s="1"/>
  <c r="E16" i="2"/>
  <c r="G16" i="2" s="1"/>
  <c r="H16" i="2" s="1"/>
  <c r="E12" i="2"/>
  <c r="F11" i="42" s="1"/>
  <c r="E13" i="2"/>
  <c r="G13" i="2" s="1"/>
  <c r="H13" i="2" s="1"/>
  <c r="E28" i="58"/>
  <c r="F28" i="58" s="1"/>
  <c r="E31" i="58"/>
  <c r="F31" i="58" s="1"/>
  <c r="E27" i="58"/>
  <c r="F27" i="58" s="1"/>
  <c r="E29" i="58"/>
  <c r="F29" i="58" s="1"/>
  <c r="E30" i="58"/>
  <c r="F30" i="58" s="1"/>
  <c r="F10" i="42" l="1"/>
  <c r="G10" i="42" s="1"/>
  <c r="H10" i="42" s="1"/>
  <c r="G12" i="2"/>
  <c r="H12" i="2" s="1"/>
  <c r="F32" i="58"/>
  <c r="G6" i="58" s="1"/>
  <c r="G7" i="58" s="1"/>
  <c r="G9" i="58" s="1"/>
  <c r="G11" i="58" s="1"/>
  <c r="K11" i="58" s="1"/>
  <c r="G11" i="42"/>
  <c r="H11" i="42" s="1"/>
  <c r="F15" i="42"/>
  <c r="G15" i="42" s="1"/>
  <c r="H15" i="42" s="1"/>
  <c r="F14" i="42"/>
  <c r="G14" i="42" s="1"/>
  <c r="H14" i="42" s="1"/>
  <c r="F13" i="42"/>
  <c r="G13" i="42" s="1"/>
  <c r="H13" i="42" s="1"/>
  <c r="F12" i="42"/>
  <c r="G12" i="42" s="1"/>
  <c r="H12" i="42" s="1"/>
</calcChain>
</file>

<file path=xl/sharedStrings.xml><?xml version="1.0" encoding="utf-8"?>
<sst xmlns="http://schemas.openxmlformats.org/spreadsheetml/2006/main" count="466" uniqueCount="302">
  <si>
    <t>SCHEDULE OF ADJUSTED OPERATIONS</t>
  </si>
  <si>
    <t>Hyden-Leslie County Water District</t>
  </si>
  <si>
    <t>Test Year</t>
  </si>
  <si>
    <t>Adjustments</t>
  </si>
  <si>
    <t>Ref.</t>
  </si>
  <si>
    <t>Proforma</t>
  </si>
  <si>
    <t>Adjustment</t>
  </si>
  <si>
    <t>Operating Revenues</t>
  </si>
  <si>
    <t>Total Metered Retail Sales</t>
  </si>
  <si>
    <t>(A)</t>
  </si>
  <si>
    <t>Surcharge Revenue</t>
  </si>
  <si>
    <t>Other Water Revenues:</t>
  </si>
  <si>
    <t>Forfeited Discounts</t>
  </si>
  <si>
    <t>(B)</t>
  </si>
  <si>
    <t>Other Water Revenues</t>
  </si>
  <si>
    <t>Total Operating Revenues</t>
  </si>
  <si>
    <t>Operating Expenses</t>
  </si>
  <si>
    <t>Operation and Maintenance</t>
  </si>
  <si>
    <t>Salaries and Wages - Employees</t>
  </si>
  <si>
    <t>(C)</t>
  </si>
  <si>
    <t>(D)</t>
  </si>
  <si>
    <t>Salaries and Wages - Officers</t>
  </si>
  <si>
    <t>Employee Pensions and Benefits</t>
  </si>
  <si>
    <t>(E)</t>
  </si>
  <si>
    <t>(F)</t>
  </si>
  <si>
    <t>Purchased Water</t>
  </si>
  <si>
    <t>Purchased Power</t>
  </si>
  <si>
    <t>(G)</t>
  </si>
  <si>
    <t>Chemicals</t>
  </si>
  <si>
    <t>Materials and Supplies</t>
  </si>
  <si>
    <t>Contractual Services</t>
  </si>
  <si>
    <t>Transportation Expenses</t>
  </si>
  <si>
    <t>Insurance - Other</t>
  </si>
  <si>
    <t>Bad Debt</t>
  </si>
  <si>
    <t>Miscellaneous Expenses</t>
  </si>
  <si>
    <t>Total Operation and Mnt. Expenses</t>
  </si>
  <si>
    <t>Depreciation Expense</t>
  </si>
  <si>
    <t>(H)</t>
  </si>
  <si>
    <t>Taxes Other Than Income</t>
  </si>
  <si>
    <t>Total Operating Expenses</t>
  </si>
  <si>
    <t>Total Utility Operating Income</t>
  </si>
  <si>
    <t>REVENUE REQUIREMENTS</t>
  </si>
  <si>
    <t>Pro Forma Operating Expenses</t>
  </si>
  <si>
    <t>Plus:</t>
  </si>
  <si>
    <t>Average Annual Principal and Interest Payments</t>
  </si>
  <si>
    <t>Additional Working Capital</t>
  </si>
  <si>
    <t>Total Revenue Requirement</t>
  </si>
  <si>
    <t>Less:</t>
  </si>
  <si>
    <t>Other Operating Revenue</t>
  </si>
  <si>
    <t>Proposed Late Charges</t>
  </si>
  <si>
    <t>Interest Income</t>
  </si>
  <si>
    <t>Revenue Required From Sales of Water</t>
  </si>
  <si>
    <t>Revenue from Sales with Present Rates</t>
  </si>
  <si>
    <t>Required Revenue Increase</t>
  </si>
  <si>
    <t>Percent Increase</t>
  </si>
  <si>
    <t>Historical Late Payment Penalties</t>
  </si>
  <si>
    <t>Year</t>
  </si>
  <si>
    <t>Annual Collections</t>
  </si>
  <si>
    <t>Years</t>
  </si>
  <si>
    <t>3-Year Average</t>
  </si>
  <si>
    <t>Salaries &amp; Wages and Associated Adjustments</t>
  </si>
  <si>
    <t>Total</t>
  </si>
  <si>
    <t>Pro Forma</t>
  </si>
  <si>
    <t xml:space="preserve">Pro Forma </t>
  </si>
  <si>
    <t>Pension</t>
  </si>
  <si>
    <t>Employee</t>
  </si>
  <si>
    <t>Reg. Hrs</t>
  </si>
  <si>
    <t>O. T. Hours</t>
  </si>
  <si>
    <t>Wage Rate</t>
  </si>
  <si>
    <t>Reg. Wages</t>
  </si>
  <si>
    <t>O. T. Wages</t>
  </si>
  <si>
    <t>Wages</t>
  </si>
  <si>
    <t>Eligible</t>
  </si>
  <si>
    <t>Employee 1</t>
  </si>
  <si>
    <t>Alyssa Bowling</t>
  </si>
  <si>
    <t>No</t>
  </si>
  <si>
    <t>Employee 2</t>
  </si>
  <si>
    <t>Andrea Napier</t>
  </si>
  <si>
    <t>Employee 3</t>
  </si>
  <si>
    <t>Clinton Roberts</t>
  </si>
  <si>
    <t>Employee 4</t>
  </si>
  <si>
    <t>Dana Campbell</t>
  </si>
  <si>
    <t>Employee 5</t>
  </si>
  <si>
    <t>David Napier</t>
  </si>
  <si>
    <t>Employee 6</t>
  </si>
  <si>
    <t>Jamie Bowling</t>
  </si>
  <si>
    <t>Employee 7</t>
  </si>
  <si>
    <t>Jeffrey Gross</t>
  </si>
  <si>
    <t>Employee 8</t>
  </si>
  <si>
    <t>Jerry Rice</t>
  </si>
  <si>
    <t>Employee 9</t>
  </si>
  <si>
    <t>Larry Turner</t>
  </si>
  <si>
    <t>Salaried</t>
  </si>
  <si>
    <t>Employee 10</t>
  </si>
  <si>
    <t>Michael Smith</t>
  </si>
  <si>
    <t>Employee 11</t>
  </si>
  <si>
    <t>Randy Roberts</t>
  </si>
  <si>
    <t>Employee 12</t>
  </si>
  <si>
    <t>Thomas Baker</t>
  </si>
  <si>
    <t>Employee 13</t>
  </si>
  <si>
    <t>Zackary Stacy</t>
  </si>
  <si>
    <t>Total Gross Wages</t>
  </si>
  <si>
    <t>Gross Wages for Full Time Employees CERS Eligible</t>
  </si>
  <si>
    <t>Pro Forma Salaries &amp; Wages Expense</t>
  </si>
  <si>
    <t>Less: Test Year Salaries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</si>
  <si>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</si>
  <si>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</si>
  <si>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</si>
  <si>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</si>
  <si>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</si>
  <si>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Expense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</si>
  <si>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</si>
  <si>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</si>
  <si>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</si>
  <si>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</si>
  <si>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</si>
  <si>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</si>
  <si>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MONTHLY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</si>
  <si>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</si>
  <si>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</si>
  <si>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</si>
  <si>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</si>
  <si>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</si>
  <si>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</si>
  <si>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</si>
  <si>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</si>
  <si>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</si>
  <si>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</si>
  <si>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</si>
  <si>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Life</t>
  </si>
  <si>
    <t>TOTAL</t>
  </si>
  <si>
    <t>Allowable Employer Premium</t>
  </si>
  <si>
    <t>Less: Test Year Premium Payments</t>
  </si>
  <si>
    <t>Medical Adjustment</t>
  </si>
  <si>
    <t>Table B</t>
  </si>
  <si>
    <t>DEBT SERVICE SCHDULE</t>
  </si>
  <si>
    <t>CY 2024 - 2028</t>
  </si>
  <si>
    <t>CY 2024</t>
  </si>
  <si>
    <t>CY 2025</t>
  </si>
  <si>
    <t>CY 2026</t>
  </si>
  <si>
    <t>CY 2027</t>
  </si>
  <si>
    <t>CY 2028</t>
  </si>
  <si>
    <t>Interest</t>
  </si>
  <si>
    <t>Principal</t>
  </si>
  <si>
    <t>&amp; Fees</t>
  </si>
  <si>
    <t>TOTALS</t>
  </si>
  <si>
    <t>USDARD 2012 Series A</t>
  </si>
  <si>
    <t>USDARD 2012 Series B</t>
  </si>
  <si>
    <t>USDARD 2000 Bond</t>
  </si>
  <si>
    <t>KRWFC Bond</t>
  </si>
  <si>
    <t>KIA Loan</t>
  </si>
  <si>
    <t>Average Annual Principal &amp; Interest</t>
  </si>
  <si>
    <t>Average Annual Coverage</t>
  </si>
  <si>
    <t>Table A</t>
  </si>
  <si>
    <t>DEPRECIATION EXPENSE ADJUSTMENTS</t>
  </si>
  <si>
    <t>Depreciation</t>
  </si>
  <si>
    <t>Date in</t>
  </si>
  <si>
    <t>Original</t>
  </si>
  <si>
    <t>Reported</t>
  </si>
  <si>
    <t>Expense</t>
  </si>
  <si>
    <t>Asset</t>
  </si>
  <si>
    <t>Service</t>
  </si>
  <si>
    <t>Cost *</t>
  </si>
  <si>
    <t>Depr. Exp.</t>
  </si>
  <si>
    <t>General Plant</t>
  </si>
  <si>
    <t>Structures &amp; Improvements</t>
  </si>
  <si>
    <t>varies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</si>
  <si>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</si>
  <si>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</si>
  <si>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</si>
  <si>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</si>
  <si>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</si>
  <si>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Source of Supply Plant</t>
  </si>
  <si>
    <t>Raw Water Intake</t>
  </si>
  <si>
    <t>Supply Mains</t>
  </si>
  <si>
    <t>Pumping Plant</t>
  </si>
  <si>
    <t>Telemetry</t>
  </si>
  <si>
    <t>Pumping Equipment</t>
  </si>
  <si>
    <t>Transmission &amp; Distribution Plant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</si>
  <si>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</si>
  <si>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</si>
  <si>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</si>
  <si>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</si>
  <si>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</si>
  <si>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</si>
  <si>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</si>
  <si>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</si>
  <si>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</si>
  <si>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Transportation Equipment</t>
  </si>
  <si>
    <t>Entire Group</t>
  </si>
  <si>
    <t>CIP Eng</t>
  </si>
  <si>
    <t>CIP Eng DOT 421</t>
  </si>
  <si>
    <t>Water Treatment Equipment</t>
  </si>
  <si>
    <t xml:space="preserve">              *  Includes only costs associated with assets that contributed to depreciation expense in the test year.</t>
  </si>
  <si>
    <t>Allowed Depreciation</t>
  </si>
  <si>
    <t>Less: Reported Depreciation</t>
  </si>
  <si>
    <t>Adjustment to Allowed Depreciation</t>
  </si>
  <si>
    <t>D</t>
  </si>
  <si>
    <t>Labor and Materials Adjustment for New Service Installations</t>
  </si>
  <si>
    <t>New Meter Fees Collected</t>
  </si>
  <si>
    <t xml:space="preserve">Labor </t>
  </si>
  <si>
    <t>H</t>
  </si>
  <si>
    <t xml:space="preserve">Materials </t>
  </si>
  <si>
    <t>Computation of Water Loss Adjustment</t>
  </si>
  <si>
    <t>Produced</t>
  </si>
  <si>
    <t>Purchased</t>
  </si>
  <si>
    <t>Total Produced and Purchased</t>
  </si>
  <si>
    <t>Sold</t>
  </si>
  <si>
    <t>Uses:</t>
  </si>
  <si>
    <t xml:space="preserve">   WTP</t>
  </si>
  <si>
    <t xml:space="preserve">   Flushing</t>
  </si>
  <si>
    <t xml:space="preserve">   Fire</t>
  </si>
  <si>
    <t xml:space="preserve">   Other</t>
  </si>
  <si>
    <t>Total Other Water Used</t>
  </si>
  <si>
    <t>Losses:</t>
  </si>
  <si>
    <t xml:space="preserve">   Tank O.F.</t>
  </si>
  <si>
    <t xml:space="preserve">   Line Brks.</t>
  </si>
  <si>
    <t xml:space="preserve">   Line Leaks</t>
  </si>
  <si>
    <t xml:space="preserve">   Excavation Damages</t>
  </si>
  <si>
    <t xml:space="preserve">   Unknown</t>
  </si>
  <si>
    <t>Total Losses:</t>
  </si>
  <si>
    <t>Sold, Used, and Lost</t>
  </si>
  <si>
    <t xml:space="preserve">  water loss percentage</t>
  </si>
  <si>
    <t xml:space="preserve">  allowable in rates</t>
  </si>
  <si>
    <t xml:space="preserve">  adjustment percentage</t>
  </si>
  <si>
    <t>Computation of Adjustment to Purchases above Allowable Water Loss:</t>
  </si>
  <si>
    <t>Purchased Power above allowable water loss.</t>
  </si>
  <si>
    <t>Chemicals above allowable water loss.</t>
  </si>
  <si>
    <t>Total Adjustment</t>
  </si>
  <si>
    <t>CURRENT AND PROPOSED RATES</t>
  </si>
  <si>
    <t>Retail Rates</t>
  </si>
  <si>
    <t>Rate per Gallon per Month</t>
  </si>
  <si>
    <t>Current</t>
  </si>
  <si>
    <t>Proposed</t>
  </si>
  <si>
    <t>Difference</t>
  </si>
  <si>
    <t>First 2,000 Gallons</t>
  </si>
  <si>
    <t>Next 3,000 Gallons</t>
  </si>
  <si>
    <t>Next 20,000 Gallons</t>
  </si>
  <si>
    <t>Next 75,000 Gallons</t>
  </si>
  <si>
    <t>Over 100,000 Gallons</t>
  </si>
  <si>
    <t>WATER LOSS REDUCTION SURCHARGE</t>
  </si>
  <si>
    <t>Amount per Customer</t>
  </si>
  <si>
    <t>per month</t>
  </si>
  <si>
    <t>PROPOSED NONRECURRING CHARGES</t>
  </si>
  <si>
    <t>Late Payment Penalty</t>
  </si>
  <si>
    <t>TABLE D</t>
  </si>
  <si>
    <t>CURRENT AND PROPOSED BILLS</t>
  </si>
  <si>
    <t>Gallons</t>
  </si>
  <si>
    <t>Meter</t>
  </si>
  <si>
    <t>Existing</t>
  </si>
  <si>
    <t>per Month*</t>
  </si>
  <si>
    <t>Size</t>
  </si>
  <si>
    <t>Bill</t>
  </si>
  <si>
    <t>Change</t>
  </si>
  <si>
    <t>Percentage</t>
  </si>
  <si>
    <t>5/8 x 3/4"</t>
  </si>
  <si>
    <t>* Highlighted usage represents the average residential bill.</t>
  </si>
  <si>
    <t>CURRENT BILLING ANALYSIS WITH 2022 USAGE &amp; EXISTING RATES</t>
  </si>
  <si>
    <t>SUMMARY</t>
  </si>
  <si>
    <t>COMPONENT</t>
  </si>
  <si>
    <t>BILLS</t>
  </si>
  <si>
    <t>GALLONS</t>
  </si>
  <si>
    <t>REVENUE</t>
  </si>
  <si>
    <t>METERED WATER SALES</t>
  </si>
  <si>
    <t>TOTAL WATER SALES</t>
  </si>
  <si>
    <t>LESS ADJUSTMENTS</t>
  </si>
  <si>
    <t>NET METERED WATER SALES</t>
  </si>
  <si>
    <t>FROM PSC ANNUAL REPORT</t>
  </si>
  <si>
    <t>DIFFERENCE</t>
  </si>
  <si>
    <t>ADJUSTMENT TO SAO BILLED RETAIL REVENUES</t>
  </si>
  <si>
    <t>RETAIL CONSUMPTION BY RATE INCREMENT</t>
  </si>
  <si>
    <t>FIRST</t>
  </si>
  <si>
    <t>NEXT</t>
  </si>
  <si>
    <t>ALL OVER</t>
  </si>
  <si>
    <t>USAGE</t>
  </si>
  <si>
    <t xml:space="preserve">     REVENUE BY RATE INCREMENT</t>
  </si>
  <si>
    <t>RATE</t>
  </si>
  <si>
    <t>PROPOSED BILLING ANALYSIS WITH 2022 USAGE AND PROPOSED RATES</t>
  </si>
  <si>
    <t>NET METERED WATER SALES AT PROPOSED RATES</t>
  </si>
  <si>
    <t>REVENUE REQUIRED FROM METERED SALES</t>
  </si>
  <si>
    <t>Yes</t>
  </si>
  <si>
    <t>Appendix A</t>
  </si>
  <si>
    <t>Rate Increase 2020-00141</t>
  </si>
  <si>
    <t>Rate Increase Proposed</t>
  </si>
  <si>
    <t>Six Months at 23.34%</t>
  </si>
  <si>
    <t>Six Months at 19.71%</t>
  </si>
  <si>
    <t>Medical and Dental Insurance Adjustment</t>
  </si>
  <si>
    <t>INSURANCE TYPE</t>
  </si>
  <si>
    <t>Family</t>
  </si>
  <si>
    <t>Couple</t>
  </si>
  <si>
    <t>Parent Plus</t>
  </si>
  <si>
    <t>Single</t>
  </si>
  <si>
    <t>None</t>
  </si>
  <si>
    <t>Dental Insurance is paid 100% by employees.</t>
  </si>
  <si>
    <t>Historical Service Charges Collected</t>
  </si>
  <si>
    <t>2022 Service Charges</t>
  </si>
  <si>
    <t>2023 Service Charges</t>
  </si>
  <si>
    <t>Increase</t>
  </si>
  <si>
    <t>The increase was the result of a billing system upgrade that automatically attached the fees when needed.</t>
  </si>
  <si>
    <t>(I)</t>
  </si>
  <si>
    <t>I</t>
  </si>
  <si>
    <t>Table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</si>
</sst>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&quot;$&quot;* #,##0.00000_);_(&quot;$&quot;* \(#,##0.00000\);_(&quot;$&quot;* &quot;-&quot;??_);_(@_)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Arial"/>
      <family val="2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Font="1"/>
    <xf numFmtId="165" fontId="4" fillId="0" borderId="0" xfId="0" applyNumberFormat="1" applyFont="1"/>
    <xf numFmtId="3" fontId="4" fillId="0" borderId="0" xfId="0" applyNumberFormat="1" applyFont="1"/>
    <xf numFmtId="0" fontId="0" fillId="0" borderId="6" xfId="0" applyBorder="1"/>
    <xf numFmtId="165" fontId="4" fillId="0" borderId="1" xfId="1" applyNumberFormat="1" applyFont="1" applyBorder="1"/>
    <xf numFmtId="165" fontId="4" fillId="0" borderId="0" xfId="1" applyNumberFormat="1" applyFont="1" applyBorder="1"/>
    <xf numFmtId="165" fontId="4" fillId="0" borderId="0" xfId="1" applyNumberFormat="1" applyFont="1"/>
    <xf numFmtId="165" fontId="4" fillId="0" borderId="3" xfId="1" applyNumberFormat="1" applyFont="1" applyBorder="1"/>
    <xf numFmtId="165" fontId="4" fillId="0" borderId="2" xfId="1" applyNumberFormat="1" applyFont="1" applyBorder="1"/>
    <xf numFmtId="165" fontId="4" fillId="0" borderId="4" xfId="1" applyNumberFormat="1" applyFont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43" fontId="4" fillId="0" borderId="0" xfId="1" applyFont="1"/>
    <xf numFmtId="165" fontId="10" fillId="0" borderId="0" xfId="1" applyNumberFormat="1" applyFont="1" applyBorder="1" applyAlignment="1">
      <alignment horizontal="center"/>
    </xf>
    <xf numFmtId="43" fontId="4" fillId="0" borderId="0" xfId="1" applyFont="1" applyBorder="1"/>
    <xf numFmtId="165" fontId="4" fillId="0" borderId="0" xfId="5" applyNumberFormat="1" applyFont="1"/>
    <xf numFmtId="3" fontId="4" fillId="0" borderId="0" xfId="0" applyNumberFormat="1" applyFont="1" applyAlignment="1">
      <alignment horizontal="right"/>
    </xf>
    <xf numFmtId="165" fontId="4" fillId="0" borderId="7" xfId="5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1" xfId="5" applyNumberFormat="1" applyFont="1" applyBorder="1"/>
    <xf numFmtId="165" fontId="4" fillId="0" borderId="0" xfId="5" applyNumberFormat="1" applyFont="1" applyBorder="1"/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7" fontId="9" fillId="0" borderId="0" xfId="5" applyNumberFormat="1" applyFont="1" applyBorder="1" applyAlignment="1">
      <alignment horizontal="center"/>
    </xf>
    <xf numFmtId="43" fontId="4" fillId="0" borderId="0" xfId="1" applyFont="1" applyBorder="1" applyAlignment="1"/>
    <xf numFmtId="43" fontId="4" fillId="0" borderId="0" xfId="1" applyFont="1" applyBorder="1" applyAlignment="1">
      <alignment horizontal="right"/>
    </xf>
    <xf numFmtId="43" fontId="4" fillId="0" borderId="7" xfId="1" applyFont="1" applyBorder="1"/>
    <xf numFmtId="44" fontId="4" fillId="0" borderId="0" xfId="2" applyFont="1" applyBorder="1" applyAlignment="1"/>
    <xf numFmtId="44" fontId="4" fillId="0" borderId="0" xfId="2" applyFont="1" applyBorder="1" applyAlignment="1">
      <alignment vertical="center"/>
    </xf>
    <xf numFmtId="164" fontId="4" fillId="0" borderId="0" xfId="6" applyNumberFormat="1" applyFont="1"/>
    <xf numFmtId="165" fontId="7" fillId="0" borderId="0" xfId="1" applyNumberFormat="1" applyFont="1"/>
    <xf numFmtId="165" fontId="10" fillId="0" borderId="8" xfId="1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center"/>
    </xf>
    <xf numFmtId="43" fontId="4" fillId="0" borderId="8" xfId="1" quotePrefix="1" applyFont="1" applyBorder="1" applyAlignment="1">
      <alignment horizontal="center"/>
    </xf>
    <xf numFmtId="43" fontId="4" fillId="0" borderId="1" xfId="1" applyFont="1" applyBorder="1"/>
    <xf numFmtId="43" fontId="4" fillId="0" borderId="5" xfId="1" applyFont="1" applyBorder="1"/>
    <xf numFmtId="166" fontId="4" fillId="0" borderId="8" xfId="3" applyNumberFormat="1" applyFont="1" applyBorder="1"/>
    <xf numFmtId="165" fontId="4" fillId="2" borderId="0" xfId="1" applyNumberFormat="1" applyFont="1" applyFill="1" applyBorder="1"/>
    <xf numFmtId="43" fontId="4" fillId="2" borderId="8" xfId="1" quotePrefix="1" applyFont="1" applyFill="1" applyBorder="1" applyAlignment="1">
      <alignment horizontal="center"/>
    </xf>
    <xf numFmtId="43" fontId="4" fillId="2" borderId="0" xfId="1" applyFont="1" applyFill="1" applyBorder="1"/>
    <xf numFmtId="166" fontId="4" fillId="2" borderId="8" xfId="3" applyNumberFormat="1" applyFont="1" applyFill="1" applyBorder="1"/>
    <xf numFmtId="165" fontId="14" fillId="0" borderId="0" xfId="1" applyNumberFormat="1" applyFont="1"/>
    <xf numFmtId="10" fontId="4" fillId="0" borderId="0" xfId="0" applyNumberFormat="1" applyFont="1"/>
    <xf numFmtId="44" fontId="4" fillId="0" borderId="0" xfId="2" applyFont="1" applyBorder="1"/>
    <xf numFmtId="165" fontId="4" fillId="0" borderId="0" xfId="5" quotePrefix="1" applyNumberFormat="1" applyFont="1"/>
    <xf numFmtId="0" fontId="4" fillId="0" borderId="7" xfId="0" applyFont="1" applyBorder="1"/>
    <xf numFmtId="165" fontId="4" fillId="0" borderId="0" xfId="1" applyNumberFormat="1" applyFont="1" applyAlignment="1">
      <alignment horizontal="centerContinuous" vertical="center"/>
    </xf>
    <xf numFmtId="165" fontId="4" fillId="0" borderId="0" xfId="1" applyNumberFormat="1" applyFont="1" applyAlignment="1">
      <alignment vertical="center"/>
    </xf>
    <xf numFmtId="165" fontId="12" fillId="0" borderId="0" xfId="1" applyNumberFormat="1" applyFont="1" applyAlignment="1">
      <alignment horizontal="centerContinuous" vertical="center"/>
    </xf>
    <xf numFmtId="165" fontId="9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165" fontId="13" fillId="0" borderId="0" xfId="1" applyNumberFormat="1" applyFont="1" applyAlignment="1">
      <alignment vertical="center"/>
    </xf>
    <xf numFmtId="165" fontId="15" fillId="0" borderId="0" xfId="1" applyNumberFormat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165" fontId="11" fillId="0" borderId="0" xfId="1" quotePrefix="1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65" fontId="4" fillId="0" borderId="0" xfId="1" applyNumberFormat="1" applyFont="1" applyAlignment="1"/>
    <xf numFmtId="165" fontId="11" fillId="0" borderId="0" xfId="1" applyNumberFormat="1" applyFont="1" applyAlignment="1">
      <alignment vertical="center"/>
    </xf>
    <xf numFmtId="10" fontId="4" fillId="0" borderId="0" xfId="3" applyNumberFormat="1" applyFont="1" applyAlignment="1">
      <alignment vertical="center"/>
    </xf>
    <xf numFmtId="165" fontId="4" fillId="0" borderId="6" xfId="5" applyNumberFormat="1" applyFont="1" applyBorder="1"/>
    <xf numFmtId="165" fontId="4" fillId="0" borderId="0" xfId="5" applyNumberFormat="1" applyFont="1" applyBorder="1" applyAlignment="1">
      <alignment horizontal="center"/>
    </xf>
    <xf numFmtId="10" fontId="4" fillId="0" borderId="0" xfId="3" applyNumberFormat="1" applyFont="1" applyBorder="1"/>
    <xf numFmtId="10" fontId="4" fillId="2" borderId="0" xfId="3" applyNumberFormat="1" applyFont="1" applyFill="1" applyBorder="1"/>
    <xf numFmtId="165" fontId="4" fillId="0" borderId="8" xfId="5" applyNumberFormat="1" applyFont="1" applyBorder="1"/>
    <xf numFmtId="165" fontId="8" fillId="0" borderId="7" xfId="5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Alignment="1">
      <alignment vertical="center"/>
    </xf>
    <xf numFmtId="165" fontId="4" fillId="0" borderId="3" xfId="5" applyNumberFormat="1" applyFont="1" applyBorder="1"/>
    <xf numFmtId="165" fontId="4" fillId="0" borderId="2" xfId="5" applyNumberFormat="1" applyFont="1" applyBorder="1"/>
    <xf numFmtId="165" fontId="4" fillId="0" borderId="4" xfId="5" applyNumberFormat="1" applyFont="1" applyBorder="1"/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165" fontId="6" fillId="0" borderId="7" xfId="5" applyNumberFormat="1" applyFont="1" applyBorder="1" applyAlignment="1">
      <alignment horizontal="centerContinuous"/>
    </xf>
    <xf numFmtId="165" fontId="9" fillId="0" borderId="0" xfId="5" applyNumberFormat="1" applyFont="1" applyAlignment="1">
      <alignment horizontal="centerContinuous"/>
    </xf>
    <xf numFmtId="3" fontId="12" fillId="0" borderId="7" xfId="0" applyNumberFormat="1" applyFont="1" applyBorder="1" applyAlignment="1">
      <alignment horizontal="centerContinuous" vertical="center"/>
    </xf>
    <xf numFmtId="165" fontId="20" fillId="0" borderId="7" xfId="5" applyNumberFormat="1" applyFont="1" applyBorder="1" applyAlignment="1">
      <alignment horizontal="centerContinuous"/>
    </xf>
    <xf numFmtId="165" fontId="4" fillId="0" borderId="0" xfId="5" applyNumberFormat="1" applyFont="1" applyAlignment="1">
      <alignment horizontal="centerContinuous"/>
    </xf>
    <xf numFmtId="165" fontId="4" fillId="0" borderId="7" xfId="5" applyNumberFormat="1" applyFont="1" applyBorder="1" applyAlignment="1">
      <alignment horizontal="centerContinuous"/>
    </xf>
    <xf numFmtId="165" fontId="4" fillId="0" borderId="9" xfId="5" applyNumberFormat="1" applyFont="1" applyBorder="1" applyAlignment="1">
      <alignment horizontal="left"/>
    </xf>
    <xf numFmtId="165" fontId="4" fillId="0" borderId="3" xfId="5" applyNumberFormat="1" applyFont="1" applyBorder="1" applyAlignment="1">
      <alignment horizontal="left"/>
    </xf>
    <xf numFmtId="165" fontId="4" fillId="0" borderId="2" xfId="5" applyNumberFormat="1" applyFont="1" applyBorder="1" applyAlignment="1">
      <alignment horizontal="left"/>
    </xf>
    <xf numFmtId="165" fontId="4" fillId="0" borderId="4" xfId="5" applyNumberFormat="1" applyFont="1" applyBorder="1" applyAlignment="1">
      <alignment horizontal="left"/>
    </xf>
    <xf numFmtId="165" fontId="4" fillId="0" borderId="10" xfId="5" applyNumberFormat="1" applyFont="1" applyBorder="1"/>
    <xf numFmtId="165" fontId="11" fillId="0" borderId="0" xfId="5" applyNumberFormat="1" applyFont="1" applyAlignment="1">
      <alignment horizontal="center" vertical="center"/>
    </xf>
    <xf numFmtId="165" fontId="8" fillId="0" borderId="8" xfId="5" applyNumberFormat="1" applyFont="1" applyBorder="1" applyAlignment="1">
      <alignment horizontal="center" vertical="center"/>
    </xf>
    <xf numFmtId="165" fontId="8" fillId="0" borderId="0" xfId="5" applyNumberFormat="1" applyFont="1" applyAlignment="1">
      <alignment horizontal="center" vertical="center"/>
    </xf>
    <xf numFmtId="165" fontId="11" fillId="0" borderId="8" xfId="5" applyNumberFormat="1" applyFont="1" applyBorder="1" applyAlignment="1">
      <alignment horizontal="center" vertical="center"/>
    </xf>
    <xf numFmtId="165" fontId="11" fillId="0" borderId="0" xfId="5" applyNumberFormat="1" applyFont="1" applyBorder="1" applyAlignment="1">
      <alignment horizontal="center" vertical="center"/>
    </xf>
    <xf numFmtId="165" fontId="4" fillId="0" borderId="10" xfId="5" applyNumberFormat="1" applyFont="1" applyBorder="1" applyAlignment="1">
      <alignment horizontal="left"/>
    </xf>
    <xf numFmtId="165" fontId="4" fillId="0" borderId="7" xfId="5" applyNumberFormat="1" applyFont="1" applyBorder="1" applyAlignment="1">
      <alignment horizontal="center"/>
    </xf>
    <xf numFmtId="165" fontId="4" fillId="0" borderId="0" xfId="5" applyNumberFormat="1" applyFont="1" applyAlignment="1">
      <alignment horizontal="center"/>
    </xf>
    <xf numFmtId="165" fontId="4" fillId="0" borderId="8" xfId="5" applyNumberFormat="1" applyFont="1" applyBorder="1" applyAlignment="1">
      <alignment horizontal="center"/>
    </xf>
    <xf numFmtId="165" fontId="4" fillId="0" borderId="0" xfId="5" quotePrefix="1" applyNumberFormat="1" applyFont="1" applyBorder="1" applyAlignment="1">
      <alignment horizontal="center"/>
    </xf>
    <xf numFmtId="165" fontId="8" fillId="0" borderId="7" xfId="5" quotePrefix="1" applyNumberFormat="1" applyFont="1" applyBorder="1" applyAlignment="1">
      <alignment horizontal="left"/>
    </xf>
    <xf numFmtId="165" fontId="8" fillId="0" borderId="8" xfId="5" quotePrefix="1" applyNumberFormat="1" applyFont="1" applyBorder="1" applyAlignment="1">
      <alignment horizontal="left"/>
    </xf>
    <xf numFmtId="164" fontId="8" fillId="0" borderId="0" xfId="6" quotePrefix="1" applyNumberFormat="1" applyFont="1" applyBorder="1" applyAlignment="1">
      <alignment horizontal="left"/>
    </xf>
    <xf numFmtId="165" fontId="8" fillId="0" borderId="11" xfId="5" applyNumberFormat="1" applyFont="1" applyBorder="1" applyAlignment="1">
      <alignment horizontal="right"/>
    </xf>
    <xf numFmtId="165" fontId="8" fillId="0" borderId="5" xfId="5" applyNumberFormat="1" applyFont="1" applyBorder="1" applyAlignment="1">
      <alignment horizontal="right"/>
    </xf>
    <xf numFmtId="165" fontId="8" fillId="0" borderId="1" xfId="5" applyNumberFormat="1" applyFont="1" applyBorder="1" applyAlignment="1">
      <alignment horizontal="right"/>
    </xf>
    <xf numFmtId="165" fontId="8" fillId="0" borderId="6" xfId="5" applyNumberFormat="1" applyFont="1" applyBorder="1" applyAlignment="1">
      <alignment horizontal="right"/>
    </xf>
    <xf numFmtId="165" fontId="8" fillId="0" borderId="8" xfId="5" applyNumberFormat="1" applyFont="1" applyBorder="1" applyAlignment="1">
      <alignment horizontal="right"/>
    </xf>
    <xf numFmtId="165" fontId="8" fillId="0" borderId="7" xfId="5" applyNumberFormat="1" applyFont="1" applyBorder="1" applyAlignment="1">
      <alignment horizontal="right"/>
    </xf>
    <xf numFmtId="165" fontId="8" fillId="0" borderId="0" xfId="5" applyNumberFormat="1" applyFont="1" applyAlignment="1">
      <alignment horizontal="right"/>
    </xf>
    <xf numFmtId="165" fontId="8" fillId="0" borderId="2" xfId="5" applyNumberFormat="1" applyFont="1" applyBorder="1" applyAlignment="1">
      <alignment horizontal="right"/>
    </xf>
    <xf numFmtId="165" fontId="8" fillId="0" borderId="7" xfId="5" applyNumberFormat="1" applyFont="1" applyBorder="1"/>
    <xf numFmtId="164" fontId="8" fillId="0" borderId="0" xfId="6" applyNumberFormat="1" applyFont="1"/>
    <xf numFmtId="165" fontId="8" fillId="0" borderId="0" xfId="5" applyNumberFormat="1" applyFont="1"/>
    <xf numFmtId="165" fontId="8" fillId="0" borderId="0" xfId="5" applyNumberFormat="1" applyFont="1" applyBorder="1"/>
    <xf numFmtId="164" fontId="8" fillId="0" borderId="0" xfId="6" applyNumberFormat="1" applyFont="1" applyBorder="1"/>
    <xf numFmtId="165" fontId="4" fillId="0" borderId="5" xfId="5" applyNumberFormat="1" applyFont="1" applyBorder="1" applyAlignment="1">
      <alignment horizontal="center"/>
    </xf>
    <xf numFmtId="165" fontId="4" fillId="0" borderId="1" xfId="5" applyNumberFormat="1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3" fontId="4" fillId="0" borderId="2" xfId="0" applyNumberFormat="1" applyFont="1" applyBorder="1"/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3" fontId="4" fillId="0" borderId="1" xfId="0" applyNumberFormat="1" applyFont="1" applyBorder="1"/>
    <xf numFmtId="44" fontId="11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4" fillId="0" borderId="0" xfId="5" applyNumberFormat="1" applyFont="1" applyAlignment="1"/>
    <xf numFmtId="167" fontId="4" fillId="0" borderId="2" xfId="5" applyNumberFormat="1" applyFont="1" applyBorder="1"/>
    <xf numFmtId="167" fontId="4" fillId="0" borderId="0" xfId="5" applyNumberFormat="1" applyFont="1" applyBorder="1" applyAlignment="1"/>
    <xf numFmtId="167" fontId="4" fillId="0" borderId="0" xfId="5" applyNumberFormat="1" applyFont="1" applyBorder="1" applyAlignment="1">
      <alignment horizontal="center"/>
    </xf>
    <xf numFmtId="167" fontId="14" fillId="0" borderId="0" xfId="5" applyNumberFormat="1" applyFont="1" applyBorder="1" applyAlignment="1"/>
    <xf numFmtId="170" fontId="4" fillId="0" borderId="0" xfId="0" applyNumberFormat="1" applyFont="1"/>
    <xf numFmtId="169" fontId="8" fillId="0" borderId="0" xfId="0" applyNumberFormat="1" applyFont="1"/>
    <xf numFmtId="167" fontId="4" fillId="0" borderId="0" xfId="5" quotePrefix="1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0" borderId="8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4" fontId="4" fillId="0" borderId="7" xfId="0" applyNumberFormat="1" applyFont="1" applyBorder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37" fontId="4" fillId="0" borderId="0" xfId="0" applyNumberFormat="1" applyFont="1" applyAlignment="1">
      <alignment horizontal="center"/>
    </xf>
    <xf numFmtId="165" fontId="4" fillId="0" borderId="0" xfId="1" applyNumberFormat="1" applyFont="1" applyBorder="1" applyAlignment="1"/>
    <xf numFmtId="164" fontId="4" fillId="0" borderId="0" xfId="6" applyNumberFormat="1" applyFont="1" applyBorder="1"/>
    <xf numFmtId="164" fontId="4" fillId="0" borderId="0" xfId="0" applyNumberFormat="1" applyFont="1"/>
    <xf numFmtId="164" fontId="0" fillId="0" borderId="0" xfId="0" applyNumberFormat="1" applyAlignment="1">
      <alignment vertical="top"/>
    </xf>
    <xf numFmtId="10" fontId="0" fillId="0" borderId="0" xfId="3" applyNumberFormat="1" applyFont="1" applyBorder="1" applyAlignment="1">
      <alignment vertical="top"/>
    </xf>
    <xf numFmtId="164" fontId="4" fillId="0" borderId="0" xfId="2" applyNumberFormat="1" applyFont="1" applyBorder="1" applyAlignment="1"/>
    <xf numFmtId="3" fontId="4" fillId="0" borderId="0" xfId="0" applyNumberFormat="1" applyFont="1" applyAlignment="1">
      <alignment horizontal="left"/>
    </xf>
    <xf numFmtId="37" fontId="4" fillId="0" borderId="0" xfId="0" applyNumberFormat="1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37" fontId="4" fillId="0" borderId="0" xfId="0" applyNumberFormat="1" applyFont="1" applyAlignment="1">
      <alignment horizontal="right"/>
    </xf>
    <xf numFmtId="165" fontId="4" fillId="0" borderId="0" xfId="5" applyNumberFormat="1" applyFont="1" applyBorder="1" applyAlignment="1">
      <alignment horizontal="right"/>
    </xf>
    <xf numFmtId="44" fontId="4" fillId="0" borderId="0" xfId="5" applyNumberFormat="1" applyFont="1" applyBorder="1"/>
    <xf numFmtId="165" fontId="4" fillId="0" borderId="0" xfId="1" applyNumberFormat="1" applyFont="1" applyFill="1" applyAlignment="1">
      <alignment vertical="center"/>
    </xf>
    <xf numFmtId="6" fontId="4" fillId="0" borderId="0" xfId="0" applyNumberFormat="1" applyFont="1"/>
    <xf numFmtId="9" fontId="4" fillId="0" borderId="0" xfId="0" applyNumberFormat="1" applyFont="1"/>
    <xf numFmtId="3" fontId="4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8" fillId="0" borderId="0" xfId="0" applyNumberFormat="1" applyFont="1" applyAlignment="1">
      <alignment horizontal="right"/>
    </xf>
    <xf numFmtId="167" fontId="4" fillId="0" borderId="1" xfId="5" applyNumberFormat="1" applyFont="1" applyBorder="1" applyAlignment="1">
      <alignment horizontal="right"/>
    </xf>
    <xf numFmtId="167" fontId="4" fillId="0" borderId="0" xfId="5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4" fillId="0" borderId="0" xfId="5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0" fontId="4" fillId="0" borderId="0" xfId="3" applyNumberFormat="1" applyFont="1" applyBorder="1" applyAlignment="1"/>
    <xf numFmtId="43" fontId="4" fillId="0" borderId="0" xfId="1" applyFont="1" applyBorder="1" applyAlignment="1">
      <alignment vertical="center"/>
    </xf>
    <xf numFmtId="44" fontId="4" fillId="0" borderId="0" xfId="1" applyNumberFormat="1" applyFont="1" applyBorder="1"/>
    <xf numFmtId="43" fontId="4" fillId="0" borderId="7" xfId="1" applyFont="1" applyBorder="1" applyAlignment="1"/>
    <xf numFmtId="43" fontId="4" fillId="0" borderId="8" xfId="1" applyFont="1" applyBorder="1" applyAlignment="1"/>
    <xf numFmtId="43" fontId="4" fillId="0" borderId="0" xfId="1" applyFont="1" applyBorder="1" applyAlignment="1">
      <alignment horizontal="center"/>
    </xf>
    <xf numFmtId="43" fontId="10" fillId="0" borderId="8" xfId="1" applyFont="1" applyBorder="1" applyAlignment="1">
      <alignment horizontal="center"/>
    </xf>
    <xf numFmtId="44" fontId="4" fillId="0" borderId="8" xfId="2" applyFont="1" applyBorder="1" applyAlignment="1"/>
    <xf numFmtId="43" fontId="4" fillId="0" borderId="7" xfId="1" applyFont="1" applyBorder="1" applyAlignment="1">
      <alignment horizontal="right"/>
    </xf>
    <xf numFmtId="43" fontId="4" fillId="0" borderId="1" xfId="1" applyFont="1" applyBorder="1" applyAlignment="1"/>
    <xf numFmtId="43" fontId="4" fillId="0" borderId="6" xfId="1" applyFont="1" applyBorder="1" applyAlignment="1"/>
    <xf numFmtId="44" fontId="4" fillId="0" borderId="0" xfId="2" applyFont="1" applyBorder="1" applyAlignment="1">
      <alignment horizontal="center"/>
    </xf>
    <xf numFmtId="10" fontId="4" fillId="0" borderId="0" xfId="3" applyNumberFormat="1" applyFont="1" applyBorder="1" applyAlignment="1">
      <alignment horizontal="center"/>
    </xf>
    <xf numFmtId="171" fontId="4" fillId="0" borderId="0" xfId="2" applyNumberFormat="1" applyFont="1" applyBorder="1" applyAlignment="1"/>
    <xf numFmtId="10" fontId="4" fillId="0" borderId="0" xfId="1" applyNumberFormat="1" applyFont="1"/>
    <xf numFmtId="10" fontId="4" fillId="0" borderId="0" xfId="1" applyNumberFormat="1" applyFont="1" applyBorder="1"/>
    <xf numFmtId="164" fontId="4" fillId="0" borderId="0" xfId="2" applyNumberFormat="1" applyFont="1" applyBorder="1"/>
    <xf numFmtId="164" fontId="4" fillId="0" borderId="0" xfId="5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/>
    <xf numFmtId="10" fontId="4" fillId="0" borderId="0" xfId="3" applyNumberFormat="1" applyFont="1" applyFill="1" applyBorder="1" applyAlignment="1">
      <alignment vertical="top"/>
    </xf>
    <xf numFmtId="0" fontId="8" fillId="0" borderId="0" xfId="0" applyFont="1"/>
    <xf numFmtId="44" fontId="4" fillId="0" borderId="0" xfId="2" applyFont="1"/>
    <xf numFmtId="10" fontId="4" fillId="0" borderId="1" xfId="0" applyNumberFormat="1" applyFont="1" applyBorder="1"/>
    <xf numFmtId="165" fontId="8" fillId="0" borderId="0" xfId="1" applyNumberFormat="1" applyFont="1"/>
    <xf numFmtId="44" fontId="8" fillId="0" borderId="0" xfId="1" applyNumberFormat="1" applyFont="1" applyBorder="1"/>
    <xf numFmtId="164" fontId="8" fillId="0" borderId="0" xfId="2" applyNumberFormat="1" applyFont="1" applyBorder="1"/>
    <xf numFmtId="165" fontId="4" fillId="0" borderId="7" xfId="5" applyNumberFormat="1" applyFont="1" applyFill="1" applyBorder="1" applyAlignment="1">
      <alignment horizontal="center"/>
    </xf>
    <xf numFmtId="165" fontId="4" fillId="0" borderId="8" xfId="5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2" applyNumberFormat="1" applyFont="1"/>
    <xf numFmtId="164" fontId="11" fillId="0" borderId="0" xfId="2" applyNumberFormat="1" applyFont="1"/>
    <xf numFmtId="43" fontId="10" fillId="0" borderId="0" xfId="1" applyFont="1" applyBorder="1" applyAlignment="1">
      <alignment horizontal="center"/>
    </xf>
    <xf numFmtId="44" fontId="4" fillId="0" borderId="0" xfId="1" applyNumberFormat="1" applyFont="1" applyBorder="1" applyAlignment="1"/>
    <xf numFmtId="43" fontId="4" fillId="0" borderId="5" xfId="1" applyFont="1" applyBorder="1" applyAlignment="1"/>
    <xf numFmtId="43" fontId="4" fillId="0" borderId="1" xfId="1" applyFont="1" applyBorder="1" applyAlignment="1">
      <alignment horizontal="center"/>
    </xf>
    <xf numFmtId="43" fontId="4" fillId="2" borderId="7" xfId="1" applyFont="1" applyFill="1" applyBorder="1"/>
    <xf numFmtId="43" fontId="7" fillId="0" borderId="7" xfId="1" applyFont="1" applyBorder="1" applyAlignment="1">
      <alignment horizontal="right"/>
    </xf>
    <xf numFmtId="43" fontId="7" fillId="0" borderId="0" xfId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0" fontId="8" fillId="0" borderId="0" xfId="5" applyNumberFormat="1" applyFont="1" applyBorder="1" applyAlignment="1">
      <alignment horizontal="left" vertical="center"/>
    </xf>
    <xf numFmtId="164" fontId="4" fillId="0" borderId="1" xfId="6" applyNumberFormat="1" applyFont="1" applyBorder="1"/>
    <xf numFmtId="165" fontId="4" fillId="0" borderId="1" xfId="1" applyNumberFormat="1" applyFont="1" applyBorder="1" applyAlignment="1"/>
    <xf numFmtId="165" fontId="4" fillId="0" borderId="0" xfId="5" applyNumberFormat="1" applyFont="1" applyFill="1" applyBorder="1"/>
    <xf numFmtId="0" fontId="21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37" fontId="4" fillId="0" borderId="1" xfId="0" applyNumberFormat="1" applyFont="1" applyBorder="1"/>
    <xf numFmtId="44" fontId="4" fillId="0" borderId="0" xfId="6" applyFont="1"/>
    <xf numFmtId="0" fontId="4" fillId="0" borderId="1" xfId="0" applyFont="1" applyBorder="1"/>
    <xf numFmtId="166" fontId="4" fillId="0" borderId="0" xfId="7" applyNumberFormat="1" applyFont="1"/>
    <xf numFmtId="165" fontId="4" fillId="0" borderId="1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1" applyNumberFormat="1" applyFont="1" applyBorder="1" applyAlignment="1">
      <alignment vertical="center"/>
    </xf>
    <xf numFmtId="165" fontId="4" fillId="0" borderId="12" xfId="1" applyNumberFormat="1" applyFont="1" applyBorder="1" applyAlignment="1">
      <alignment vertical="center"/>
    </xf>
    <xf numFmtId="10" fontId="0" fillId="0" borderId="0" xfId="0" applyNumberFormat="1" applyAlignment="1">
      <alignment vertical="top"/>
    </xf>
    <xf numFmtId="43" fontId="6" fillId="0" borderId="7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4" fontId="10" fillId="0" borderId="0" xfId="1" applyNumberFormat="1" applyFont="1" applyBorder="1" applyAlignment="1">
      <alignment horizontal="center"/>
    </xf>
    <xf numFmtId="9" fontId="4" fillId="0" borderId="0" xfId="1" applyNumberFormat="1" applyFont="1" applyBorder="1" applyAlignment="1"/>
    <xf numFmtId="43" fontId="4" fillId="0" borderId="0" xfId="5" applyFont="1"/>
    <xf numFmtId="43" fontId="4" fillId="0" borderId="0" xfId="5" applyFont="1" applyAlignment="1">
      <alignment horizontal="right"/>
    </xf>
    <xf numFmtId="10" fontId="4" fillId="0" borderId="1" xfId="7" applyNumberFormat="1" applyFont="1" applyBorder="1"/>
    <xf numFmtId="43" fontId="4" fillId="0" borderId="1" xfId="5" applyFont="1" applyBorder="1"/>
    <xf numFmtId="43" fontId="4" fillId="0" borderId="0" xfId="5" applyFont="1" applyAlignment="1">
      <alignment horizontal="center"/>
    </xf>
    <xf numFmtId="43" fontId="4" fillId="0" borderId="0" xfId="5" applyFont="1" applyBorder="1"/>
    <xf numFmtId="43" fontId="4" fillId="0" borderId="0" xfId="5" applyFont="1" applyBorder="1" applyAlignment="1">
      <alignment horizontal="center"/>
    </xf>
    <xf numFmtId="164" fontId="4" fillId="0" borderId="0" xfId="2" applyNumberFormat="1" applyFont="1" applyAlignment="1">
      <alignment vertical="center"/>
    </xf>
    <xf numFmtId="164" fontId="4" fillId="0" borderId="0" xfId="2" applyNumberFormat="1" applyFont="1"/>
    <xf numFmtId="44" fontId="4" fillId="0" borderId="0" xfId="0" applyNumberFormat="1" applyFont="1" applyAlignment="1">
      <alignment horizontal="right"/>
    </xf>
    <xf numFmtId="166" fontId="4" fillId="0" borderId="0" xfId="7" applyNumberFormat="1" applyFont="1" applyFill="1" applyBorder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7" applyFont="1" applyFill="1" applyBorder="1" applyAlignment="1">
      <alignment horizontal="right"/>
    </xf>
    <xf numFmtId="44" fontId="23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44" fontId="4" fillId="0" borderId="0" xfId="10" applyFont="1" applyFill="1" applyBorder="1" applyAlignment="1">
      <alignment horizontal="right"/>
    </xf>
    <xf numFmtId="44" fontId="4" fillId="0" borderId="0" xfId="0" applyNumberFormat="1" applyFont="1"/>
    <xf numFmtId="44" fontId="4" fillId="0" borderId="1" xfId="0" applyNumberFormat="1" applyFont="1" applyBorder="1" applyAlignment="1">
      <alignment horizontal="right"/>
    </xf>
    <xf numFmtId="44" fontId="4" fillId="0" borderId="1" xfId="10" applyFont="1" applyFill="1" applyBorder="1" applyAlignment="1">
      <alignment horizontal="right"/>
    </xf>
    <xf numFmtId="43" fontId="4" fillId="0" borderId="0" xfId="5" applyFont="1" applyFill="1" applyBorder="1"/>
    <xf numFmtId="9" fontId="24" fillId="0" borderId="0" xfId="7" applyFont="1" applyFill="1" applyBorder="1" applyAlignment="1">
      <alignment horizontal="right"/>
    </xf>
    <xf numFmtId="44" fontId="4" fillId="0" borderId="0" xfId="7" applyNumberFormat="1" applyFont="1" applyFill="1" applyBorder="1" applyAlignment="1">
      <alignment horizontal="right"/>
    </xf>
    <xf numFmtId="43" fontId="4" fillId="0" borderId="0" xfId="9" applyFont="1" applyFill="1" applyBorder="1"/>
    <xf numFmtId="9" fontId="25" fillId="0" borderId="0" xfId="7" applyFont="1" applyFill="1" applyBorder="1" applyAlignment="1">
      <alignment horizontal="right"/>
    </xf>
    <xf numFmtId="43" fontId="25" fillId="0" borderId="0" xfId="9" applyFont="1" applyFill="1" applyBorder="1"/>
    <xf numFmtId="166" fontId="4" fillId="0" borderId="0" xfId="7" applyNumberFormat="1" applyFont="1" applyFill="1" applyBorder="1" applyAlignment="1">
      <alignment horizontal="center"/>
    </xf>
    <xf numFmtId="9" fontId="24" fillId="0" borderId="0" xfId="4" applyNumberFormat="1" applyFont="1" applyAlignment="1">
      <alignment horizontal="right"/>
    </xf>
    <xf numFmtId="44" fontId="24" fillId="0" borderId="0" xfId="0" applyNumberFormat="1" applyFont="1" applyAlignment="1">
      <alignment horizontal="right"/>
    </xf>
    <xf numFmtId="166" fontId="4" fillId="0" borderId="0" xfId="7" applyNumberFormat="1" applyFont="1" applyFill="1" applyBorder="1"/>
    <xf numFmtId="166" fontId="8" fillId="0" borderId="0" xfId="7" applyNumberFormat="1" applyFont="1" applyFill="1" applyBorder="1" applyAlignment="1">
      <alignment horizontal="right"/>
    </xf>
    <xf numFmtId="9" fontId="4" fillId="0" borderId="0" xfId="9" applyNumberFormat="1" applyFont="1" applyFill="1" applyBorder="1" applyAlignment="1">
      <alignment horizontal="right"/>
    </xf>
    <xf numFmtId="44" fontId="4" fillId="0" borderId="0" xfId="9" applyNumberFormat="1" applyFont="1" applyFill="1" applyBorder="1" applyAlignment="1">
      <alignment horizontal="right"/>
    </xf>
    <xf numFmtId="165" fontId="4" fillId="0" borderId="0" xfId="9" applyNumberFormat="1" applyFont="1" applyFill="1" applyBorder="1"/>
    <xf numFmtId="9" fontId="10" fillId="0" borderId="0" xfId="9" applyNumberFormat="1" applyFont="1" applyFill="1" applyBorder="1" applyAlignment="1">
      <alignment horizontal="right"/>
    </xf>
    <xf numFmtId="44" fontId="10" fillId="0" borderId="0" xfId="9" applyNumberFormat="1" applyFont="1" applyFill="1" applyBorder="1" applyAlignment="1">
      <alignment horizontal="right"/>
    </xf>
    <xf numFmtId="165" fontId="10" fillId="0" borderId="0" xfId="9" applyNumberFormat="1" applyFont="1" applyFill="1" applyBorder="1"/>
    <xf numFmtId="164" fontId="0" fillId="0" borderId="0" xfId="2" applyNumberFormat="1" applyFont="1"/>
    <xf numFmtId="165" fontId="0" fillId="0" borderId="1" xfId="1" applyNumberFormat="1" applyFont="1" applyBorder="1"/>
    <xf numFmtId="0" fontId="0" fillId="0" borderId="0" xfId="0" applyAlignment="1">
      <alignment horizontal="center"/>
    </xf>
    <xf numFmtId="165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1" xfId="2" applyNumberFormat="1" applyFont="1" applyBorder="1"/>
    <xf numFmtId="164" fontId="0" fillId="0" borderId="0" xfId="2" applyNumberFormat="1" applyFont="1" applyBorder="1"/>
    <xf numFmtId="166" fontId="0" fillId="0" borderId="0" xfId="3" applyNumberFormat="1" applyFont="1"/>
    <xf numFmtId="10" fontId="4" fillId="0" borderId="0" xfId="7" applyNumberFormat="1" applyFont="1" applyBorder="1"/>
    <xf numFmtId="164" fontId="4" fillId="0" borderId="1" xfId="2" applyNumberFormat="1" applyFont="1" applyBorder="1"/>
    <xf numFmtId="0" fontId="4" fillId="3" borderId="0" xfId="0" applyFont="1" applyFill="1"/>
    <xf numFmtId="44" fontId="4" fillId="0" borderId="0" xfId="2" applyFont="1" applyAlignment="1">
      <alignment horizontal="right"/>
    </xf>
    <xf numFmtId="44" fontId="4" fillId="0" borderId="0" xfId="2" applyFont="1" applyAlignment="1">
      <alignment horizontal="left"/>
    </xf>
    <xf numFmtId="44" fontId="4" fillId="0" borderId="1" xfId="2" applyFont="1" applyBorder="1" applyAlignment="1">
      <alignment horizontal="left"/>
    </xf>
    <xf numFmtId="44" fontId="4" fillId="0" borderId="1" xfId="2" applyFont="1" applyBorder="1" applyAlignment="1">
      <alignment horizontal="right"/>
    </xf>
    <xf numFmtId="44" fontId="0" fillId="0" borderId="0" xfId="2" applyFont="1"/>
    <xf numFmtId="44" fontId="0" fillId="0" borderId="1" xfId="2" applyFont="1" applyBorder="1"/>
    <xf numFmtId="0" fontId="2" fillId="0" borderId="0" xfId="0" applyFont="1" applyAlignment="1">
      <alignment horizontal="center"/>
    </xf>
    <xf numFmtId="43" fontId="4" fillId="0" borderId="2" xfId="1" applyFont="1" applyBorder="1" applyAlignment="1"/>
    <xf numFmtId="43" fontId="4" fillId="0" borderId="3" xfId="1" applyFont="1" applyBorder="1" applyAlignment="1"/>
    <xf numFmtId="43" fontId="4" fillId="0" borderId="2" xfId="1" applyFont="1" applyBorder="1" applyAlignment="1">
      <alignment horizontal="center"/>
    </xf>
    <xf numFmtId="43" fontId="4" fillId="0" borderId="4" xfId="1" applyFont="1" applyBorder="1" applyAlignment="1"/>
    <xf numFmtId="165" fontId="5" fillId="0" borderId="0" xfId="1" applyNumberFormat="1" applyFont="1" applyAlignment="1">
      <alignment horizontal="center" vertical="center"/>
    </xf>
    <xf numFmtId="165" fontId="11" fillId="0" borderId="7" xfId="5" applyNumberFormat="1" applyFont="1" applyBorder="1" applyAlignment="1">
      <alignment horizontal="center" vertical="center"/>
    </xf>
    <xf numFmtId="165" fontId="11" fillId="0" borderId="8" xfId="5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167" fontId="9" fillId="0" borderId="0" xfId="5" applyNumberFormat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43" fontId="7" fillId="0" borderId="7" xfId="1" applyFont="1" applyBorder="1" applyAlignment="1">
      <alignment horizontal="right"/>
    </xf>
    <xf numFmtId="43" fontId="7" fillId="0" borderId="0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4" fontId="10" fillId="0" borderId="0" xfId="2" applyFont="1" applyBorder="1" applyAlignment="1">
      <alignment horizontal="center"/>
    </xf>
    <xf numFmtId="9" fontId="4" fillId="0" borderId="0" xfId="2" applyNumberFormat="1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3" fontId="7" fillId="0" borderId="7" xfId="1" applyFont="1" applyBorder="1" applyAlignment="1">
      <alignment horizontal="right" wrapText="1"/>
    </xf>
    <xf numFmtId="43" fontId="7" fillId="0" borderId="0" xfId="1" applyFont="1" applyBorder="1" applyAlignment="1">
      <alignment horizontal="right" wrapText="1"/>
    </xf>
    <xf numFmtId="44" fontId="6" fillId="0" borderId="3" xfId="2" applyFont="1" applyBorder="1" applyAlignment="1">
      <alignment horizontal="center"/>
    </xf>
    <xf numFmtId="44" fontId="6" fillId="0" borderId="2" xfId="2" applyFont="1" applyBorder="1" applyAlignment="1">
      <alignment horizontal="center"/>
    </xf>
    <xf numFmtId="44" fontId="6" fillId="0" borderId="4" xfId="2" applyFont="1" applyBorder="1" applyAlignment="1">
      <alignment horizontal="center"/>
    </xf>
    <xf numFmtId="3" fontId="12" fillId="0" borderId="8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2" fillId="0" borderId="0" xfId="5" applyNumberFormat="1" applyFont="1" applyBorder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showGridLines="0" tabSelected="1" workbookViewId="0">
      <selection activeCell="F5" sqref="F5"/>
    </sheetView>
  </sheetViews>
  <sheetFormatPr defaultColWidth="8.886718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.77734375" style="7" customWidth="1"/>
    <col min="6" max="6" width="11.5546875" style="7" customWidth="1"/>
    <col min="7" max="7" width="5.33203125" style="7" customWidth="1"/>
    <col min="8" max="8" width="11.5546875" style="7" customWidth="1"/>
    <col min="9" max="9" width="3.5546875" style="7" customWidth="1"/>
    <col min="10" max="12" width="11.33203125" style="7" customWidth="1"/>
    <col min="13" max="13" width="10.88671875" style="7" customWidth="1"/>
    <col min="14" max="16384" width="8.88671875" style="7"/>
  </cols>
  <sheetData>
    <row r="1" spans="1:13" ht="18" x14ac:dyDescent="0.45">
      <c r="A1" s="304" t="s">
        <v>0</v>
      </c>
      <c r="B1" s="304"/>
      <c r="C1" s="304"/>
      <c r="D1" s="304"/>
      <c r="E1" s="304"/>
      <c r="F1" s="304"/>
      <c r="G1" s="304"/>
      <c r="H1" s="304"/>
      <c r="I1" s="55"/>
      <c r="J1" s="55"/>
      <c r="K1" s="55"/>
      <c r="L1" s="55"/>
    </row>
    <row r="2" spans="1:13" ht="15.75" x14ac:dyDescent="0.45">
      <c r="A2" s="56" t="s">
        <v>1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</row>
    <row r="3" spans="1:13" x14ac:dyDescent="0.45">
      <c r="A3" s="49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spans="1:13" ht="16.5" x14ac:dyDescent="0.45">
      <c r="A4" s="55"/>
      <c r="B4" s="55"/>
      <c r="C4" s="55"/>
      <c r="D4" s="57" t="s">
        <v>2</v>
      </c>
      <c r="E4" s="57"/>
      <c r="F4" s="57" t="s">
        <v>3</v>
      </c>
      <c r="G4" s="57" t="s">
        <v>4</v>
      </c>
      <c r="H4" s="57" t="s">
        <v>5</v>
      </c>
      <c r="I4" s="55"/>
      <c r="J4" s="70" t="s">
        <v>6</v>
      </c>
      <c r="K4" s="55"/>
      <c r="L4" s="55"/>
    </row>
    <row r="5" spans="1:13" x14ac:dyDescent="0.45">
      <c r="A5" s="58" t="s">
        <v>7</v>
      </c>
      <c r="B5" s="55"/>
      <c r="C5" s="55"/>
      <c r="D5" s="55"/>
      <c r="E5" s="55"/>
      <c r="G5" s="55"/>
      <c r="H5" s="55"/>
      <c r="I5" s="55"/>
      <c r="K5" s="55"/>
      <c r="L5" s="55"/>
    </row>
    <row r="6" spans="1:13" x14ac:dyDescent="0.45">
      <c r="A6" s="55"/>
      <c r="B6" s="55" t="s">
        <v>8</v>
      </c>
      <c r="C6" s="55"/>
      <c r="D6" s="251">
        <v>2346067</v>
      </c>
      <c r="E6" s="55"/>
      <c r="F6" s="251">
        <f>ExBA!G11</f>
        <v>-16865.233000000473</v>
      </c>
      <c r="G6" s="59" t="s">
        <v>9</v>
      </c>
      <c r="H6" s="251">
        <f>SUM(D6:F6)</f>
        <v>2329201.7669999995</v>
      </c>
      <c r="I6" s="60"/>
      <c r="J6" s="55"/>
      <c r="K6" s="55"/>
      <c r="L6" s="55"/>
    </row>
    <row r="7" spans="1:13" x14ac:dyDescent="0.45">
      <c r="A7" s="55"/>
      <c r="B7" s="55" t="s">
        <v>10</v>
      </c>
      <c r="C7" s="55"/>
      <c r="D7" s="166">
        <v>67449</v>
      </c>
      <c r="E7" s="55"/>
      <c r="F7" s="55"/>
      <c r="G7" s="59"/>
      <c r="H7" s="55">
        <f>SUM(D7:F7)</f>
        <v>67449</v>
      </c>
      <c r="I7" s="60"/>
      <c r="J7" s="55"/>
      <c r="K7" s="55"/>
      <c r="L7" s="55"/>
    </row>
    <row r="8" spans="1:13" x14ac:dyDescent="0.45">
      <c r="A8" s="55"/>
      <c r="B8" s="55" t="s">
        <v>11</v>
      </c>
      <c r="C8" s="55"/>
      <c r="D8" s="55"/>
      <c r="E8" s="55"/>
      <c r="F8" s="55"/>
      <c r="G8" s="59"/>
      <c r="H8" s="55"/>
      <c r="I8" s="62"/>
      <c r="J8" s="55"/>
      <c r="K8" s="55"/>
      <c r="L8" s="55"/>
    </row>
    <row r="9" spans="1:13" x14ac:dyDescent="0.45">
      <c r="A9" s="55"/>
      <c r="B9" s="55"/>
      <c r="C9" s="55" t="s">
        <v>12</v>
      </c>
      <c r="D9" s="55"/>
      <c r="E9" s="55"/>
      <c r="F9" s="55">
        <f>'Late Charges'!G12</f>
        <v>90541.204999999987</v>
      </c>
      <c r="G9" s="59" t="s">
        <v>13</v>
      </c>
      <c r="H9" s="55">
        <f>SUM(D9:F9)</f>
        <v>90541.204999999987</v>
      </c>
      <c r="I9" s="62"/>
      <c r="J9" s="55"/>
      <c r="K9" s="55"/>
      <c r="L9" s="55"/>
    </row>
    <row r="10" spans="1:13" ht="16.5" x14ac:dyDescent="0.45">
      <c r="A10" s="55"/>
      <c r="C10" s="55" t="s">
        <v>14</v>
      </c>
      <c r="D10" s="236">
        <v>9629</v>
      </c>
      <c r="E10" s="78"/>
      <c r="F10" s="236">
        <f>'Service Charges'!B5</f>
        <v>26037.86</v>
      </c>
      <c r="G10" s="59" t="s">
        <v>299</v>
      </c>
      <c r="H10" s="236">
        <f>D10+F10</f>
        <v>35666.86</v>
      </c>
      <c r="I10" s="61"/>
      <c r="J10" s="55"/>
      <c r="K10" s="55"/>
      <c r="L10" s="55"/>
    </row>
    <row r="11" spans="1:13" x14ac:dyDescent="0.45">
      <c r="A11" s="63" t="s">
        <v>15</v>
      </c>
      <c r="B11" s="55"/>
      <c r="C11" s="55"/>
      <c r="D11" s="55">
        <f>SUM(D6:D10)</f>
        <v>2423145</v>
      </c>
      <c r="E11" s="55"/>
      <c r="F11" s="55">
        <f>SUM(F6:F10)</f>
        <v>99713.831999999515</v>
      </c>
      <c r="G11" s="59"/>
      <c r="H11" s="55">
        <f>SUM(H6:H10)</f>
        <v>2522858.8319999995</v>
      </c>
      <c r="I11" s="62"/>
      <c r="K11" s="55"/>
      <c r="L11" s="55"/>
    </row>
    <row r="12" spans="1:13" x14ac:dyDescent="0.45">
      <c r="A12" s="55"/>
      <c r="B12" s="55"/>
      <c r="C12" s="55"/>
      <c r="D12" s="55"/>
      <c r="E12" s="55"/>
      <c r="F12" s="55"/>
      <c r="G12" s="59"/>
      <c r="H12" s="55"/>
      <c r="I12" s="62"/>
      <c r="J12" s="55"/>
      <c r="K12" s="55"/>
      <c r="L12" s="55"/>
    </row>
    <row r="13" spans="1:13" x14ac:dyDescent="0.45">
      <c r="A13" s="58" t="s">
        <v>16</v>
      </c>
      <c r="B13" s="55"/>
      <c r="C13" s="55"/>
      <c r="D13" s="55"/>
      <c r="E13" s="55"/>
      <c r="F13" s="55"/>
      <c r="G13" s="59"/>
      <c r="H13" s="55"/>
      <c r="I13" s="62"/>
      <c r="J13" s="55"/>
      <c r="K13" s="55"/>
      <c r="L13" s="55"/>
    </row>
    <row r="14" spans="1:13" x14ac:dyDescent="0.45">
      <c r="A14" s="55"/>
      <c r="B14" s="55" t="s">
        <v>17</v>
      </c>
      <c r="C14" s="55"/>
      <c r="D14" s="55"/>
      <c r="E14" s="55"/>
      <c r="F14" s="55"/>
      <c r="G14" s="59"/>
      <c r="H14" s="55"/>
      <c r="I14" s="62"/>
      <c r="J14" s="55"/>
      <c r="K14" s="55"/>
      <c r="L14" s="55"/>
    </row>
    <row r="15" spans="1:13" x14ac:dyDescent="0.45">
      <c r="A15" s="55"/>
      <c r="B15" s="55"/>
      <c r="C15" s="55" t="s">
        <v>18</v>
      </c>
      <c r="D15" s="55">
        <v>562663</v>
      </c>
      <c r="E15" s="55"/>
      <c r="F15" s="166">
        <f>-Capital!C5</f>
        <v>-4570.5</v>
      </c>
      <c r="G15" s="64" t="s">
        <v>19</v>
      </c>
      <c r="I15" s="60"/>
      <c r="J15" s="55"/>
      <c r="K15" s="55"/>
      <c r="L15" s="55"/>
    </row>
    <row r="16" spans="1:13" x14ac:dyDescent="0.45">
      <c r="A16" s="55"/>
      <c r="B16" s="55"/>
      <c r="C16" s="55"/>
      <c r="D16" s="55"/>
      <c r="E16" s="55"/>
      <c r="F16" s="166">
        <f>Wages!H27</f>
        <v>57180.504199999967</v>
      </c>
      <c r="G16" s="64" t="s">
        <v>20</v>
      </c>
      <c r="H16" s="55">
        <f>SUM(D15:F16)</f>
        <v>615273.00419999997</v>
      </c>
      <c r="I16" s="60"/>
      <c r="J16" s="55"/>
      <c r="K16" s="55"/>
      <c r="L16" s="55"/>
    </row>
    <row r="17" spans="1:12" x14ac:dyDescent="0.45">
      <c r="A17" s="55"/>
      <c r="B17" s="55"/>
      <c r="C17" s="55" t="s">
        <v>21</v>
      </c>
      <c r="D17" s="55">
        <v>30000</v>
      </c>
      <c r="E17" s="55"/>
      <c r="F17" s="166"/>
      <c r="G17" s="59"/>
      <c r="H17" s="55">
        <f t="shared" ref="H17:H28" si="0">D17+F17</f>
        <v>30000</v>
      </c>
      <c r="I17" s="60"/>
    </row>
    <row r="18" spans="1:12" x14ac:dyDescent="0.45">
      <c r="A18" s="55"/>
      <c r="B18" s="55"/>
      <c r="C18" s="55" t="s">
        <v>22</v>
      </c>
      <c r="D18" s="55">
        <v>245611</v>
      </c>
      <c r="E18" s="55"/>
      <c r="F18" s="166">
        <f>Wages!H41</f>
        <v>130823.27060722499</v>
      </c>
      <c r="G18" s="64" t="s">
        <v>23</v>
      </c>
      <c r="I18" s="60"/>
      <c r="J18" s="55"/>
      <c r="K18" s="55"/>
      <c r="L18" s="55"/>
    </row>
    <row r="19" spans="1:12" x14ac:dyDescent="0.45">
      <c r="A19" s="55"/>
      <c r="B19" s="55"/>
      <c r="C19" s="55"/>
      <c r="D19" s="55"/>
      <c r="E19" s="55"/>
      <c r="F19" s="166">
        <f>Medical!D25</f>
        <v>-67836.790400000027</v>
      </c>
      <c r="G19" s="64" t="s">
        <v>24</v>
      </c>
      <c r="H19" s="55">
        <f>SUM(D18:F19)</f>
        <v>308597.48020722496</v>
      </c>
      <c r="I19" s="60"/>
      <c r="J19" s="55"/>
      <c r="K19" s="55"/>
      <c r="L19" s="55"/>
    </row>
    <row r="20" spans="1:12" x14ac:dyDescent="0.45">
      <c r="A20" s="55"/>
      <c r="B20" s="55"/>
      <c r="C20" s="55" t="s">
        <v>25</v>
      </c>
      <c r="D20" s="55"/>
      <c r="E20" s="55"/>
      <c r="F20" s="166"/>
      <c r="G20" s="64"/>
      <c r="H20" s="55">
        <f>SUM(D20:F20)</f>
        <v>0</v>
      </c>
      <c r="I20" s="65"/>
    </row>
    <row r="21" spans="1:12" x14ac:dyDescent="0.45">
      <c r="A21" s="55"/>
      <c r="B21" s="55"/>
      <c r="C21" s="55" t="s">
        <v>26</v>
      </c>
      <c r="D21" s="55">
        <v>324191</v>
      </c>
      <c r="E21" s="55"/>
      <c r="F21" s="55">
        <f>-'Water Loss'!D31</f>
        <v>-31464.603309015118</v>
      </c>
      <c r="G21" s="64" t="s">
        <v>27</v>
      </c>
      <c r="H21" s="55">
        <f t="shared" si="0"/>
        <v>292726.3966909849</v>
      </c>
      <c r="I21" s="66"/>
      <c r="K21" s="55"/>
      <c r="L21" s="55"/>
    </row>
    <row r="22" spans="1:12" x14ac:dyDescent="0.45">
      <c r="A22" s="55"/>
      <c r="B22" s="55"/>
      <c r="C22" s="55" t="s">
        <v>28</v>
      </c>
      <c r="D22" s="55">
        <v>115423</v>
      </c>
      <c r="E22" s="55"/>
      <c r="F22" s="55">
        <f>-'Water Loss'!D32</f>
        <v>-11202.466779572696</v>
      </c>
      <c r="G22" s="64" t="str">
        <f>G21</f>
        <v>(G)</v>
      </c>
      <c r="H22" s="55">
        <f t="shared" si="0"/>
        <v>104220.5332204273</v>
      </c>
      <c r="I22" s="66"/>
      <c r="K22" s="55"/>
      <c r="L22" s="55"/>
    </row>
    <row r="23" spans="1:12" x14ac:dyDescent="0.45">
      <c r="A23" s="55"/>
      <c r="B23" s="55"/>
      <c r="C23" s="55" t="s">
        <v>29</v>
      </c>
      <c r="D23" s="55">
        <v>177942</v>
      </c>
      <c r="E23" s="55"/>
      <c r="F23" s="55">
        <f>-Capital!C6</f>
        <v>-10664.5</v>
      </c>
      <c r="G23" s="64" t="str">
        <f>G15</f>
        <v>(C)</v>
      </c>
      <c r="H23" s="55">
        <f t="shared" si="0"/>
        <v>167277.5</v>
      </c>
      <c r="I23" s="60"/>
      <c r="J23" s="55"/>
      <c r="K23" s="55"/>
      <c r="L23" s="55"/>
    </row>
    <row r="24" spans="1:12" x14ac:dyDescent="0.45">
      <c r="A24" s="55"/>
      <c r="B24" s="55"/>
      <c r="C24" s="55" t="s">
        <v>30</v>
      </c>
      <c r="D24" s="55">
        <v>30674</v>
      </c>
      <c r="E24" s="55"/>
      <c r="F24" s="55"/>
      <c r="G24" s="64"/>
      <c r="H24" s="55">
        <f t="shared" si="0"/>
        <v>30674</v>
      </c>
      <c r="I24" s="60"/>
      <c r="J24" s="55"/>
      <c r="K24" s="55"/>
      <c r="L24" s="55"/>
    </row>
    <row r="25" spans="1:12" x14ac:dyDescent="0.45">
      <c r="A25" s="55"/>
      <c r="B25" s="55"/>
      <c r="C25" s="55" t="s">
        <v>31</v>
      </c>
      <c r="D25" s="55">
        <v>54167</v>
      </c>
      <c r="E25" s="55"/>
      <c r="F25" s="55"/>
      <c r="G25" s="64"/>
      <c r="H25" s="55">
        <f t="shared" si="0"/>
        <v>54167</v>
      </c>
      <c r="I25" s="62"/>
      <c r="J25" s="55"/>
      <c r="K25" s="55"/>
      <c r="L25" s="55"/>
    </row>
    <row r="26" spans="1:12" x14ac:dyDescent="0.45">
      <c r="A26" s="55"/>
      <c r="B26" s="55"/>
      <c r="C26" s="55" t="s">
        <v>32</v>
      </c>
      <c r="D26" s="55">
        <v>62653</v>
      </c>
      <c r="E26" s="55"/>
      <c r="F26" s="55"/>
      <c r="G26" s="64"/>
      <c r="H26" s="55">
        <f t="shared" si="0"/>
        <v>62653</v>
      </c>
      <c r="I26" s="62"/>
      <c r="J26" s="55"/>
      <c r="K26" s="55"/>
      <c r="L26" s="55"/>
    </row>
    <row r="27" spans="1:12" x14ac:dyDescent="0.45">
      <c r="A27" s="55"/>
      <c r="B27" s="55"/>
      <c r="C27" s="55" t="s">
        <v>33</v>
      </c>
      <c r="D27" s="55">
        <v>21667</v>
      </c>
      <c r="E27" s="55"/>
      <c r="F27" s="55"/>
      <c r="G27" s="59"/>
      <c r="H27" s="55">
        <f t="shared" si="0"/>
        <v>21667</v>
      </c>
      <c r="I27" s="62"/>
      <c r="J27" s="55"/>
      <c r="K27" s="55"/>
      <c r="L27" s="55"/>
    </row>
    <row r="28" spans="1:12" ht="16.5" x14ac:dyDescent="0.45">
      <c r="A28" s="55"/>
      <c r="B28" s="55"/>
      <c r="C28" s="55" t="s">
        <v>34</v>
      </c>
      <c r="D28" s="236">
        <v>111640</v>
      </c>
      <c r="E28" s="78"/>
      <c r="F28" s="236"/>
      <c r="G28" s="64"/>
      <c r="H28" s="236">
        <f t="shared" si="0"/>
        <v>111640</v>
      </c>
      <c r="I28" s="62"/>
      <c r="J28" s="55"/>
      <c r="K28" s="55"/>
      <c r="L28" s="55"/>
    </row>
    <row r="29" spans="1:12" x14ac:dyDescent="0.45">
      <c r="A29" s="55"/>
      <c r="B29" s="55" t="s">
        <v>35</v>
      </c>
      <c r="C29" s="55"/>
      <c r="D29" s="55">
        <f>SUM(D15:D28)</f>
        <v>1736631</v>
      </c>
      <c r="E29" s="55"/>
      <c r="F29" s="55">
        <f>SUM(F15:F28)</f>
        <v>62264.914318637107</v>
      </c>
      <c r="G29" s="59"/>
      <c r="H29" s="55">
        <f>SUM(H16:H28)</f>
        <v>1798895.9143186372</v>
      </c>
      <c r="I29" s="62"/>
      <c r="J29" s="55"/>
      <c r="K29" s="55"/>
      <c r="L29" s="55"/>
    </row>
    <row r="30" spans="1:12" ht="4.3499999999999996" customHeight="1" x14ac:dyDescent="0.45">
      <c r="A30" s="55"/>
      <c r="B30" s="55"/>
      <c r="C30" s="55"/>
      <c r="D30" s="55"/>
      <c r="E30" s="55"/>
      <c r="F30" s="55"/>
      <c r="G30" s="59"/>
      <c r="H30" s="55"/>
      <c r="I30" s="62"/>
      <c r="J30" s="55"/>
      <c r="K30" s="55"/>
      <c r="L30" s="55"/>
    </row>
    <row r="31" spans="1:12" x14ac:dyDescent="0.45">
      <c r="A31" s="55"/>
      <c r="B31" s="55" t="s">
        <v>36</v>
      </c>
      <c r="C31" s="55"/>
      <c r="D31" s="55">
        <v>798357</v>
      </c>
      <c r="E31" s="55"/>
      <c r="F31" s="55">
        <f>Depreciation!F51</f>
        <v>-3989.2017142856494</v>
      </c>
      <c r="G31" s="59" t="s">
        <v>37</v>
      </c>
      <c r="H31" s="55">
        <f>D31+F31</f>
        <v>794367.79828571435</v>
      </c>
      <c r="I31" s="62"/>
      <c r="J31" s="55"/>
      <c r="K31" s="55"/>
    </row>
    <row r="32" spans="1:12" ht="16.5" x14ac:dyDescent="0.45">
      <c r="A32" s="55"/>
      <c r="B32" s="55" t="s">
        <v>38</v>
      </c>
      <c r="C32" s="55"/>
      <c r="D32" s="284">
        <v>39778</v>
      </c>
      <c r="E32" s="78"/>
      <c r="F32" s="236">
        <f>Wages!H33</f>
        <v>7640.0280712999956</v>
      </c>
      <c r="G32" s="79" t="str">
        <f>G16</f>
        <v>(D)</v>
      </c>
      <c r="H32" s="236">
        <f>D32+F32</f>
        <v>47418.028071299996</v>
      </c>
      <c r="I32" s="62"/>
      <c r="J32" s="55"/>
      <c r="K32" s="55"/>
    </row>
    <row r="33" spans="1:12" ht="16.5" x14ac:dyDescent="0.45">
      <c r="A33" s="63" t="s">
        <v>39</v>
      </c>
      <c r="B33" s="55"/>
      <c r="C33" s="55"/>
      <c r="D33" s="236">
        <f>SUM(D29:D32)</f>
        <v>2574766</v>
      </c>
      <c r="E33" s="78"/>
      <c r="F33" s="237">
        <f>SUM(F29:F32)</f>
        <v>65915.740675651454</v>
      </c>
      <c r="G33" s="79"/>
      <c r="H33" s="236">
        <f>SUM(H29:H32)</f>
        <v>2640681.7406756515</v>
      </c>
      <c r="I33" s="62"/>
      <c r="J33" s="55"/>
      <c r="K33" s="55"/>
      <c r="L33" s="55"/>
    </row>
    <row r="34" spans="1:12" ht="4.3499999999999996" customHeight="1" x14ac:dyDescent="0.45">
      <c r="A34" s="63"/>
      <c r="B34" s="55"/>
      <c r="C34" s="55"/>
      <c r="D34" s="80"/>
      <c r="E34" s="80"/>
      <c r="F34" s="55"/>
      <c r="G34" s="59"/>
      <c r="H34" s="55"/>
      <c r="I34" s="55"/>
      <c r="J34" s="55"/>
      <c r="K34" s="55"/>
      <c r="L34" s="55"/>
    </row>
    <row r="35" spans="1:12" x14ac:dyDescent="0.45">
      <c r="A35" s="63" t="s">
        <v>40</v>
      </c>
      <c r="B35" s="55"/>
      <c r="C35" s="55"/>
      <c r="D35" s="251">
        <f>D11-D33</f>
        <v>-151621</v>
      </c>
      <c r="E35" s="55"/>
      <c r="F35" s="251">
        <f>F11-F33</f>
        <v>33798.091324348061</v>
      </c>
      <c r="G35" s="59"/>
      <c r="H35" s="251">
        <f>H11-H33</f>
        <v>-117822.908675652</v>
      </c>
      <c r="I35" s="55"/>
      <c r="J35" s="55"/>
      <c r="L35" s="55"/>
    </row>
    <row r="36" spans="1:12" x14ac:dyDescent="0.45">
      <c r="A36" s="55"/>
      <c r="B36" s="55"/>
      <c r="C36" s="55"/>
      <c r="D36" s="55"/>
      <c r="E36" s="55"/>
      <c r="F36" s="55"/>
      <c r="G36" s="59"/>
      <c r="H36" s="55"/>
      <c r="I36" s="55"/>
      <c r="J36" s="55"/>
      <c r="K36" s="55"/>
      <c r="L36" s="55"/>
    </row>
    <row r="37" spans="1:12" ht="18" x14ac:dyDescent="0.45">
      <c r="A37" s="304" t="s">
        <v>41</v>
      </c>
      <c r="B37" s="304"/>
      <c r="C37" s="304"/>
      <c r="D37" s="304"/>
      <c r="E37" s="304"/>
      <c r="F37" s="304"/>
      <c r="G37" s="304"/>
      <c r="H37" s="304"/>
      <c r="I37" s="55"/>
      <c r="J37" s="67"/>
      <c r="K37" s="68"/>
      <c r="L37" s="55"/>
    </row>
    <row r="38" spans="1:12" x14ac:dyDescent="0.45">
      <c r="A38" s="63" t="s">
        <v>42</v>
      </c>
      <c r="B38" s="55"/>
      <c r="C38" s="55"/>
      <c r="D38" s="69"/>
      <c r="E38" s="69"/>
      <c r="F38" s="55"/>
      <c r="G38" s="64"/>
      <c r="H38" s="252">
        <f>H33</f>
        <v>2640681.7406756515</v>
      </c>
      <c r="I38" s="55"/>
      <c r="K38" s="55"/>
      <c r="L38" s="55"/>
    </row>
    <row r="39" spans="1:12" x14ac:dyDescent="0.45">
      <c r="A39" s="55" t="s">
        <v>43</v>
      </c>
      <c r="B39" s="55"/>
      <c r="C39" s="55" t="s">
        <v>44</v>
      </c>
      <c r="D39" s="69"/>
      <c r="E39" s="69"/>
      <c r="F39" s="55"/>
      <c r="G39" s="64"/>
      <c r="H39" s="7">
        <f>'Debt Service'!M20</f>
        <v>289597.41600000003</v>
      </c>
      <c r="I39" s="55"/>
      <c r="K39" s="55"/>
      <c r="L39" s="55"/>
    </row>
    <row r="40" spans="1:12" x14ac:dyDescent="0.45">
      <c r="A40" s="55"/>
      <c r="B40" s="55"/>
      <c r="C40" s="55" t="s">
        <v>45</v>
      </c>
      <c r="D40" s="69"/>
      <c r="E40" s="69"/>
      <c r="F40" s="55"/>
      <c r="G40" s="64"/>
      <c r="H40" s="5">
        <f>'Debt Service'!M22</f>
        <v>57919.48320000001</v>
      </c>
      <c r="I40" s="55"/>
      <c r="K40" s="55"/>
      <c r="L40" s="55"/>
    </row>
    <row r="41" spans="1:12" x14ac:dyDescent="0.45">
      <c r="A41" s="63" t="s">
        <v>46</v>
      </c>
      <c r="B41" s="55"/>
      <c r="C41" s="55"/>
      <c r="D41" s="69"/>
      <c r="E41" s="69"/>
      <c r="F41" s="55"/>
      <c r="G41" s="64"/>
      <c r="H41" s="7">
        <f>H38+H39+H40</f>
        <v>2988198.6398756518</v>
      </c>
      <c r="I41" s="55"/>
      <c r="K41" s="55"/>
      <c r="L41" s="55"/>
    </row>
    <row r="42" spans="1:12" x14ac:dyDescent="0.45">
      <c r="A42" s="55" t="s">
        <v>47</v>
      </c>
      <c r="B42" s="55"/>
      <c r="C42" s="55" t="s">
        <v>48</v>
      </c>
      <c r="D42" s="69"/>
      <c r="E42" s="69"/>
      <c r="F42" s="55"/>
      <c r="G42" s="64"/>
      <c r="H42" s="7">
        <f>SUM(H10:H10)</f>
        <v>35666.86</v>
      </c>
      <c r="I42" s="55"/>
      <c r="K42" s="55"/>
      <c r="L42" s="55"/>
    </row>
    <row r="43" spans="1:12" x14ac:dyDescent="0.45">
      <c r="A43" s="55"/>
      <c r="B43" s="55"/>
      <c r="C43" s="55" t="s">
        <v>49</v>
      </c>
      <c r="D43" s="69"/>
      <c r="E43" s="69"/>
      <c r="F43" s="55"/>
      <c r="G43" s="64"/>
      <c r="H43" s="7">
        <f>H9</f>
        <v>90541.204999999987</v>
      </c>
      <c r="I43" s="55"/>
      <c r="K43" s="55"/>
      <c r="L43" s="55"/>
    </row>
    <row r="44" spans="1:12" x14ac:dyDescent="0.45">
      <c r="A44" s="55"/>
      <c r="B44" s="55"/>
      <c r="C44" s="55" t="s">
        <v>50</v>
      </c>
      <c r="D44" s="69"/>
      <c r="E44" s="69"/>
      <c r="F44" s="55"/>
      <c r="G44" s="64"/>
      <c r="H44" s="5">
        <v>1119</v>
      </c>
      <c r="I44" s="55"/>
      <c r="J44" s="34"/>
      <c r="K44" s="55"/>
      <c r="L44" s="55"/>
    </row>
    <row r="45" spans="1:12" x14ac:dyDescent="0.45">
      <c r="A45" s="63" t="s">
        <v>51</v>
      </c>
      <c r="B45" s="55"/>
      <c r="C45" s="55"/>
      <c r="D45" s="69"/>
      <c r="E45" s="69"/>
      <c r="F45" s="55"/>
      <c r="G45" s="64"/>
      <c r="H45" s="7">
        <f>H41-H42-H44-H43</f>
        <v>2860871.5748756519</v>
      </c>
      <c r="I45" s="55"/>
      <c r="K45" s="55"/>
      <c r="L45" s="55"/>
    </row>
    <row r="46" spans="1:12" x14ac:dyDescent="0.45">
      <c r="A46" s="55" t="s">
        <v>47</v>
      </c>
      <c r="B46" s="55"/>
      <c r="C46" s="55" t="s">
        <v>52</v>
      </c>
      <c r="D46" s="69"/>
      <c r="E46" s="69"/>
      <c r="F46" s="55"/>
      <c r="G46" s="64"/>
      <c r="H46" s="5">
        <f>H6</f>
        <v>2329201.7669999995</v>
      </c>
      <c r="I46" s="55"/>
      <c r="J46" s="34"/>
      <c r="K46" s="55"/>
      <c r="L46" s="55"/>
    </row>
    <row r="47" spans="1:12" x14ac:dyDescent="0.45">
      <c r="A47" s="63" t="s">
        <v>53</v>
      </c>
      <c r="B47" s="55"/>
      <c r="C47" s="55"/>
      <c r="D47" s="69"/>
      <c r="E47" s="69"/>
      <c r="F47" s="55"/>
      <c r="G47" s="64"/>
      <c r="H47" s="251">
        <f>H45-H46</f>
        <v>531669.80787565233</v>
      </c>
      <c r="I47" s="55"/>
      <c r="J47" s="55"/>
      <c r="K47" s="55"/>
      <c r="L47" s="55"/>
    </row>
    <row r="48" spans="1:12" ht="4.3499999999999996" customHeight="1" x14ac:dyDescent="0.45">
      <c r="A48" s="55"/>
      <c r="B48" s="55"/>
      <c r="C48" s="55"/>
      <c r="D48" s="69"/>
      <c r="E48" s="69"/>
      <c r="F48" s="55"/>
      <c r="G48" s="64"/>
      <c r="H48" s="55"/>
      <c r="I48" s="55"/>
      <c r="J48" s="55"/>
      <c r="K48" s="55"/>
      <c r="L48" s="55"/>
    </row>
    <row r="49" spans="1:12" x14ac:dyDescent="0.45">
      <c r="A49" s="63" t="s">
        <v>54</v>
      </c>
      <c r="B49" s="55"/>
      <c r="C49" s="55"/>
      <c r="D49" s="69"/>
      <c r="E49" s="69"/>
      <c r="F49" s="55"/>
      <c r="G49" s="64"/>
      <c r="H49" s="71">
        <f>IF(H47&lt;0,0,H47/H46)</f>
        <v>0.22826266724004785</v>
      </c>
      <c r="I49" s="55"/>
      <c r="J49" s="55"/>
      <c r="K49" s="55"/>
      <c r="L49" s="55"/>
    </row>
    <row r="52" spans="1:12" x14ac:dyDescent="0.45">
      <c r="A52" s="63"/>
      <c r="B52" s="55"/>
      <c r="C52" s="55"/>
      <c r="D52" s="69"/>
      <c r="E52" s="69"/>
      <c r="F52" s="55"/>
      <c r="G52" s="64"/>
      <c r="H52" s="55"/>
    </row>
    <row r="53" spans="1:12" x14ac:dyDescent="0.45">
      <c r="A53" s="55"/>
      <c r="B53" s="55"/>
      <c r="C53" s="55"/>
      <c r="D53" s="69"/>
      <c r="E53" s="69"/>
      <c r="F53" s="55"/>
      <c r="G53" s="64"/>
      <c r="H53" s="55"/>
    </row>
    <row r="54" spans="1:12" x14ac:dyDescent="0.45">
      <c r="A54" s="63"/>
      <c r="B54" s="55"/>
      <c r="C54" s="55"/>
      <c r="D54" s="69"/>
      <c r="E54" s="69"/>
      <c r="F54" s="55"/>
      <c r="G54" s="64"/>
      <c r="H54" s="55"/>
    </row>
  </sheetData>
  <mergeCells count="2">
    <mergeCell ref="A37:H37"/>
    <mergeCell ref="A1:H1"/>
  </mergeCells>
  <printOptions horizontalCentered="1"/>
  <pageMargins left="0.45" right="0.25" top="0.5" bottom="0.5" header="0.3" footer="0.3"/>
  <pageSetup orientation="portrait" horizontalDpi="4294967293" r:id="rId1"/>
  <rowBreaks count="2" manualBreakCount="2">
    <brk id="35" max="16383" man="1"/>
    <brk id="36" max="16383" man="1"/>
  </rowBreaks>
  <ignoredErrors>
    <ignoredError sqref="H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H27"/>
  <sheetViews>
    <sheetView showGridLines="0" topLeftCell="A7" workbookViewId="0">
      <selection sqref="A1:J28"/>
    </sheetView>
  </sheetViews>
  <sheetFormatPr defaultColWidth="8.88671875" defaultRowHeight="14.25" x14ac:dyDescent="0.45"/>
  <cols>
    <col min="1" max="1" width="2.609375" style="28" customWidth="1"/>
    <col min="2" max="2" width="9.6640625" style="28" customWidth="1"/>
    <col min="3" max="3" width="11.109375" style="28" customWidth="1"/>
    <col min="4" max="4" width="8.44140625" style="28" customWidth="1"/>
    <col min="5" max="5" width="9.6640625" style="28" customWidth="1"/>
    <col min="6" max="6" width="9.6640625" style="28" hidden="1" customWidth="1"/>
    <col min="7" max="8" width="9.6640625" style="189" customWidth="1"/>
    <col min="9" max="9" width="2.88671875" style="28" customWidth="1"/>
    <col min="10" max="10" width="2.609375" style="28" customWidth="1"/>
    <col min="11" max="11" width="9.6640625" style="184" customWidth="1"/>
    <col min="12" max="190" width="9.6640625" style="28" customWidth="1"/>
    <col min="191" max="16384" width="8.88671875" style="17"/>
  </cols>
  <sheetData>
    <row r="2" spans="2:13" x14ac:dyDescent="0.45">
      <c r="B2" s="301"/>
      <c r="C2" s="300"/>
      <c r="D2" s="300"/>
      <c r="E2" s="300"/>
      <c r="F2" s="300"/>
      <c r="G2" s="302"/>
      <c r="H2" s="302"/>
      <c r="I2" s="303"/>
    </row>
    <row r="3" spans="2:13" ht="18" hidden="1" x14ac:dyDescent="0.55000000000000004">
      <c r="B3" s="311" t="s">
        <v>281</v>
      </c>
      <c r="C3" s="312"/>
      <c r="D3" s="312"/>
      <c r="E3" s="312"/>
      <c r="F3" s="312"/>
      <c r="G3" s="312"/>
      <c r="H3" s="312"/>
      <c r="I3" s="313"/>
    </row>
    <row r="4" spans="2:13" ht="18" hidden="1" customHeight="1" x14ac:dyDescent="0.55000000000000004">
      <c r="B4" s="311" t="s">
        <v>301</v>
      </c>
      <c r="C4" s="312"/>
      <c r="D4" s="312"/>
      <c r="E4" s="312"/>
      <c r="F4" s="312"/>
      <c r="G4" s="312"/>
      <c r="H4" s="312"/>
      <c r="I4" s="313"/>
    </row>
    <row r="5" spans="2:13" ht="21" x14ac:dyDescent="0.65">
      <c r="B5" s="327" t="s">
        <v>229</v>
      </c>
      <c r="C5" s="328"/>
      <c r="D5" s="328"/>
      <c r="E5" s="328"/>
      <c r="F5" s="328"/>
      <c r="G5" s="328"/>
      <c r="H5" s="328"/>
      <c r="I5" s="329"/>
    </row>
    <row r="6" spans="2:13" ht="18" customHeight="1" x14ac:dyDescent="0.45">
      <c r="B6" s="330" t="s">
        <v>1</v>
      </c>
      <c r="C6" s="331"/>
      <c r="D6" s="331"/>
      <c r="E6" s="331"/>
      <c r="F6" s="331"/>
      <c r="G6" s="331"/>
      <c r="H6" s="331"/>
      <c r="I6" s="332"/>
    </row>
    <row r="7" spans="2:13" ht="6" customHeight="1" x14ac:dyDescent="0.45">
      <c r="B7" s="187"/>
      <c r="I7" s="188"/>
    </row>
    <row r="8" spans="2:13" x14ac:dyDescent="0.45">
      <c r="B8" s="187"/>
      <c r="I8" s="188"/>
    </row>
    <row r="9" spans="2:13" ht="18" x14ac:dyDescent="0.55000000000000004">
      <c r="B9" s="335" t="s">
        <v>230</v>
      </c>
      <c r="C9" s="336"/>
      <c r="D9" s="336"/>
      <c r="E9" s="336"/>
      <c r="F9" s="336"/>
      <c r="G9" s="336"/>
      <c r="H9" s="336"/>
      <c r="I9" s="337"/>
    </row>
    <row r="10" spans="2:13" ht="6" customHeight="1" x14ac:dyDescent="0.45">
      <c r="B10" s="187"/>
      <c r="I10" s="188"/>
    </row>
    <row r="11" spans="2:13" ht="30.6" customHeight="1" x14ac:dyDescent="0.75">
      <c r="B11" s="333" t="s">
        <v>231</v>
      </c>
      <c r="C11" s="334"/>
      <c r="D11" s="215" t="s">
        <v>232</v>
      </c>
      <c r="E11" s="215" t="s">
        <v>233</v>
      </c>
      <c r="F11" s="215"/>
      <c r="G11" s="326" t="s">
        <v>234</v>
      </c>
      <c r="H11" s="326"/>
      <c r="I11" s="190"/>
    </row>
    <row r="12" spans="2:13" x14ac:dyDescent="0.45">
      <c r="B12" s="30"/>
      <c r="C12" s="29" t="s">
        <v>235</v>
      </c>
      <c r="D12" s="31">
        <f>ExBA!E27</f>
        <v>29.78</v>
      </c>
      <c r="E12" s="32">
        <f>ROUND(D12*(1+SAO!$H$49),2)</f>
        <v>36.58</v>
      </c>
      <c r="F12" s="31" t="e">
        <f>#REF!*(1+#REF!)</f>
        <v>#REF!</v>
      </c>
      <c r="G12" s="195">
        <f>E12-D12</f>
        <v>6.7999999999999972</v>
      </c>
      <c r="H12" s="196">
        <f>G12/D12</f>
        <v>0.22834116856950964</v>
      </c>
      <c r="I12" s="191"/>
      <c r="L12" s="185"/>
      <c r="M12" s="185"/>
    </row>
    <row r="13" spans="2:13" x14ac:dyDescent="0.45">
      <c r="B13" s="30"/>
      <c r="C13" s="29" t="s">
        <v>236</v>
      </c>
      <c r="D13" s="28">
        <f>ExBA!E28</f>
        <v>12.48</v>
      </c>
      <c r="E13" s="185">
        <f>ROUND(D13*(1+SAO!$H$49),2)</f>
        <v>15.33</v>
      </c>
      <c r="F13" s="31"/>
      <c r="G13" s="189">
        <f t="shared" ref="G13:G16" si="0">E13-D13</f>
        <v>2.8499999999999996</v>
      </c>
      <c r="H13" s="196">
        <f t="shared" ref="H13:H16" si="1">G13/D13</f>
        <v>0.22836538461538458</v>
      </c>
      <c r="I13" s="191"/>
      <c r="L13" s="185"/>
      <c r="M13" s="185"/>
    </row>
    <row r="14" spans="2:13" x14ac:dyDescent="0.45">
      <c r="B14" s="30"/>
      <c r="C14" s="29" t="s">
        <v>237</v>
      </c>
      <c r="D14" s="28">
        <f>ExBA!E29</f>
        <v>10.93</v>
      </c>
      <c r="E14" s="185">
        <f>ROUND(D14*(1+SAO!$H$49),2)</f>
        <v>13.42</v>
      </c>
      <c r="F14" s="31"/>
      <c r="G14" s="189">
        <f t="shared" si="0"/>
        <v>2.4900000000000002</v>
      </c>
      <c r="H14" s="196">
        <f t="shared" si="1"/>
        <v>0.22781335773101558</v>
      </c>
      <c r="I14" s="191"/>
      <c r="L14" s="185"/>
      <c r="M14" s="185"/>
    </row>
    <row r="15" spans="2:13" x14ac:dyDescent="0.45">
      <c r="B15" s="30"/>
      <c r="C15" s="29" t="s">
        <v>238</v>
      </c>
      <c r="D15" s="28">
        <f>ExBA!E30</f>
        <v>9.3800000000000008</v>
      </c>
      <c r="E15" s="185">
        <f>ROUND(D15*(1+SAO!$H$49),2)</f>
        <v>11.52</v>
      </c>
      <c r="F15" s="31"/>
      <c r="G15" s="189">
        <f t="shared" si="0"/>
        <v>2.1399999999999988</v>
      </c>
      <c r="H15" s="196">
        <f t="shared" si="1"/>
        <v>0.22814498933901906</v>
      </c>
      <c r="I15" s="191"/>
      <c r="L15" s="185"/>
      <c r="M15" s="185"/>
    </row>
    <row r="16" spans="2:13" x14ac:dyDescent="0.45">
      <c r="B16" s="30"/>
      <c r="C16" s="29" t="s">
        <v>239</v>
      </c>
      <c r="D16" s="28">
        <f>ExBA!E31</f>
        <v>7.84</v>
      </c>
      <c r="E16" s="185">
        <f>ROUND(D16*(1+SAO!$H$49),2)</f>
        <v>9.6300000000000008</v>
      </c>
      <c r="F16" s="28" t="e">
        <f>#REF!*(1+#REF!)</f>
        <v>#REF!</v>
      </c>
      <c r="G16" s="189">
        <f t="shared" si="0"/>
        <v>1.7900000000000009</v>
      </c>
      <c r="H16" s="196">
        <f t="shared" si="1"/>
        <v>0.22831632653061237</v>
      </c>
      <c r="I16" s="188"/>
      <c r="L16" s="185"/>
      <c r="M16" s="185"/>
    </row>
    <row r="17" spans="2:13" x14ac:dyDescent="0.45">
      <c r="B17" s="192"/>
      <c r="D17" s="17"/>
      <c r="H17" s="196"/>
      <c r="I17" s="188"/>
      <c r="L17" s="185"/>
      <c r="M17" s="185"/>
    </row>
    <row r="18" spans="2:13" ht="18" x14ac:dyDescent="0.55000000000000004">
      <c r="B18" s="317" t="s">
        <v>240</v>
      </c>
      <c r="C18" s="318"/>
      <c r="D18" s="318"/>
      <c r="E18" s="318"/>
      <c r="F18" s="318"/>
      <c r="G18" s="318"/>
      <c r="H18" s="318"/>
      <c r="I18" s="319"/>
    </row>
    <row r="19" spans="2:13" x14ac:dyDescent="0.45">
      <c r="B19" s="187"/>
      <c r="H19" s="196"/>
      <c r="I19" s="188"/>
    </row>
    <row r="20" spans="2:13" ht="16.5" x14ac:dyDescent="0.75">
      <c r="B20" s="320" t="s">
        <v>241</v>
      </c>
      <c r="C20" s="321"/>
      <c r="D20" s="215" t="s">
        <v>232</v>
      </c>
      <c r="E20" s="215" t="s">
        <v>233</v>
      </c>
      <c r="G20" s="326" t="s">
        <v>234</v>
      </c>
      <c r="H20" s="326"/>
      <c r="I20" s="188"/>
    </row>
    <row r="21" spans="2:13" x14ac:dyDescent="0.45">
      <c r="B21" s="320" t="s">
        <v>242</v>
      </c>
      <c r="C21" s="321"/>
      <c r="D21" s="216">
        <v>1.53</v>
      </c>
      <c r="E21" s="216">
        <v>1.53</v>
      </c>
      <c r="G21" s="195">
        <f>E21-D21</f>
        <v>0</v>
      </c>
      <c r="H21" s="196">
        <v>0</v>
      </c>
      <c r="I21" s="188"/>
    </row>
    <row r="22" spans="2:13" x14ac:dyDescent="0.45">
      <c r="B22" s="220"/>
      <c r="C22" s="221"/>
      <c r="D22" s="216"/>
      <c r="E22" s="216"/>
      <c r="G22" s="195"/>
      <c r="H22" s="196"/>
      <c r="I22" s="188"/>
    </row>
    <row r="23" spans="2:13" ht="18" x14ac:dyDescent="0.55000000000000004">
      <c r="B23" s="314" t="s">
        <v>243</v>
      </c>
      <c r="C23" s="315"/>
      <c r="D23" s="315"/>
      <c r="E23" s="315"/>
      <c r="F23" s="315"/>
      <c r="G23" s="315"/>
      <c r="H23" s="315"/>
      <c r="I23" s="316"/>
    </row>
    <row r="24" spans="2:13" ht="18" x14ac:dyDescent="0.55000000000000004">
      <c r="B24" s="239"/>
      <c r="C24" s="240"/>
      <c r="D24" s="240"/>
      <c r="E24" s="240"/>
      <c r="F24" s="240"/>
      <c r="G24" s="240"/>
      <c r="H24" s="240"/>
      <c r="I24" s="241"/>
    </row>
    <row r="25" spans="2:13" ht="16.5" x14ac:dyDescent="0.75">
      <c r="B25" s="320"/>
      <c r="C25" s="321"/>
      <c r="D25" s="242" t="s">
        <v>232</v>
      </c>
      <c r="E25" s="242" t="s">
        <v>233</v>
      </c>
      <c r="G25" s="324" t="s">
        <v>234</v>
      </c>
      <c r="H25" s="324"/>
      <c r="I25" s="188"/>
    </row>
    <row r="26" spans="2:13" x14ac:dyDescent="0.45">
      <c r="B26" s="322" t="s">
        <v>244</v>
      </c>
      <c r="C26" s="323"/>
      <c r="D26" s="243">
        <v>0</v>
      </c>
      <c r="E26" s="243">
        <v>0.1</v>
      </c>
      <c r="G26" s="325">
        <v>0.1</v>
      </c>
      <c r="H26" s="325"/>
      <c r="I26" s="188"/>
    </row>
    <row r="27" spans="2:13" x14ac:dyDescent="0.45">
      <c r="B27" s="217"/>
      <c r="C27" s="193"/>
      <c r="D27" s="193"/>
      <c r="E27" s="193"/>
      <c r="F27" s="193"/>
      <c r="G27" s="218"/>
      <c r="H27" s="218"/>
      <c r="I27" s="194"/>
    </row>
  </sheetData>
  <mergeCells count="16">
    <mergeCell ref="B3:I3"/>
    <mergeCell ref="B23:I23"/>
    <mergeCell ref="B18:I18"/>
    <mergeCell ref="B25:C25"/>
    <mergeCell ref="B26:C26"/>
    <mergeCell ref="G25:H25"/>
    <mergeCell ref="G26:H26"/>
    <mergeCell ref="B20:C20"/>
    <mergeCell ref="B21:C21"/>
    <mergeCell ref="G20:H20"/>
    <mergeCell ref="B4:I4"/>
    <mergeCell ref="B5:I5"/>
    <mergeCell ref="B6:I6"/>
    <mergeCell ref="B11:C11"/>
    <mergeCell ref="G11:H11"/>
    <mergeCell ref="B9:I9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18"/>
  <sheetViews>
    <sheetView showGridLines="0" workbookViewId="0">
      <selection activeCell="J18" sqref="A1:J18"/>
    </sheetView>
  </sheetViews>
  <sheetFormatPr defaultColWidth="8.88671875" defaultRowHeight="14.25" x14ac:dyDescent="0.45"/>
  <cols>
    <col min="1" max="1" width="2.609375" style="7" customWidth="1"/>
    <col min="2" max="2" width="1.88671875" style="7" customWidth="1"/>
    <col min="3" max="8" width="9.88671875" style="7" customWidth="1"/>
    <col min="9" max="9" width="1.88671875" style="7" customWidth="1"/>
    <col min="10" max="10" width="2.609375" style="7" customWidth="1"/>
    <col min="11" max="16384" width="8.88671875" style="7"/>
  </cols>
  <sheetData>
    <row r="2" spans="2:11" x14ac:dyDescent="0.45">
      <c r="B2" s="8"/>
      <c r="C2" s="9"/>
      <c r="D2" s="9"/>
      <c r="E2" s="9"/>
      <c r="F2" s="9"/>
      <c r="G2" s="9"/>
      <c r="H2" s="9"/>
      <c r="I2" s="10"/>
    </row>
    <row r="3" spans="2:11" ht="18" x14ac:dyDescent="0.55000000000000004">
      <c r="B3" s="11"/>
      <c r="C3" s="339" t="s">
        <v>245</v>
      </c>
      <c r="D3" s="339"/>
      <c r="E3" s="339"/>
      <c r="F3" s="339"/>
      <c r="G3" s="339"/>
      <c r="H3" s="339"/>
      <c r="I3" s="340"/>
    </row>
    <row r="4" spans="2:11" ht="18" x14ac:dyDescent="0.55000000000000004">
      <c r="B4" s="11"/>
      <c r="C4" s="318" t="s">
        <v>246</v>
      </c>
      <c r="D4" s="318"/>
      <c r="E4" s="318"/>
      <c r="F4" s="318"/>
      <c r="G4" s="318"/>
      <c r="H4" s="318"/>
      <c r="I4" s="319"/>
    </row>
    <row r="5" spans="2:11" ht="15.75" x14ac:dyDescent="0.45">
      <c r="B5" s="11"/>
      <c r="C5" s="309" t="s">
        <v>1</v>
      </c>
      <c r="D5" s="309"/>
      <c r="E5" s="309"/>
      <c r="F5" s="309"/>
      <c r="G5" s="309"/>
      <c r="H5" s="309"/>
      <c r="I5" s="338"/>
    </row>
    <row r="6" spans="2:11" x14ac:dyDescent="0.45">
      <c r="B6" s="13"/>
      <c r="C6" s="5"/>
      <c r="D6" s="5"/>
      <c r="E6" s="5"/>
      <c r="F6" s="5"/>
      <c r="G6" s="5"/>
      <c r="H6" s="5"/>
      <c r="I6" s="14"/>
    </row>
    <row r="7" spans="2:11" ht="6" customHeight="1" x14ac:dyDescent="0.45">
      <c r="B7" s="11"/>
      <c r="C7" s="6"/>
      <c r="D7" s="12"/>
      <c r="E7" s="37"/>
      <c r="F7" s="38"/>
      <c r="G7" s="38"/>
      <c r="H7" s="38"/>
      <c r="I7" s="39"/>
      <c r="J7" s="36"/>
      <c r="K7" s="36"/>
    </row>
    <row r="8" spans="2:11" ht="16.5" x14ac:dyDescent="0.75">
      <c r="B8" s="11"/>
      <c r="C8" s="16" t="s">
        <v>247</v>
      </c>
      <c r="D8" s="35" t="s">
        <v>248</v>
      </c>
      <c r="E8" s="40" t="s">
        <v>249</v>
      </c>
      <c r="F8" s="16" t="s">
        <v>233</v>
      </c>
      <c r="G8" s="16"/>
      <c r="H8" s="16"/>
      <c r="I8" s="35"/>
    </row>
    <row r="9" spans="2:11" ht="16.5" x14ac:dyDescent="0.75">
      <c r="B9" s="11"/>
      <c r="C9" s="16" t="s">
        <v>250</v>
      </c>
      <c r="D9" s="35" t="s">
        <v>251</v>
      </c>
      <c r="E9" s="40" t="s">
        <v>252</v>
      </c>
      <c r="F9" s="16" t="s">
        <v>252</v>
      </c>
      <c r="G9" s="16" t="s">
        <v>253</v>
      </c>
      <c r="H9" s="16" t="s">
        <v>254</v>
      </c>
      <c r="I9" s="35"/>
    </row>
    <row r="10" spans="2:11" x14ac:dyDescent="0.45">
      <c r="B10" s="11"/>
      <c r="C10" s="17">
        <v>0</v>
      </c>
      <c r="D10" s="41" t="s">
        <v>255</v>
      </c>
      <c r="E10" s="30">
        <f>Rates!D$12</f>
        <v>29.78</v>
      </c>
      <c r="F10" s="17">
        <f>Rates!E$12</f>
        <v>36.58</v>
      </c>
      <c r="G10" s="51">
        <f>F10-E10</f>
        <v>6.7999999999999972</v>
      </c>
      <c r="H10" s="74">
        <f>G10/E10</f>
        <v>0.22834116856950964</v>
      </c>
      <c r="I10" s="44"/>
    </row>
    <row r="11" spans="2:11" x14ac:dyDescent="0.45">
      <c r="B11" s="11"/>
      <c r="C11" s="6">
        <v>2000</v>
      </c>
      <c r="D11" s="41" t="s">
        <v>255</v>
      </c>
      <c r="E11" s="30">
        <f>Rates!D$12</f>
        <v>29.78</v>
      </c>
      <c r="F11" s="30">
        <f>Rates!E$12</f>
        <v>36.58</v>
      </c>
      <c r="G11" s="17">
        <f t="shared" ref="G11:G15" si="0">F11-E11</f>
        <v>6.7999999999999972</v>
      </c>
      <c r="H11" s="74">
        <f t="shared" ref="H11:H15" si="1">G11/E11</f>
        <v>0.22834116856950964</v>
      </c>
      <c r="I11" s="44"/>
    </row>
    <row r="12" spans="2:11" x14ac:dyDescent="0.45">
      <c r="B12" s="11"/>
      <c r="C12" s="45">
        <v>4000</v>
      </c>
      <c r="D12" s="46" t="s">
        <v>255</v>
      </c>
      <c r="E12" s="219">
        <f>E11+(Rates!D13*2)</f>
        <v>54.74</v>
      </c>
      <c r="F12" s="219">
        <f>F11+(Rates!E13*2)</f>
        <v>67.239999999999995</v>
      </c>
      <c r="G12" s="47">
        <f t="shared" si="0"/>
        <v>12.499999999999993</v>
      </c>
      <c r="H12" s="75">
        <f t="shared" si="1"/>
        <v>0.22835221044939702</v>
      </c>
      <c r="I12" s="48"/>
    </row>
    <row r="13" spans="2:11" x14ac:dyDescent="0.45">
      <c r="B13" s="11"/>
      <c r="C13" s="6">
        <v>6000</v>
      </c>
      <c r="D13" s="41" t="s">
        <v>255</v>
      </c>
      <c r="E13" s="30">
        <f>E11+(Rates!D13*3)+(Rates!D14*1)</f>
        <v>78.150000000000006</v>
      </c>
      <c r="F13" s="30">
        <f>F11+(Rates!E13*3)+Rates!E14</f>
        <v>95.99</v>
      </c>
      <c r="G13" s="17">
        <f t="shared" si="0"/>
        <v>17.839999999999989</v>
      </c>
      <c r="H13" s="74">
        <f t="shared" si="1"/>
        <v>0.2282789507357644</v>
      </c>
      <c r="I13" s="44"/>
    </row>
    <row r="14" spans="2:11" x14ac:dyDescent="0.45">
      <c r="B14" s="11"/>
      <c r="C14" s="6">
        <v>8000</v>
      </c>
      <c r="D14" s="41" t="s">
        <v>255</v>
      </c>
      <c r="E14" s="30">
        <f>E11+(Rates!D13*3)+(Rates!D14*3)</f>
        <v>100.00999999999999</v>
      </c>
      <c r="F14" s="30">
        <f>F11+(Rates!E13*3)+(Rates!E14*3)</f>
        <v>122.82999999999998</v>
      </c>
      <c r="G14" s="17">
        <f t="shared" si="0"/>
        <v>22.819999999999993</v>
      </c>
      <c r="H14" s="74">
        <f t="shared" si="1"/>
        <v>0.22817718228177178</v>
      </c>
      <c r="I14" s="44"/>
    </row>
    <row r="15" spans="2:11" x14ac:dyDescent="0.45">
      <c r="B15" s="11"/>
      <c r="C15" s="6">
        <v>10000</v>
      </c>
      <c r="D15" s="41" t="s">
        <v>255</v>
      </c>
      <c r="E15" s="30">
        <f>E11+(Rates!D13*3)+(Rates!D14*5)</f>
        <v>121.87</v>
      </c>
      <c r="F15" s="30">
        <f>F11+(Rates!E13*3)+(Rates!E14*5)</f>
        <v>149.66999999999999</v>
      </c>
      <c r="G15" s="17">
        <f t="shared" si="0"/>
        <v>27.799999999999983</v>
      </c>
      <c r="H15" s="74">
        <f t="shared" si="1"/>
        <v>0.22811192254041177</v>
      </c>
      <c r="I15" s="44"/>
    </row>
    <row r="16" spans="2:11" ht="6" customHeight="1" x14ac:dyDescent="0.45">
      <c r="B16" s="13"/>
      <c r="C16" s="5"/>
      <c r="D16" s="4"/>
      <c r="E16" s="43"/>
      <c r="F16" s="42"/>
      <c r="G16" s="42"/>
      <c r="H16" s="5"/>
      <c r="I16" s="14"/>
    </row>
    <row r="18" spans="4:4" x14ac:dyDescent="0.45">
      <c r="D18" s="52" t="s">
        <v>256</v>
      </c>
    </row>
  </sheetData>
  <mergeCells count="3">
    <mergeCell ref="C4:I4"/>
    <mergeCell ref="C5:I5"/>
    <mergeCell ref="C3:I3"/>
  </mergeCells>
  <printOptions horizontalCentered="1"/>
  <pageMargins left="0.7" right="0.7" top="1.1000000000000001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S38"/>
  <sheetViews>
    <sheetView showGridLines="0" zoomScaleNormal="100" workbookViewId="0">
      <selection sqref="A1:J32"/>
    </sheetView>
  </sheetViews>
  <sheetFormatPr defaultColWidth="8.88671875" defaultRowHeight="15" x14ac:dyDescent="0.4"/>
  <cols>
    <col min="1" max="1" width="7.88671875" style="148" customWidth="1"/>
    <col min="2" max="2" width="8.109375" style="148" customWidth="1"/>
    <col min="3" max="8" width="12.5546875" style="148" customWidth="1"/>
    <col min="9" max="12" width="10.44140625" style="148" customWidth="1"/>
    <col min="13" max="13" width="13.109375" style="148" customWidth="1"/>
    <col min="14" max="16384" width="8.88671875" style="148"/>
  </cols>
  <sheetData>
    <row r="1" spans="1:19" ht="21" x14ac:dyDescent="0.65">
      <c r="A1" s="341" t="s">
        <v>257</v>
      </c>
      <c r="B1" s="341"/>
      <c r="C1" s="341"/>
      <c r="D1" s="341"/>
      <c r="E1" s="341"/>
      <c r="F1" s="341"/>
      <c r="G1" s="341"/>
    </row>
    <row r="2" spans="1:19" ht="18" x14ac:dyDescent="0.4">
      <c r="A2" s="331" t="s">
        <v>1</v>
      </c>
      <c r="B2" s="331"/>
      <c r="C2" s="331"/>
      <c r="D2" s="331"/>
      <c r="E2" s="331"/>
      <c r="F2" s="331"/>
      <c r="G2" s="331"/>
    </row>
    <row r="3" spans="1:19" x14ac:dyDescent="0.45">
      <c r="A3" s="25"/>
      <c r="B3" s="26"/>
      <c r="C3" s="26"/>
      <c r="D3" s="26"/>
      <c r="E3" s="26"/>
      <c r="F3" s="26"/>
      <c r="G3" s="26"/>
    </row>
    <row r="4" spans="1:19" ht="15.75" x14ac:dyDescent="0.45">
      <c r="A4" s="1"/>
      <c r="C4" s="342" t="s">
        <v>258</v>
      </c>
      <c r="D4" s="342"/>
      <c r="E4" s="342"/>
      <c r="F4" s="342"/>
      <c r="G4" s="1"/>
    </row>
    <row r="5" spans="1:19" x14ac:dyDescent="0.45">
      <c r="A5" s="1"/>
      <c r="B5" s="1"/>
      <c r="C5" s="151" t="s">
        <v>259</v>
      </c>
      <c r="D5" s="151"/>
      <c r="E5" s="152" t="s">
        <v>260</v>
      </c>
      <c r="F5" s="152" t="s">
        <v>261</v>
      </c>
      <c r="G5" s="21" t="s">
        <v>262</v>
      </c>
      <c r="H5" s="21"/>
      <c r="I5" s="150"/>
    </row>
    <row r="6" spans="1:19" x14ac:dyDescent="0.45">
      <c r="A6" s="1"/>
      <c r="B6" s="1"/>
      <c r="C6" s="1" t="s">
        <v>263</v>
      </c>
      <c r="D6" s="1"/>
      <c r="E6" s="2">
        <v>42371</v>
      </c>
      <c r="F6" s="225">
        <v>156839100</v>
      </c>
      <c r="G6" s="224">
        <f>F32</f>
        <v>2350958.7369999997</v>
      </c>
      <c r="H6" s="155"/>
      <c r="I6" s="156"/>
      <c r="J6" s="157"/>
      <c r="L6" s="149"/>
      <c r="M6" s="149"/>
      <c r="N6" s="149"/>
    </row>
    <row r="7" spans="1:19" x14ac:dyDescent="0.45">
      <c r="A7" s="1"/>
      <c r="B7" s="1"/>
      <c r="C7" s="1" t="s">
        <v>264</v>
      </c>
      <c r="D7" s="1"/>
      <c r="E7" s="2"/>
      <c r="F7" s="153">
        <f>F6</f>
        <v>156839100</v>
      </c>
      <c r="G7" s="6">
        <f>G6</f>
        <v>2350958.7369999997</v>
      </c>
      <c r="H7" s="155"/>
      <c r="I7" s="156"/>
      <c r="J7" s="157"/>
      <c r="L7" s="149"/>
      <c r="M7" s="149"/>
      <c r="N7" s="149"/>
    </row>
    <row r="8" spans="1:19" ht="15.75" customHeight="1" x14ac:dyDescent="0.45">
      <c r="A8" s="1"/>
      <c r="B8" s="1"/>
      <c r="C8" s="151" t="s">
        <v>265</v>
      </c>
      <c r="D8" s="151"/>
      <c r="E8" s="153"/>
      <c r="F8" s="153"/>
      <c r="G8" s="225">
        <f>-(682.31+1346.88+1840.05+1145.96+956.86-304.31+1603.74+2238.45+3020.99+3806.32+2544.35+1931.78+943.59)</f>
        <v>-21756.969999999998</v>
      </c>
      <c r="H8" s="1"/>
      <c r="L8" s="149"/>
      <c r="M8" s="149"/>
      <c r="N8" s="149"/>
    </row>
    <row r="9" spans="1:19" x14ac:dyDescent="0.45">
      <c r="A9" s="1"/>
      <c r="B9" s="1"/>
      <c r="C9" s="159" t="s">
        <v>266</v>
      </c>
      <c r="D9" s="159"/>
      <c r="E9" s="153"/>
      <c r="F9" s="153"/>
      <c r="G9" s="153">
        <f>G7+G8</f>
        <v>2329201.7669999995</v>
      </c>
      <c r="H9" s="1"/>
    </row>
    <row r="10" spans="1:19" x14ac:dyDescent="0.45">
      <c r="A10" s="1"/>
      <c r="B10" s="1"/>
      <c r="C10" s="159" t="s">
        <v>267</v>
      </c>
      <c r="D10" s="159"/>
      <c r="E10" s="153"/>
      <c r="F10" s="153"/>
      <c r="G10" s="5">
        <f>-SAO!D6+SAO!F7</f>
        <v>-2346067</v>
      </c>
      <c r="H10" s="1"/>
    </row>
    <row r="11" spans="1:19" x14ac:dyDescent="0.45">
      <c r="A11" s="1"/>
      <c r="B11" s="1"/>
      <c r="C11" s="159" t="s">
        <v>268</v>
      </c>
      <c r="D11" s="159"/>
      <c r="E11" s="153"/>
      <c r="F11" s="153"/>
      <c r="G11" s="202">
        <f>G9+G10</f>
        <v>-16865.233000000473</v>
      </c>
      <c r="H11" s="1" t="s">
        <v>269</v>
      </c>
      <c r="K11" s="203">
        <f>G11/G10</f>
        <v>7.1887260679257981E-3</v>
      </c>
    </row>
    <row r="12" spans="1:19" x14ac:dyDescent="0.45">
      <c r="A12" s="1"/>
      <c r="B12" s="1"/>
      <c r="C12" s="159"/>
      <c r="D12" s="153"/>
      <c r="E12" s="153"/>
      <c r="F12" s="158"/>
      <c r="G12" s="1"/>
    </row>
    <row r="13" spans="1:19" x14ac:dyDescent="0.45">
      <c r="A13" s="1"/>
      <c r="B13" s="1"/>
      <c r="C13" s="19"/>
      <c r="D13" s="154"/>
      <c r="E13" s="1"/>
      <c r="F13" s="1"/>
      <c r="G13" s="1"/>
    </row>
    <row r="14" spans="1:19" x14ac:dyDescent="0.45">
      <c r="A14" s="223" t="s">
        <v>270</v>
      </c>
      <c r="B14" s="1"/>
      <c r="C14" s="1"/>
      <c r="D14" s="1"/>
      <c r="E14" s="1"/>
      <c r="F14" s="1"/>
      <c r="G14" s="1"/>
    </row>
    <row r="15" spans="1:19" s="1" customFormat="1" ht="15.75" x14ac:dyDescent="0.5">
      <c r="A15" s="227"/>
      <c r="D15" s="18"/>
      <c r="L15" s="18"/>
      <c r="N15"/>
      <c r="O15"/>
      <c r="P15"/>
      <c r="Q15"/>
      <c r="R15"/>
      <c r="S15"/>
    </row>
    <row r="16" spans="1:19" s="1" customFormat="1" ht="15.4" x14ac:dyDescent="0.45">
      <c r="D16" s="18"/>
      <c r="E16" s="21" t="s">
        <v>271</v>
      </c>
      <c r="F16" s="21" t="s">
        <v>272</v>
      </c>
      <c r="G16" s="21" t="s">
        <v>272</v>
      </c>
      <c r="H16" s="21" t="s">
        <v>272</v>
      </c>
      <c r="I16" s="21" t="s">
        <v>273</v>
      </c>
      <c r="L16"/>
      <c r="M16"/>
      <c r="N16"/>
      <c r="O16"/>
      <c r="P16"/>
      <c r="Q16"/>
    </row>
    <row r="17" spans="1:19" s="1" customFormat="1" ht="15.4" x14ac:dyDescent="0.45">
      <c r="B17" s="228" t="s">
        <v>274</v>
      </c>
      <c r="C17" s="229" t="s">
        <v>260</v>
      </c>
      <c r="D17" s="124" t="s">
        <v>261</v>
      </c>
      <c r="E17" s="229">
        <f>B18</f>
        <v>2000</v>
      </c>
      <c r="F17" s="229">
        <f>B19</f>
        <v>3000</v>
      </c>
      <c r="G17" s="229">
        <f>B20</f>
        <v>20000</v>
      </c>
      <c r="H17" s="229">
        <f>B21</f>
        <v>75000</v>
      </c>
      <c r="I17" s="229">
        <f>B22</f>
        <v>100000</v>
      </c>
      <c r="J17" s="228" t="s">
        <v>130</v>
      </c>
      <c r="L17"/>
      <c r="M17"/>
      <c r="N17"/>
      <c r="O17"/>
      <c r="P17"/>
      <c r="Q17"/>
    </row>
    <row r="18" spans="1:19" s="1" customFormat="1" ht="15.4" x14ac:dyDescent="0.45">
      <c r="A18" s="22" t="s">
        <v>271</v>
      </c>
      <c r="B18" s="160">
        <v>2000</v>
      </c>
      <c r="C18" s="222">
        <v>18152</v>
      </c>
      <c r="D18" s="222">
        <v>17849200</v>
      </c>
      <c r="E18" s="222">
        <f>D18</f>
        <v>17849200</v>
      </c>
      <c r="F18" s="222"/>
      <c r="G18" s="222"/>
      <c r="H18" s="222"/>
      <c r="I18" s="222"/>
      <c r="J18" s="222">
        <f>SUM(E18:I18)</f>
        <v>17849200</v>
      </c>
      <c r="L18"/>
      <c r="M18"/>
      <c r="N18"/>
      <c r="O18"/>
      <c r="P18"/>
      <c r="Q18"/>
    </row>
    <row r="19" spans="1:19" s="1" customFormat="1" ht="15.4" x14ac:dyDescent="0.45">
      <c r="A19" s="22" t="s">
        <v>272</v>
      </c>
      <c r="B19" s="160">
        <v>3000</v>
      </c>
      <c r="C19" s="222">
        <v>18417</v>
      </c>
      <c r="D19" s="222">
        <v>60287100</v>
      </c>
      <c r="E19" s="222">
        <f>C19*E17</f>
        <v>36834000</v>
      </c>
      <c r="F19" s="222">
        <f>D19-E19</f>
        <v>23453100</v>
      </c>
      <c r="G19" s="222"/>
      <c r="H19" s="222"/>
      <c r="I19" s="222"/>
      <c r="J19" s="222">
        <f t="shared" ref="J19:J21" si="0">SUM(E19:I19)</f>
        <v>60287100</v>
      </c>
      <c r="L19"/>
      <c r="M19"/>
      <c r="N19"/>
      <c r="O19"/>
      <c r="P19"/>
      <c r="Q19"/>
    </row>
    <row r="20" spans="1:19" s="1" customFormat="1" ht="15.4" x14ac:dyDescent="0.45">
      <c r="A20" s="22" t="s">
        <v>272</v>
      </c>
      <c r="B20" s="160">
        <v>20000</v>
      </c>
      <c r="C20" s="222">
        <v>7258</v>
      </c>
      <c r="D20" s="222">
        <v>57997700</v>
      </c>
      <c r="E20" s="222">
        <f>C20*E17</f>
        <v>14516000</v>
      </c>
      <c r="F20" s="222">
        <f>C20*F17</f>
        <v>21774000</v>
      </c>
      <c r="G20" s="222">
        <f>D20-E20-F20</f>
        <v>21707700</v>
      </c>
      <c r="H20" s="222"/>
      <c r="I20" s="222"/>
      <c r="J20" s="222">
        <f t="shared" si="0"/>
        <v>57997700</v>
      </c>
      <c r="L20"/>
      <c r="M20"/>
      <c r="N20"/>
      <c r="O20"/>
      <c r="P20"/>
      <c r="Q20"/>
    </row>
    <row r="21" spans="1:19" s="1" customFormat="1" ht="15.4" x14ac:dyDescent="0.45">
      <c r="A21" s="22" t="s">
        <v>272</v>
      </c>
      <c r="B21" s="160">
        <v>75000</v>
      </c>
      <c r="C21" s="222">
        <v>260</v>
      </c>
      <c r="D21" s="222">
        <v>11234600</v>
      </c>
      <c r="E21" s="222">
        <f>C21*E17</f>
        <v>520000</v>
      </c>
      <c r="F21" s="222">
        <f>C21*F17</f>
        <v>780000</v>
      </c>
      <c r="G21" s="222">
        <f>C21*G17</f>
        <v>5200000</v>
      </c>
      <c r="H21" s="222">
        <f>D21-E21-F21-G21</f>
        <v>4734600</v>
      </c>
      <c r="I21" s="222"/>
      <c r="J21" s="222">
        <f t="shared" si="0"/>
        <v>11234600</v>
      </c>
      <c r="L21"/>
      <c r="M21"/>
      <c r="N21"/>
      <c r="O21"/>
      <c r="P21"/>
      <c r="Q21"/>
    </row>
    <row r="22" spans="1:19" s="1" customFormat="1" ht="15.4" x14ac:dyDescent="0.45">
      <c r="A22" s="22" t="s">
        <v>273</v>
      </c>
      <c r="B22" s="230">
        <v>100000</v>
      </c>
      <c r="C22" s="234">
        <v>57</v>
      </c>
      <c r="D22" s="285">
        <v>14498000</v>
      </c>
      <c r="E22" s="234">
        <f>C22*E17</f>
        <v>114000</v>
      </c>
      <c r="F22" s="234">
        <f>C22*F17</f>
        <v>171000</v>
      </c>
      <c r="G22" s="234">
        <f>C22*G17</f>
        <v>1140000</v>
      </c>
      <c r="H22" s="234">
        <f>C22*H17</f>
        <v>4275000</v>
      </c>
      <c r="I22" s="234">
        <f>D22-E22-F22-G22-H22</f>
        <v>8798000</v>
      </c>
      <c r="J22" s="234">
        <f>SUM(E22:I22)</f>
        <v>14498000</v>
      </c>
      <c r="L22"/>
      <c r="M22"/>
      <c r="N22"/>
      <c r="O22"/>
      <c r="P22"/>
      <c r="Q22"/>
    </row>
    <row r="23" spans="1:19" s="1" customFormat="1" ht="15.4" x14ac:dyDescent="0.45">
      <c r="A23" s="22"/>
      <c r="B23" s="160" t="s">
        <v>130</v>
      </c>
      <c r="C23" s="24">
        <f t="shared" ref="C23:J23" si="1">SUM(C18:C22)</f>
        <v>44144</v>
      </c>
      <c r="D23" s="24">
        <f t="shared" si="1"/>
        <v>161866600</v>
      </c>
      <c r="E23" s="24">
        <f t="shared" si="1"/>
        <v>69833200</v>
      </c>
      <c r="F23" s="24">
        <f t="shared" si="1"/>
        <v>46178100</v>
      </c>
      <c r="G23" s="24">
        <f t="shared" si="1"/>
        <v>28047700</v>
      </c>
      <c r="H23" s="24">
        <f t="shared" si="1"/>
        <v>9009600</v>
      </c>
      <c r="I23" s="24">
        <f t="shared" si="1"/>
        <v>8798000</v>
      </c>
      <c r="J23" s="24">
        <f t="shared" si="1"/>
        <v>161866600</v>
      </c>
      <c r="K23" s="18"/>
      <c r="L23"/>
      <c r="M23"/>
      <c r="N23"/>
      <c r="O23"/>
      <c r="P23"/>
      <c r="Q23"/>
    </row>
    <row r="24" spans="1:19" s="1" customFormat="1" ht="15.4" x14ac:dyDescent="0.45">
      <c r="A24" s="22"/>
      <c r="B24" s="160"/>
      <c r="D24" s="18"/>
      <c r="E24" s="160"/>
      <c r="F24" s="160"/>
      <c r="G24" s="160"/>
      <c r="H24" s="160"/>
      <c r="I24" s="160"/>
      <c r="L24" s="18"/>
      <c r="N24"/>
      <c r="O24"/>
      <c r="P24"/>
      <c r="Q24"/>
      <c r="R24"/>
      <c r="S24"/>
    </row>
    <row r="25" spans="1:19" s="1" customFormat="1" ht="15.4" x14ac:dyDescent="0.45">
      <c r="A25" s="161" t="s">
        <v>275</v>
      </c>
      <c r="B25" s="161"/>
      <c r="D25" s="18"/>
      <c r="E25" s="160"/>
      <c r="F25" s="160"/>
      <c r="G25" s="160"/>
      <c r="H25" s="160"/>
      <c r="I25" s="160"/>
      <c r="L25" s="18"/>
      <c r="N25"/>
      <c r="O25"/>
      <c r="P25"/>
      <c r="Q25"/>
      <c r="R25"/>
      <c r="S25"/>
    </row>
    <row r="26" spans="1:19" s="1" customFormat="1" ht="15.4" x14ac:dyDescent="0.45">
      <c r="A26" s="22"/>
      <c r="B26" s="228"/>
      <c r="C26" s="229" t="s">
        <v>260</v>
      </c>
      <c r="D26" s="124" t="s">
        <v>261</v>
      </c>
      <c r="E26" s="229" t="s">
        <v>276</v>
      </c>
      <c r="F26" s="229" t="s">
        <v>262</v>
      </c>
      <c r="G26" s="160"/>
      <c r="H26" s="160"/>
      <c r="I26" s="160"/>
      <c r="L26" s="18"/>
      <c r="N26"/>
      <c r="O26"/>
      <c r="P26"/>
      <c r="Q26"/>
      <c r="R26"/>
      <c r="S26"/>
    </row>
    <row r="27" spans="1:19" s="1" customFormat="1" ht="15.4" x14ac:dyDescent="0.45">
      <c r="A27" s="22" t="s">
        <v>271</v>
      </c>
      <c r="B27" s="160">
        <f>B18</f>
        <v>2000</v>
      </c>
      <c r="C27" s="18">
        <f>C23</f>
        <v>44144</v>
      </c>
      <c r="D27" s="171">
        <f>E23</f>
        <v>69833200</v>
      </c>
      <c r="E27" s="231">
        <v>29.78</v>
      </c>
      <c r="F27" s="33">
        <f>E27*C27</f>
        <v>1314608.32</v>
      </c>
      <c r="G27" s="160"/>
      <c r="L27" s="18"/>
      <c r="N27"/>
      <c r="O27"/>
      <c r="P27"/>
      <c r="Q27"/>
      <c r="R27"/>
      <c r="S27"/>
    </row>
    <row r="28" spans="1:19" s="1" customFormat="1" ht="15.4" x14ac:dyDescent="0.45">
      <c r="A28" s="22" t="s">
        <v>272</v>
      </c>
      <c r="B28" s="160">
        <f>B19</f>
        <v>3000</v>
      </c>
      <c r="D28" s="171">
        <f>F23</f>
        <v>46178100</v>
      </c>
      <c r="E28" s="15">
        <v>12.48</v>
      </c>
      <c r="F28" s="18">
        <f>E28*(D28/1000)</f>
        <v>576302.68799999997</v>
      </c>
      <c r="G28" s="160"/>
      <c r="L28" s="18"/>
      <c r="N28"/>
      <c r="O28"/>
      <c r="P28"/>
      <c r="Q28"/>
      <c r="R28"/>
      <c r="S28"/>
    </row>
    <row r="29" spans="1:19" s="1" customFormat="1" ht="15.4" x14ac:dyDescent="0.45">
      <c r="A29" s="22" t="s">
        <v>272</v>
      </c>
      <c r="B29" s="160">
        <f>B20</f>
        <v>20000</v>
      </c>
      <c r="D29" s="171">
        <f>G23</f>
        <v>28047700</v>
      </c>
      <c r="E29" s="15">
        <v>10.93</v>
      </c>
      <c r="F29" s="18">
        <f>E29*(D29/1000)</f>
        <v>306561.36099999998</v>
      </c>
      <c r="G29" s="160"/>
      <c r="L29" s="18"/>
      <c r="N29"/>
      <c r="O29"/>
      <c r="P29"/>
      <c r="Q29"/>
      <c r="R29"/>
      <c r="S29"/>
    </row>
    <row r="30" spans="1:19" s="1" customFormat="1" ht="15.4" x14ac:dyDescent="0.45">
      <c r="A30" s="22" t="s">
        <v>272</v>
      </c>
      <c r="B30" s="160">
        <f>B21</f>
        <v>75000</v>
      </c>
      <c r="D30" s="171">
        <f>H23</f>
        <v>9009600</v>
      </c>
      <c r="E30" s="15">
        <v>9.3800000000000008</v>
      </c>
      <c r="F30" s="18">
        <f t="shared" ref="F30" si="2">E30*(D30/1000)</f>
        <v>84510.04800000001</v>
      </c>
      <c r="G30" s="160"/>
      <c r="H30" s="2"/>
      <c r="L30" s="18"/>
      <c r="N30"/>
      <c r="O30"/>
      <c r="P30"/>
      <c r="Q30"/>
      <c r="R30"/>
      <c r="S30"/>
    </row>
    <row r="31" spans="1:19" s="1" customFormat="1" ht="14.25" x14ac:dyDescent="0.45">
      <c r="A31" s="22" t="s">
        <v>273</v>
      </c>
      <c r="B31" s="230">
        <f>B22</f>
        <v>100000</v>
      </c>
      <c r="C31" s="232"/>
      <c r="D31" s="235">
        <f>I23</f>
        <v>8798000</v>
      </c>
      <c r="E31" s="42">
        <v>7.84</v>
      </c>
      <c r="F31" s="23">
        <f>E31*(D31/1000)</f>
        <v>68976.319999999992</v>
      </c>
      <c r="G31" s="160"/>
      <c r="L31" s="18"/>
      <c r="Q31" s="18">
        <f>Q24/12</f>
        <v>0</v>
      </c>
    </row>
    <row r="32" spans="1:19" s="1" customFormat="1" ht="14.25" x14ac:dyDescent="0.45">
      <c r="A32" s="22"/>
      <c r="B32" s="160" t="s">
        <v>130</v>
      </c>
      <c r="C32" s="18">
        <f>SUM(C27:C31)</f>
        <v>44144</v>
      </c>
      <c r="D32" s="24">
        <f>SUM(D27:D31)</f>
        <v>161866600</v>
      </c>
      <c r="F32" s="33">
        <f>SUM(F27:F31)</f>
        <v>2350958.7369999997</v>
      </c>
      <c r="G32" s="33"/>
      <c r="H32" s="160"/>
      <c r="I32" s="233"/>
      <c r="L32" s="18"/>
    </row>
    <row r="33" spans="1:12" s="1" customFormat="1" ht="14.25" x14ac:dyDescent="0.45">
      <c r="A33" s="22"/>
      <c r="B33" s="160"/>
      <c r="C33" s="18"/>
      <c r="D33" s="24"/>
      <c r="F33" s="33"/>
      <c r="G33" s="160"/>
      <c r="H33" s="160"/>
      <c r="I33" s="160"/>
      <c r="L33" s="18"/>
    </row>
    <row r="34" spans="1:12" x14ac:dyDescent="0.45">
      <c r="A34" s="22"/>
      <c r="B34" s="1"/>
      <c r="C34" s="152"/>
      <c r="D34" s="162"/>
      <c r="E34" s="162"/>
      <c r="F34" s="162"/>
      <c r="G34" s="1"/>
    </row>
    <row r="35" spans="1:12" x14ac:dyDescent="0.45">
      <c r="A35" s="22"/>
      <c r="B35" s="160"/>
      <c r="C35" s="164"/>
      <c r="D35" s="226"/>
      <c r="E35" s="197"/>
      <c r="F35" s="31"/>
      <c r="G35" s="1"/>
    </row>
    <row r="36" spans="1:12" x14ac:dyDescent="0.45">
      <c r="A36" s="22"/>
      <c r="B36" s="160"/>
      <c r="C36" s="164"/>
      <c r="D36" s="24"/>
      <c r="E36" s="197"/>
      <c r="F36" s="31"/>
      <c r="G36" s="1"/>
    </row>
    <row r="37" spans="1:12" x14ac:dyDescent="0.45">
      <c r="A37" s="22"/>
      <c r="B37" s="160"/>
      <c r="C37" s="171"/>
      <c r="D37" s="2"/>
      <c r="E37" s="197"/>
      <c r="F37" s="31"/>
      <c r="G37" s="1"/>
    </row>
    <row r="38" spans="1:12" x14ac:dyDescent="0.45">
      <c r="A38" s="22"/>
      <c r="B38" s="163"/>
      <c r="C38" s="24"/>
      <c r="D38" s="24"/>
      <c r="E38" s="24"/>
      <c r="F38" s="165"/>
      <c r="G38" s="1"/>
    </row>
  </sheetData>
  <mergeCells count="3">
    <mergeCell ref="A1:G1"/>
    <mergeCell ref="A2:G2"/>
    <mergeCell ref="C4:F4"/>
  </mergeCells>
  <pageMargins left="0.7" right="0.7" top="0.75" bottom="0.75" header="0.3" footer="0.3"/>
  <pageSetup scale="91" orientation="landscape" horizontalDpi="4294967293" verticalDpi="0" r:id="rId1"/>
  <ignoredErrors>
    <ignoredError sqref="G10" formula="1"/>
    <ignoredError sqref="J18:J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0A63-85C1-4112-A56F-95AD21BF73A8}">
  <sheetPr>
    <pageSetUpPr fitToPage="1"/>
  </sheetPr>
  <dimension ref="A1:S38"/>
  <sheetViews>
    <sheetView workbookViewId="0">
      <selection sqref="A1:J32"/>
    </sheetView>
  </sheetViews>
  <sheetFormatPr defaultColWidth="8.88671875" defaultRowHeight="15" x14ac:dyDescent="0.4"/>
  <cols>
    <col min="1" max="1" width="7.88671875" style="148" customWidth="1"/>
    <col min="2" max="2" width="8.109375" style="148" customWidth="1"/>
    <col min="3" max="8" width="12.5546875" style="148" customWidth="1"/>
    <col min="9" max="12" width="10.44140625" style="148" customWidth="1"/>
    <col min="13" max="13" width="13.109375" style="148" customWidth="1"/>
    <col min="14" max="16384" width="8.88671875" style="148"/>
  </cols>
  <sheetData>
    <row r="1" spans="1:19" ht="21" x14ac:dyDescent="0.65">
      <c r="A1" s="341" t="s">
        <v>277</v>
      </c>
      <c r="B1" s="341"/>
      <c r="C1" s="341"/>
      <c r="D1" s="341"/>
      <c r="E1" s="341"/>
      <c r="F1" s="341"/>
      <c r="G1" s="341"/>
    </row>
    <row r="2" spans="1:19" ht="18" x14ac:dyDescent="0.4">
      <c r="A2" s="331" t="s">
        <v>1</v>
      </c>
      <c r="B2" s="331"/>
      <c r="C2" s="331"/>
      <c r="D2" s="331"/>
      <c r="E2" s="331"/>
      <c r="F2" s="331"/>
      <c r="G2" s="331"/>
    </row>
    <row r="3" spans="1:19" x14ac:dyDescent="0.45">
      <c r="A3" s="25"/>
      <c r="B3" s="26"/>
      <c r="C3" s="26"/>
      <c r="D3" s="26"/>
      <c r="E3" s="26"/>
      <c r="F3" s="26"/>
      <c r="G3" s="26"/>
    </row>
    <row r="4" spans="1:19" ht="15.75" x14ac:dyDescent="0.45">
      <c r="A4" s="1"/>
      <c r="C4" s="342" t="s">
        <v>258</v>
      </c>
      <c r="D4" s="342"/>
      <c r="E4" s="342"/>
      <c r="F4" s="342"/>
      <c r="G4" s="1"/>
      <c r="L4" s="238">
        <f>SAO!H49</f>
        <v>0.22826266724004785</v>
      </c>
    </row>
    <row r="5" spans="1:19" x14ac:dyDescent="0.45">
      <c r="A5" s="1"/>
      <c r="B5" s="1"/>
      <c r="C5" s="151" t="s">
        <v>259</v>
      </c>
      <c r="D5" s="151"/>
      <c r="E5" s="152" t="s">
        <v>260</v>
      </c>
      <c r="F5" s="152" t="s">
        <v>261</v>
      </c>
      <c r="G5" s="21" t="s">
        <v>262</v>
      </c>
      <c r="H5" s="21"/>
      <c r="I5" s="150"/>
    </row>
    <row r="6" spans="1:19" x14ac:dyDescent="0.45">
      <c r="A6" s="1"/>
      <c r="B6" s="1"/>
      <c r="C6" s="1" t="s">
        <v>263</v>
      </c>
      <c r="D6" s="1"/>
      <c r="E6" s="2">
        <v>42371</v>
      </c>
      <c r="F6" s="225">
        <v>156839100</v>
      </c>
      <c r="G6" s="224">
        <f>F32</f>
        <v>2793978.4690149478</v>
      </c>
      <c r="H6" s="155"/>
      <c r="I6" s="156"/>
      <c r="J6" s="157"/>
      <c r="L6" s="149"/>
      <c r="M6" s="149"/>
      <c r="N6" s="149"/>
    </row>
    <row r="7" spans="1:19" x14ac:dyDescent="0.45">
      <c r="A7" s="1"/>
      <c r="B7" s="1"/>
      <c r="C7" s="1" t="s">
        <v>264</v>
      </c>
      <c r="D7" s="1"/>
      <c r="E7" s="2"/>
      <c r="F7" s="153">
        <f>F6</f>
        <v>156839100</v>
      </c>
      <c r="G7" s="6">
        <f>G6</f>
        <v>2793978.4690149478</v>
      </c>
      <c r="H7" s="155"/>
      <c r="I7" s="156"/>
      <c r="J7" s="157"/>
      <c r="L7" s="149"/>
      <c r="M7" s="149"/>
      <c r="N7" s="149"/>
    </row>
    <row r="8" spans="1:19" ht="15.75" customHeight="1" x14ac:dyDescent="0.45">
      <c r="A8" s="1"/>
      <c r="B8" s="1"/>
      <c r="C8" s="151" t="s">
        <v>265</v>
      </c>
      <c r="D8" s="151"/>
      <c r="E8" s="153"/>
      <c r="F8" s="153"/>
      <c r="G8" s="225">
        <f>-(682.31+1346.88+1840.05+1145.96+956.86-304.31+1603.74+2238.45+3020.99+3806.32+2544.35+1931.78+943.59)</f>
        <v>-21756.969999999998</v>
      </c>
      <c r="H8" s="1"/>
      <c r="L8" s="149"/>
      <c r="M8" s="149"/>
      <c r="N8" s="149"/>
    </row>
    <row r="9" spans="1:19" x14ac:dyDescent="0.45">
      <c r="A9" s="1"/>
      <c r="B9" s="1"/>
      <c r="C9" s="159" t="s">
        <v>278</v>
      </c>
      <c r="D9" s="159"/>
      <c r="E9" s="153"/>
      <c r="F9" s="153"/>
      <c r="G9" s="153">
        <f>G7+G8</f>
        <v>2772221.4990149476</v>
      </c>
      <c r="H9" s="1"/>
    </row>
    <row r="10" spans="1:19" x14ac:dyDescent="0.45">
      <c r="A10" s="1"/>
      <c r="B10" s="1"/>
      <c r="C10" s="159" t="s">
        <v>279</v>
      </c>
      <c r="D10" s="159"/>
      <c r="E10" s="153"/>
      <c r="F10" s="153"/>
      <c r="G10" s="5">
        <f>-SAO!H45</f>
        <v>-2860871.5748756519</v>
      </c>
      <c r="H10" s="1"/>
    </row>
    <row r="11" spans="1:19" x14ac:dyDescent="0.45">
      <c r="A11" s="1"/>
      <c r="B11" s="1"/>
      <c r="C11" s="159" t="s">
        <v>268</v>
      </c>
      <c r="D11" s="159"/>
      <c r="E11" s="153"/>
      <c r="F11" s="153"/>
      <c r="G11" s="202">
        <f>G9+G10</f>
        <v>-88650.075860704295</v>
      </c>
      <c r="H11" s="1"/>
      <c r="K11" s="203">
        <f>G11/G10</f>
        <v>3.0987086816211762E-2</v>
      </c>
    </row>
    <row r="12" spans="1:19" x14ac:dyDescent="0.45">
      <c r="A12" s="1"/>
      <c r="B12" s="1"/>
      <c r="C12" s="159"/>
      <c r="D12" s="153"/>
      <c r="E12" s="153"/>
      <c r="F12" s="158"/>
      <c r="G12" s="1"/>
    </row>
    <row r="13" spans="1:19" x14ac:dyDescent="0.45">
      <c r="A13" s="1"/>
      <c r="B13" s="1"/>
      <c r="C13" s="19"/>
      <c r="D13" s="154"/>
      <c r="E13" s="1"/>
      <c r="F13" s="1"/>
      <c r="G13" s="1"/>
    </row>
    <row r="14" spans="1:19" x14ac:dyDescent="0.45">
      <c r="A14" s="223" t="s">
        <v>270</v>
      </c>
      <c r="B14" s="1"/>
      <c r="C14" s="1"/>
      <c r="D14" s="1"/>
      <c r="E14" s="1"/>
      <c r="F14" s="1"/>
      <c r="G14" s="1"/>
    </row>
    <row r="15" spans="1:19" s="1" customFormat="1" ht="15.75" x14ac:dyDescent="0.5">
      <c r="A15" s="227"/>
      <c r="D15" s="18"/>
      <c r="L15" s="18"/>
      <c r="N15"/>
      <c r="O15"/>
      <c r="P15"/>
      <c r="Q15"/>
      <c r="R15"/>
      <c r="S15"/>
    </row>
    <row r="16" spans="1:19" s="1" customFormat="1" ht="15.4" x14ac:dyDescent="0.45">
      <c r="D16" s="18"/>
      <c r="E16" s="21" t="s">
        <v>271</v>
      </c>
      <c r="F16" s="21" t="s">
        <v>272</v>
      </c>
      <c r="G16" s="21" t="s">
        <v>272</v>
      </c>
      <c r="H16" s="21" t="s">
        <v>272</v>
      </c>
      <c r="I16" s="21" t="s">
        <v>273</v>
      </c>
      <c r="L16"/>
      <c r="M16"/>
      <c r="N16"/>
      <c r="O16"/>
      <c r="P16"/>
      <c r="Q16"/>
    </row>
    <row r="17" spans="1:19" s="1" customFormat="1" ht="15.4" x14ac:dyDescent="0.45">
      <c r="B17" s="228" t="s">
        <v>274</v>
      </c>
      <c r="C17" s="229" t="s">
        <v>260</v>
      </c>
      <c r="D17" s="124" t="s">
        <v>261</v>
      </c>
      <c r="E17" s="229">
        <f>B18</f>
        <v>2000</v>
      </c>
      <c r="F17" s="229">
        <f>B19</f>
        <v>3000</v>
      </c>
      <c r="G17" s="229">
        <f>B20</f>
        <v>20000</v>
      </c>
      <c r="H17" s="229">
        <f>B21</f>
        <v>75000</v>
      </c>
      <c r="I17" s="229">
        <f>B22</f>
        <v>100000</v>
      </c>
      <c r="J17" s="228" t="s">
        <v>130</v>
      </c>
      <c r="L17"/>
      <c r="M17"/>
      <c r="N17"/>
      <c r="O17"/>
      <c r="P17"/>
      <c r="Q17"/>
    </row>
    <row r="18" spans="1:19" s="1" customFormat="1" ht="15.4" x14ac:dyDescent="0.45">
      <c r="A18" s="22" t="s">
        <v>271</v>
      </c>
      <c r="B18" s="160">
        <v>2000</v>
      </c>
      <c r="C18" s="222">
        <v>17085</v>
      </c>
      <c r="D18" s="222">
        <v>17258200</v>
      </c>
      <c r="E18" s="222">
        <v>17258200</v>
      </c>
      <c r="F18" s="222"/>
      <c r="G18" s="222"/>
      <c r="H18" s="222"/>
      <c r="I18" s="222"/>
      <c r="J18" s="222">
        <f>SUM(E18:I18)</f>
        <v>17258200</v>
      </c>
      <c r="L18"/>
      <c r="M18"/>
      <c r="N18"/>
      <c r="O18"/>
      <c r="P18"/>
      <c r="Q18"/>
    </row>
    <row r="19" spans="1:19" s="1" customFormat="1" ht="15.4" x14ac:dyDescent="0.45">
      <c r="A19" s="22" t="s">
        <v>272</v>
      </c>
      <c r="B19" s="160">
        <v>3000</v>
      </c>
      <c r="C19" s="222">
        <v>17942</v>
      </c>
      <c r="D19" s="222">
        <v>58745600</v>
      </c>
      <c r="E19" s="222">
        <f>C19*E17</f>
        <v>35884000</v>
      </c>
      <c r="F19" s="222">
        <f>D19-E19</f>
        <v>22861600</v>
      </c>
      <c r="G19" s="222"/>
      <c r="H19" s="222"/>
      <c r="I19" s="222"/>
      <c r="J19" s="222">
        <f t="shared" ref="J19:J21" si="0">SUM(E19:I19)</f>
        <v>58745600</v>
      </c>
      <c r="L19"/>
      <c r="M19"/>
      <c r="N19"/>
      <c r="O19"/>
      <c r="P19"/>
      <c r="Q19"/>
    </row>
    <row r="20" spans="1:19" s="1" customFormat="1" ht="15.4" x14ac:dyDescent="0.45">
      <c r="A20" s="22" t="s">
        <v>272</v>
      </c>
      <c r="B20" s="160">
        <v>20000</v>
      </c>
      <c r="C20" s="222">
        <v>7048</v>
      </c>
      <c r="D20" s="222">
        <v>56217300</v>
      </c>
      <c r="E20" s="222">
        <f>C20*E17</f>
        <v>14096000</v>
      </c>
      <c r="F20" s="222">
        <f>C20*F17</f>
        <v>21144000</v>
      </c>
      <c r="G20" s="222">
        <f>D20-E20-F20</f>
        <v>20977300</v>
      </c>
      <c r="H20" s="222"/>
      <c r="I20" s="222"/>
      <c r="J20" s="222">
        <f t="shared" si="0"/>
        <v>56217300</v>
      </c>
      <c r="L20"/>
      <c r="M20"/>
      <c r="N20"/>
      <c r="O20"/>
      <c r="P20"/>
      <c r="Q20"/>
    </row>
    <row r="21" spans="1:19" s="1" customFormat="1" ht="15.4" x14ac:dyDescent="0.45">
      <c r="A21" s="22" t="s">
        <v>272</v>
      </c>
      <c r="B21" s="160">
        <v>75000</v>
      </c>
      <c r="C21" s="222">
        <v>242</v>
      </c>
      <c r="D21" s="222">
        <v>10505900</v>
      </c>
      <c r="E21" s="222">
        <f>C21*E17</f>
        <v>484000</v>
      </c>
      <c r="F21" s="222">
        <f>C21*F17</f>
        <v>726000</v>
      </c>
      <c r="G21" s="222">
        <f>G17*C21</f>
        <v>4840000</v>
      </c>
      <c r="H21" s="222">
        <f>D21-E21-F21-G21</f>
        <v>4455900</v>
      </c>
      <c r="I21" s="222"/>
      <c r="J21" s="222">
        <f t="shared" si="0"/>
        <v>10505900</v>
      </c>
      <c r="L21"/>
      <c r="M21"/>
      <c r="N21"/>
      <c r="O21"/>
      <c r="P21"/>
      <c r="Q21"/>
    </row>
    <row r="22" spans="1:19" s="1" customFormat="1" ht="15.4" x14ac:dyDescent="0.45">
      <c r="A22" s="22" t="s">
        <v>273</v>
      </c>
      <c r="B22" s="230">
        <v>100000</v>
      </c>
      <c r="C22" s="234">
        <v>54</v>
      </c>
      <c r="D22" s="234">
        <v>15462100</v>
      </c>
      <c r="E22" s="234">
        <v>108000</v>
      </c>
      <c r="F22" s="234">
        <f>C22*F17</f>
        <v>162000</v>
      </c>
      <c r="G22" s="234">
        <f>G17*C22</f>
        <v>1080000</v>
      </c>
      <c r="H22" s="234">
        <f>H17*C22</f>
        <v>4050000</v>
      </c>
      <c r="I22" s="234">
        <f>D22-E22-F22-G22-H22</f>
        <v>10062100</v>
      </c>
      <c r="J22" s="234">
        <f>SUM(E22:I22)</f>
        <v>15462100</v>
      </c>
      <c r="L22"/>
      <c r="M22"/>
      <c r="N22"/>
      <c r="O22"/>
      <c r="P22"/>
      <c r="Q22"/>
    </row>
    <row r="23" spans="1:19" s="1" customFormat="1" ht="15.4" x14ac:dyDescent="0.45">
      <c r="A23" s="22"/>
      <c r="B23" s="160" t="s">
        <v>130</v>
      </c>
      <c r="C23" s="24">
        <f t="shared" ref="C23:J23" si="1">SUM(C18:C22)</f>
        <v>42371</v>
      </c>
      <c r="D23" s="24">
        <f t="shared" si="1"/>
        <v>158189100</v>
      </c>
      <c r="E23" s="24">
        <f t="shared" si="1"/>
        <v>67830200</v>
      </c>
      <c r="F23" s="24">
        <f t="shared" si="1"/>
        <v>44893600</v>
      </c>
      <c r="G23" s="24">
        <f t="shared" si="1"/>
        <v>26897300</v>
      </c>
      <c r="H23" s="24">
        <f t="shared" si="1"/>
        <v>8505900</v>
      </c>
      <c r="I23" s="24">
        <f t="shared" si="1"/>
        <v>10062100</v>
      </c>
      <c r="J23" s="24">
        <f t="shared" si="1"/>
        <v>158189100</v>
      </c>
      <c r="K23" s="18"/>
      <c r="L23"/>
      <c r="M23"/>
      <c r="N23"/>
      <c r="O23"/>
      <c r="P23"/>
      <c r="Q23"/>
    </row>
    <row r="24" spans="1:19" s="1" customFormat="1" ht="15.4" x14ac:dyDescent="0.45">
      <c r="A24" s="22"/>
      <c r="B24" s="160"/>
      <c r="D24" s="18"/>
      <c r="E24" s="160"/>
      <c r="F24" s="160"/>
      <c r="G24" s="160"/>
      <c r="H24" s="160"/>
      <c r="I24" s="160"/>
      <c r="L24" s="18"/>
      <c r="N24"/>
      <c r="O24"/>
      <c r="P24"/>
      <c r="Q24"/>
      <c r="R24"/>
      <c r="S24"/>
    </row>
    <row r="25" spans="1:19" s="1" customFormat="1" ht="15.4" x14ac:dyDescent="0.45">
      <c r="A25" s="161" t="s">
        <v>275</v>
      </c>
      <c r="B25" s="161"/>
      <c r="D25" s="18"/>
      <c r="E25" s="160"/>
      <c r="F25" s="160"/>
      <c r="G25" s="160"/>
      <c r="H25" s="160"/>
      <c r="I25" s="160"/>
      <c r="L25" s="18"/>
      <c r="N25"/>
      <c r="O25"/>
      <c r="P25"/>
      <c r="Q25"/>
      <c r="R25"/>
      <c r="S25"/>
    </row>
    <row r="26" spans="1:19" s="1" customFormat="1" ht="15.4" x14ac:dyDescent="0.45">
      <c r="A26" s="22"/>
      <c r="B26" s="228"/>
      <c r="C26" s="229" t="s">
        <v>260</v>
      </c>
      <c r="D26" s="124" t="s">
        <v>261</v>
      </c>
      <c r="E26" s="229" t="s">
        <v>276</v>
      </c>
      <c r="F26" s="229" t="s">
        <v>262</v>
      </c>
      <c r="G26" s="160"/>
      <c r="H26" s="160"/>
      <c r="I26" s="160"/>
      <c r="L26" s="18"/>
      <c r="N26"/>
      <c r="O26"/>
      <c r="P26"/>
      <c r="Q26"/>
      <c r="R26"/>
      <c r="S26"/>
    </row>
    <row r="27" spans="1:19" s="1" customFormat="1" ht="15.4" x14ac:dyDescent="0.45">
      <c r="A27" s="22" t="s">
        <v>271</v>
      </c>
      <c r="B27" s="160">
        <f>B18</f>
        <v>2000</v>
      </c>
      <c r="C27" s="18">
        <f>C23</f>
        <v>42371</v>
      </c>
      <c r="D27" s="171">
        <f>E23</f>
        <v>67830200</v>
      </c>
      <c r="E27" s="231">
        <f>ExBA!E27*(1+PrBA!L4)</f>
        <v>36.577662230408627</v>
      </c>
      <c r="F27" s="33">
        <f>E27*C27</f>
        <v>1549832.1263646439</v>
      </c>
      <c r="G27" s="160"/>
      <c r="L27" s="18"/>
      <c r="N27"/>
      <c r="O27"/>
      <c r="P27"/>
      <c r="Q27"/>
      <c r="R27"/>
      <c r="S27"/>
    </row>
    <row r="28" spans="1:19" s="1" customFormat="1" ht="15.4" x14ac:dyDescent="0.45">
      <c r="A28" s="22" t="s">
        <v>272</v>
      </c>
      <c r="B28" s="160">
        <f>B19</f>
        <v>3000</v>
      </c>
      <c r="D28" s="171">
        <f>F23</f>
        <v>44893600</v>
      </c>
      <c r="E28" s="15">
        <f>ExBA!E28*(1+PrBA!$L$4)</f>
        <v>15.328718087155798</v>
      </c>
      <c r="F28" s="18">
        <f>E28*(D28/1000)</f>
        <v>688161.33831753745</v>
      </c>
      <c r="G28" s="160"/>
      <c r="L28" s="18"/>
      <c r="N28"/>
      <c r="O28"/>
      <c r="P28"/>
      <c r="Q28"/>
      <c r="R28"/>
      <c r="S28"/>
    </row>
    <row r="29" spans="1:19" s="1" customFormat="1" ht="15.4" x14ac:dyDescent="0.45">
      <c r="A29" s="22" t="s">
        <v>272</v>
      </c>
      <c r="B29" s="160">
        <f>B20</f>
        <v>20000</v>
      </c>
      <c r="D29" s="171">
        <f>G23</f>
        <v>26897300</v>
      </c>
      <c r="E29" s="15">
        <f>ExBA!E29*(1+PrBA!$L$4)</f>
        <v>13.424910952933722</v>
      </c>
      <c r="F29" s="18">
        <f>E29*(D29/1000)</f>
        <v>361093.8573743442</v>
      </c>
      <c r="G29" s="160"/>
      <c r="L29" s="18"/>
      <c r="N29"/>
      <c r="O29"/>
      <c r="P29"/>
      <c r="Q29"/>
      <c r="R29"/>
      <c r="S29"/>
    </row>
    <row r="30" spans="1:19" s="1" customFormat="1" ht="15.4" x14ac:dyDescent="0.45">
      <c r="A30" s="22" t="s">
        <v>272</v>
      </c>
      <c r="B30" s="160">
        <v>10000</v>
      </c>
      <c r="D30" s="171">
        <f>H23</f>
        <v>8505900</v>
      </c>
      <c r="E30" s="15">
        <f>ExBA!E30*(1+PrBA!$L$4)</f>
        <v>11.52110381871165</v>
      </c>
      <c r="F30" s="18">
        <f t="shared" ref="F30" si="2">E30*(D30/1000)</f>
        <v>97997.356971579415</v>
      </c>
      <c r="G30" s="160"/>
      <c r="H30" s="2">
        <f>4050000-H22</f>
        <v>0</v>
      </c>
      <c r="L30" s="18"/>
      <c r="N30"/>
      <c r="O30"/>
      <c r="P30"/>
      <c r="Q30"/>
      <c r="R30"/>
      <c r="S30"/>
    </row>
    <row r="31" spans="1:19" s="1" customFormat="1" ht="14.25" x14ac:dyDescent="0.45">
      <c r="A31" s="22" t="s">
        <v>273</v>
      </c>
      <c r="B31" s="230">
        <f>B22</f>
        <v>100000</v>
      </c>
      <c r="C31" s="232"/>
      <c r="D31" s="235">
        <f>I23</f>
        <v>10062100</v>
      </c>
      <c r="E31" s="42">
        <f>ExBA!E31*(1+PrBA!$L$4)</f>
        <v>9.6295793111619741</v>
      </c>
      <c r="F31" s="23">
        <f>E31*(D31/1000)</f>
        <v>96893.789986842909</v>
      </c>
      <c r="G31" s="160"/>
      <c r="L31" s="18"/>
      <c r="Q31" s="18">
        <f>Q24/12</f>
        <v>0</v>
      </c>
    </row>
    <row r="32" spans="1:19" s="1" customFormat="1" ht="14.25" x14ac:dyDescent="0.45">
      <c r="A32" s="22"/>
      <c r="B32" s="160" t="s">
        <v>130</v>
      </c>
      <c r="C32" s="18">
        <f>SUM(C27:C31)</f>
        <v>42371</v>
      </c>
      <c r="D32" s="24">
        <f>SUM(D27:D31)</f>
        <v>158189100</v>
      </c>
      <c r="F32" s="33">
        <f>SUM(F27:F31)</f>
        <v>2793978.4690149478</v>
      </c>
      <c r="G32" s="33"/>
      <c r="H32" s="160"/>
      <c r="I32" s="233"/>
      <c r="L32" s="18"/>
    </row>
    <row r="33" spans="1:12" s="1" customFormat="1" ht="14.25" x14ac:dyDescent="0.45">
      <c r="A33" s="22"/>
      <c r="B33" s="160"/>
      <c r="C33" s="18"/>
      <c r="D33" s="24"/>
      <c r="F33" s="33"/>
      <c r="G33" s="160"/>
      <c r="H33" s="160"/>
      <c r="I33" s="160"/>
      <c r="L33" s="18"/>
    </row>
    <row r="34" spans="1:12" x14ac:dyDescent="0.45">
      <c r="A34" s="22"/>
      <c r="B34" s="1"/>
      <c r="C34" s="152"/>
      <c r="D34" s="162"/>
      <c r="E34" s="162"/>
      <c r="F34" s="162"/>
      <c r="G34" s="1"/>
    </row>
    <row r="35" spans="1:12" x14ac:dyDescent="0.45">
      <c r="A35" s="22"/>
      <c r="B35" s="160"/>
      <c r="C35" s="164"/>
      <c r="D35" s="226"/>
      <c r="E35" s="197"/>
      <c r="F35" s="31"/>
      <c r="G35" s="1"/>
    </row>
    <row r="36" spans="1:12" x14ac:dyDescent="0.45">
      <c r="A36" s="22"/>
      <c r="B36" s="160"/>
      <c r="C36" s="164"/>
      <c r="D36" s="24"/>
      <c r="E36" s="197"/>
      <c r="F36" s="31"/>
      <c r="G36" s="1"/>
    </row>
    <row r="37" spans="1:12" x14ac:dyDescent="0.45">
      <c r="A37" s="22"/>
      <c r="B37" s="160"/>
      <c r="C37" s="171"/>
      <c r="D37" s="2"/>
      <c r="E37" s="197"/>
      <c r="F37" s="31"/>
      <c r="G37" s="1"/>
    </row>
    <row r="38" spans="1:12" x14ac:dyDescent="0.45">
      <c r="A38" s="22"/>
      <c r="B38" s="163"/>
      <c r="C38" s="24"/>
      <c r="D38" s="24"/>
      <c r="E38" s="24"/>
      <c r="F38" s="165"/>
      <c r="G38" s="1"/>
    </row>
  </sheetData>
  <mergeCells count="3">
    <mergeCell ref="A1:G1"/>
    <mergeCell ref="A2:G2"/>
    <mergeCell ref="C4:F4"/>
  </mergeCells>
  <pageMargins left="0.7" right="0.7" top="0.75" bottom="0.75" header="0.3" footer="0.3"/>
  <pageSetup scale="91" orientation="landscape" horizontalDpi="4294967293" verticalDpi="0" r:id="rId1"/>
  <ignoredErrors>
    <ignoredError sqref="G10" formula="1"/>
    <ignoredError sqref="J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DE7D-2BEB-4D52-9C42-21348256D55C}">
  <dimension ref="A1:H16"/>
  <sheetViews>
    <sheetView showGridLines="0" workbookViewId="0">
      <selection activeCell="G13" sqref="G13"/>
    </sheetView>
  </sheetViews>
  <sheetFormatPr defaultRowHeight="15" x14ac:dyDescent="0.4"/>
  <cols>
    <col min="2" max="2" width="15.33203125" bestFit="1" customWidth="1"/>
    <col min="3" max="4" width="11" bestFit="1" customWidth="1"/>
    <col min="5" max="5" width="11" customWidth="1"/>
    <col min="6" max="6" width="1.77734375" customWidth="1"/>
    <col min="7" max="7" width="13" bestFit="1" customWidth="1"/>
  </cols>
  <sheetData>
    <row r="1" spans="1:8" x14ac:dyDescent="0.4">
      <c r="A1" t="s">
        <v>55</v>
      </c>
    </row>
    <row r="4" spans="1:8" x14ac:dyDescent="0.4">
      <c r="B4" t="s">
        <v>56</v>
      </c>
      <c r="C4" s="283">
        <v>2017</v>
      </c>
      <c r="D4" s="283">
        <v>2018</v>
      </c>
      <c r="E4" s="283">
        <v>2019</v>
      </c>
    </row>
    <row r="6" spans="1:8" x14ac:dyDescent="0.4">
      <c r="B6" t="s">
        <v>57</v>
      </c>
      <c r="C6" s="281">
        <v>43888</v>
      </c>
      <c r="D6" s="281">
        <v>50459</v>
      </c>
      <c r="E6" s="281">
        <v>48990</v>
      </c>
      <c r="G6" s="281">
        <f>SUM(C6:E6)</f>
        <v>143337</v>
      </c>
    </row>
    <row r="7" spans="1:8" x14ac:dyDescent="0.4">
      <c r="G7" s="282">
        <v>3</v>
      </c>
      <c r="H7" t="s">
        <v>58</v>
      </c>
    </row>
    <row r="9" spans="1:8" x14ac:dyDescent="0.4">
      <c r="B9" t="s">
        <v>59</v>
      </c>
      <c r="G9" s="281">
        <f>G6/G7</f>
        <v>47779</v>
      </c>
    </row>
    <row r="10" spans="1:8" x14ac:dyDescent="0.4">
      <c r="B10" t="s">
        <v>282</v>
      </c>
      <c r="D10" s="289">
        <v>0.66100000000000003</v>
      </c>
      <c r="G10" s="288">
        <f>D10*G9</f>
        <v>31581.919000000002</v>
      </c>
    </row>
    <row r="11" spans="1:8" x14ac:dyDescent="0.4">
      <c r="B11" t="s">
        <v>283</v>
      </c>
      <c r="D11" s="289">
        <v>0.23400000000000001</v>
      </c>
      <c r="G11" s="287">
        <f>D11*G9</f>
        <v>11180.286</v>
      </c>
    </row>
    <row r="12" spans="1:8" x14ac:dyDescent="0.4">
      <c r="G12" s="288">
        <f>SUM(G9:G11)</f>
        <v>90541.204999999987</v>
      </c>
    </row>
    <row r="13" spans="1:8" x14ac:dyDescent="0.4">
      <c r="G13" s="288"/>
    </row>
    <row r="14" spans="1:8" x14ac:dyDescent="0.4">
      <c r="G14" s="288"/>
    </row>
    <row r="15" spans="1:8" x14ac:dyDescent="0.4">
      <c r="G15" s="288"/>
    </row>
    <row r="16" spans="1:8" x14ac:dyDescent="0.4">
      <c r="B16" t="s">
        <v>6</v>
      </c>
      <c r="G16" s="286">
        <f>G9+G10</f>
        <v>79360.918999999994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4BAB-4EED-4851-A9D7-09603AE02A63}">
  <dimension ref="A1:C7"/>
  <sheetViews>
    <sheetView workbookViewId="0">
      <selection activeCell="A7" sqref="A7"/>
    </sheetView>
  </sheetViews>
  <sheetFormatPr defaultRowHeight="15" x14ac:dyDescent="0.4"/>
  <cols>
    <col min="1" max="1" width="26.38671875" customWidth="1"/>
    <col min="2" max="2" width="15.609375" style="297" customWidth="1"/>
  </cols>
  <sheetData>
    <row r="1" spans="1:3" x14ac:dyDescent="0.4">
      <c r="A1" t="s">
        <v>294</v>
      </c>
    </row>
    <row r="3" spans="1:3" x14ac:dyDescent="0.4">
      <c r="A3" t="s">
        <v>295</v>
      </c>
      <c r="B3" s="297">
        <v>2265.48</v>
      </c>
    </row>
    <row r="4" spans="1:3" x14ac:dyDescent="0.4">
      <c r="A4" t="s">
        <v>296</v>
      </c>
      <c r="B4" s="298">
        <v>28303.34</v>
      </c>
    </row>
    <row r="5" spans="1:3" x14ac:dyDescent="0.4">
      <c r="A5" t="s">
        <v>297</v>
      </c>
      <c r="B5" s="297">
        <f>-B3+B4</f>
        <v>26037.86</v>
      </c>
      <c r="C5" s="299" t="s">
        <v>300</v>
      </c>
    </row>
    <row r="7" spans="1:3" x14ac:dyDescent="0.4">
      <c r="A7" t="s">
        <v>298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E2F5-0799-4DB8-8A95-0DEE8A29889A}">
  <dimension ref="A1:I48"/>
  <sheetViews>
    <sheetView topLeftCell="A16" workbookViewId="0">
      <selection activeCell="B32" sqref="B31:B32"/>
    </sheetView>
  </sheetViews>
  <sheetFormatPr defaultColWidth="8.88671875" defaultRowHeight="14.25" x14ac:dyDescent="0.45"/>
  <cols>
    <col min="1" max="2" width="20.5546875" style="1" customWidth="1"/>
    <col min="3" max="8" width="12.5546875" style="244" customWidth="1"/>
    <col min="9" max="9" width="8.88671875" style="22"/>
    <col min="10" max="16384" width="8.88671875" style="1"/>
  </cols>
  <sheetData>
    <row r="1" spans="1:9" x14ac:dyDescent="0.45">
      <c r="A1" s="1" t="s">
        <v>60</v>
      </c>
    </row>
    <row r="2" spans="1:9" x14ac:dyDescent="0.45">
      <c r="C2" s="245"/>
      <c r="D2" s="245"/>
      <c r="E2" s="245"/>
      <c r="F2" s="245"/>
      <c r="G2" s="245"/>
      <c r="H2" s="245" t="s">
        <v>61</v>
      </c>
    </row>
    <row r="3" spans="1:9" x14ac:dyDescent="0.45">
      <c r="C3" s="245" t="s">
        <v>62</v>
      </c>
      <c r="D3" s="245" t="s">
        <v>62</v>
      </c>
      <c r="E3" s="245" t="s">
        <v>63</v>
      </c>
      <c r="F3" s="245" t="s">
        <v>62</v>
      </c>
      <c r="G3" s="245" t="s">
        <v>62</v>
      </c>
      <c r="H3" s="245" t="s">
        <v>62</v>
      </c>
      <c r="I3" s="22" t="s">
        <v>64</v>
      </c>
    </row>
    <row r="4" spans="1:9" x14ac:dyDescent="0.45">
      <c r="A4" s="1" t="s">
        <v>65</v>
      </c>
      <c r="C4" s="245" t="s">
        <v>66</v>
      </c>
      <c r="D4" s="245" t="s">
        <v>67</v>
      </c>
      <c r="E4" s="245" t="s">
        <v>68</v>
      </c>
      <c r="F4" s="245" t="s">
        <v>69</v>
      </c>
      <c r="G4" s="245" t="s">
        <v>70</v>
      </c>
      <c r="H4" s="245" t="s">
        <v>71</v>
      </c>
      <c r="I4" s="22" t="s">
        <v>72</v>
      </c>
    </row>
    <row r="5" spans="1:9" x14ac:dyDescent="0.45">
      <c r="A5" s="1" t="s">
        <v>73</v>
      </c>
      <c r="B5" s="292" t="s">
        <v>74</v>
      </c>
      <c r="C5" s="244">
        <v>2080</v>
      </c>
      <c r="D5" s="244">
        <f>149.95</f>
        <v>149.94999999999999</v>
      </c>
      <c r="E5" s="244">
        <v>21.51</v>
      </c>
      <c r="F5" s="244">
        <f>C5*E5</f>
        <v>44740.800000000003</v>
      </c>
      <c r="G5" s="244">
        <f>D5*E5*1.5</f>
        <v>4838.1367499999997</v>
      </c>
      <c r="H5" s="244">
        <f>F5+G5</f>
        <v>49578.936750000001</v>
      </c>
      <c r="I5" s="22" t="s">
        <v>280</v>
      </c>
    </row>
    <row r="6" spans="1:9" x14ac:dyDescent="0.45">
      <c r="A6" s="1" t="s">
        <v>76</v>
      </c>
      <c r="B6" s="292" t="s">
        <v>77</v>
      </c>
      <c r="C6" s="244">
        <v>2080</v>
      </c>
      <c r="D6" s="244">
        <v>6.91</v>
      </c>
      <c r="E6" s="244">
        <v>16.309999999999999</v>
      </c>
      <c r="F6" s="244">
        <f t="shared" ref="F6:F17" si="0">C6*E6</f>
        <v>33924.799999999996</v>
      </c>
      <c r="G6" s="244">
        <f t="shared" ref="G6:G17" si="1">D6*E6*1.5</f>
        <v>169.05314999999999</v>
      </c>
      <c r="H6" s="244">
        <f t="shared" ref="H6:H17" si="2">F6+G6</f>
        <v>34093.853149999995</v>
      </c>
      <c r="I6" s="22" t="s">
        <v>280</v>
      </c>
    </row>
    <row r="7" spans="1:9" x14ac:dyDescent="0.45">
      <c r="A7" s="1" t="s">
        <v>78</v>
      </c>
      <c r="B7" s="292" t="s">
        <v>79</v>
      </c>
      <c r="C7" s="244">
        <v>2080</v>
      </c>
      <c r="D7" s="244">
        <f>178.9</f>
        <v>178.9</v>
      </c>
      <c r="E7" s="244">
        <v>19.170000000000002</v>
      </c>
      <c r="F7" s="244">
        <f t="shared" si="0"/>
        <v>39873.600000000006</v>
      </c>
      <c r="G7" s="244">
        <f t="shared" si="1"/>
        <v>5144.2695000000003</v>
      </c>
      <c r="H7" s="244">
        <f t="shared" si="2"/>
        <v>45017.869500000008</v>
      </c>
      <c r="I7" s="22" t="s">
        <v>280</v>
      </c>
    </row>
    <row r="8" spans="1:9" x14ac:dyDescent="0.45">
      <c r="A8" s="1" t="s">
        <v>80</v>
      </c>
      <c r="B8" s="292" t="s">
        <v>81</v>
      </c>
      <c r="C8" s="244">
        <v>2080</v>
      </c>
      <c r="D8" s="244">
        <f>451.18+49.5</f>
        <v>500.68</v>
      </c>
      <c r="E8" s="244">
        <v>21.14</v>
      </c>
      <c r="F8" s="244">
        <f t="shared" si="0"/>
        <v>43971.200000000004</v>
      </c>
      <c r="G8" s="244">
        <f t="shared" si="1"/>
        <v>15876.5628</v>
      </c>
      <c r="H8" s="244">
        <f t="shared" si="2"/>
        <v>59847.762800000004</v>
      </c>
      <c r="I8" s="22" t="s">
        <v>280</v>
      </c>
    </row>
    <row r="9" spans="1:9" x14ac:dyDescent="0.45">
      <c r="A9" s="1" t="s">
        <v>82</v>
      </c>
      <c r="B9" s="292" t="s">
        <v>83</v>
      </c>
      <c r="C9" s="244">
        <v>2080</v>
      </c>
      <c r="D9" s="244">
        <f>189.85+1.08</f>
        <v>190.93</v>
      </c>
      <c r="E9" s="244">
        <v>22.63</v>
      </c>
      <c r="F9" s="244">
        <f t="shared" si="0"/>
        <v>47070.400000000001</v>
      </c>
      <c r="G9" s="244">
        <f t="shared" si="1"/>
        <v>6481.1188499999998</v>
      </c>
      <c r="H9" s="244">
        <f t="shared" si="2"/>
        <v>53551.51885</v>
      </c>
      <c r="I9" s="22" t="s">
        <v>280</v>
      </c>
    </row>
    <row r="10" spans="1:9" x14ac:dyDescent="0.45">
      <c r="A10" s="1" t="s">
        <v>84</v>
      </c>
      <c r="B10" s="292" t="s">
        <v>85</v>
      </c>
      <c r="C10" s="244">
        <v>2080</v>
      </c>
      <c r="D10" s="244">
        <f>193.14+13.82</f>
        <v>206.95999999999998</v>
      </c>
      <c r="E10" s="244">
        <v>23.59</v>
      </c>
      <c r="F10" s="244">
        <f t="shared" si="0"/>
        <v>49067.199999999997</v>
      </c>
      <c r="G10" s="244">
        <f t="shared" si="1"/>
        <v>7323.2795999999998</v>
      </c>
      <c r="H10" s="244">
        <f t="shared" si="2"/>
        <v>56390.479599999999</v>
      </c>
      <c r="I10" s="22" t="s">
        <v>280</v>
      </c>
    </row>
    <row r="11" spans="1:9" x14ac:dyDescent="0.45">
      <c r="A11" s="1" t="s">
        <v>86</v>
      </c>
      <c r="B11" s="292" t="s">
        <v>87</v>
      </c>
      <c r="C11" s="244">
        <v>599.87</v>
      </c>
      <c r="D11" s="244">
        <v>93.44</v>
      </c>
      <c r="E11" s="244">
        <v>16.309999999999999</v>
      </c>
      <c r="F11" s="244">
        <f t="shared" si="0"/>
        <v>9783.8796999999995</v>
      </c>
      <c r="G11" s="244">
        <f t="shared" si="1"/>
        <v>2286.0095999999994</v>
      </c>
      <c r="H11" s="244">
        <f t="shared" si="2"/>
        <v>12069.889299999999</v>
      </c>
      <c r="I11" s="22" t="s">
        <v>75</v>
      </c>
    </row>
    <row r="12" spans="1:9" x14ac:dyDescent="0.45">
      <c r="A12" s="1" t="s">
        <v>88</v>
      </c>
      <c r="B12" s="292" t="s">
        <v>89</v>
      </c>
      <c r="C12" s="244">
        <v>2080</v>
      </c>
      <c r="D12" s="244">
        <f>219.04+2.92</f>
        <v>221.95999999999998</v>
      </c>
      <c r="E12" s="244">
        <v>18.84</v>
      </c>
      <c r="F12" s="244">
        <f t="shared" si="0"/>
        <v>39187.199999999997</v>
      </c>
      <c r="G12" s="244">
        <f t="shared" si="1"/>
        <v>6272.5895999999993</v>
      </c>
      <c r="H12" s="244">
        <f t="shared" si="2"/>
        <v>45459.789599999996</v>
      </c>
      <c r="I12" s="22" t="s">
        <v>280</v>
      </c>
    </row>
    <row r="13" spans="1:9" x14ac:dyDescent="0.45">
      <c r="A13" s="1" t="s">
        <v>90</v>
      </c>
      <c r="B13" s="292" t="s">
        <v>91</v>
      </c>
      <c r="C13" s="244">
        <v>2080</v>
      </c>
      <c r="E13" s="248" t="s">
        <v>92</v>
      </c>
      <c r="H13" s="244">
        <v>75511.56</v>
      </c>
      <c r="I13" s="22" t="s">
        <v>280</v>
      </c>
    </row>
    <row r="14" spans="1:9" x14ac:dyDescent="0.45">
      <c r="A14" s="1" t="s">
        <v>93</v>
      </c>
      <c r="B14" s="292" t="s">
        <v>94</v>
      </c>
      <c r="C14" s="244">
        <v>2080</v>
      </c>
      <c r="D14" s="244">
        <f>438.85+50.9</f>
        <v>489.75</v>
      </c>
      <c r="E14" s="244">
        <v>16.78</v>
      </c>
      <c r="F14" s="244">
        <f t="shared" si="0"/>
        <v>34902.400000000001</v>
      </c>
      <c r="G14" s="244">
        <f t="shared" si="1"/>
        <v>12327.007500000002</v>
      </c>
      <c r="H14" s="244">
        <f t="shared" si="2"/>
        <v>47229.407500000001</v>
      </c>
      <c r="I14" s="22" t="s">
        <v>280</v>
      </c>
    </row>
    <row r="15" spans="1:9" x14ac:dyDescent="0.45">
      <c r="A15" s="1" t="s">
        <v>95</v>
      </c>
      <c r="B15" s="292" t="s">
        <v>96</v>
      </c>
      <c r="C15" s="244">
        <v>2080</v>
      </c>
      <c r="D15" s="244">
        <f>253.71+0.92</f>
        <v>254.63</v>
      </c>
      <c r="E15" s="244">
        <v>18.97</v>
      </c>
      <c r="F15" s="244">
        <f t="shared" si="0"/>
        <v>39457.599999999999</v>
      </c>
      <c r="G15" s="244">
        <f t="shared" si="1"/>
        <v>7245.4966499999991</v>
      </c>
      <c r="H15" s="244">
        <f t="shared" si="2"/>
        <v>46703.096649999999</v>
      </c>
      <c r="I15" s="22" t="s">
        <v>280</v>
      </c>
    </row>
    <row r="16" spans="1:9" x14ac:dyDescent="0.45">
      <c r="A16" s="1" t="s">
        <v>97</v>
      </c>
      <c r="B16" s="292" t="s">
        <v>98</v>
      </c>
      <c r="C16" s="244">
        <v>2080</v>
      </c>
      <c r="D16" s="244">
        <v>38.82</v>
      </c>
      <c r="E16" s="244">
        <v>23.1</v>
      </c>
      <c r="F16" s="244">
        <f t="shared" si="0"/>
        <v>48048</v>
      </c>
      <c r="G16" s="244">
        <f t="shared" si="1"/>
        <v>1345.1130000000001</v>
      </c>
      <c r="H16" s="244">
        <f t="shared" si="2"/>
        <v>49393.112999999998</v>
      </c>
      <c r="I16" s="22" t="s">
        <v>280</v>
      </c>
    </row>
    <row r="17" spans="1:9" x14ac:dyDescent="0.45">
      <c r="A17" s="1" t="s">
        <v>99</v>
      </c>
      <c r="B17" s="292" t="s">
        <v>100</v>
      </c>
      <c r="C17" s="247">
        <v>2080</v>
      </c>
      <c r="D17" s="247">
        <f>303.85+60.65</f>
        <v>364.5</v>
      </c>
      <c r="E17" s="244">
        <v>17.13</v>
      </c>
      <c r="F17" s="247">
        <f t="shared" si="0"/>
        <v>35630.400000000001</v>
      </c>
      <c r="G17" s="247">
        <f t="shared" si="1"/>
        <v>9365.8274999999994</v>
      </c>
      <c r="H17" s="247">
        <f t="shared" si="2"/>
        <v>44996.227500000001</v>
      </c>
      <c r="I17" s="22" t="s">
        <v>280</v>
      </c>
    </row>
    <row r="18" spans="1:9" x14ac:dyDescent="0.45">
      <c r="C18" s="244">
        <f>SUM(C5:C17)</f>
        <v>25559.870000000003</v>
      </c>
      <c r="D18" s="244">
        <f>SUM(D5:D17)</f>
        <v>2697.4300000000003</v>
      </c>
      <c r="F18" s="244">
        <f>SUM(F5:F17)</f>
        <v>465657.47970000003</v>
      </c>
      <c r="G18" s="244">
        <f t="shared" ref="G18:H18" si="3">SUM(G5:G17)</f>
        <v>78674.464499999987</v>
      </c>
      <c r="H18" s="244">
        <f t="shared" si="3"/>
        <v>619843.50419999997</v>
      </c>
    </row>
    <row r="20" spans="1:9" x14ac:dyDescent="0.45">
      <c r="A20" s="1" t="s">
        <v>101</v>
      </c>
      <c r="H20" s="244">
        <f>H18</f>
        <v>619843.50419999997</v>
      </c>
    </row>
    <row r="22" spans="1:9" x14ac:dyDescent="0.45">
      <c r="A22" s="1" t="s">
        <v>102</v>
      </c>
      <c r="H22" s="244">
        <f>H20-H11</f>
        <v>607773.61489999993</v>
      </c>
    </row>
    <row r="24" spans="1:9" x14ac:dyDescent="0.45">
      <c r="H24" s="245" t="s">
        <v>3</v>
      </c>
    </row>
    <row r="25" spans="1:9" x14ac:dyDescent="0.45">
      <c r="E25" s="244" t="s">
        <v>103</v>
      </c>
      <c r="H25" s="18">
        <f>H20</f>
        <v>619843.50419999997</v>
      </c>
    </row>
    <row r="26" spans="1:9" x14ac:dyDescent="0.45">
      <c r="E26" s="244" t="s">
        <v>104</v>
      </c>
      <c r="H26" s="23">
        <f>-SAO!D15</f>
        <v>-562663</v>
      </c>
    </row>
    <row r="27" spans="1:9" x14ac:dyDescent="0.45">
      <c r="E27" s="244" t="s">
        <v>105</v>
      </c>
      <c r="H27" s="18">
        <f>H25+H26</f>
        <v>57180.504199999967</v>
      </c>
      <c r="I27" s="21"/>
    </row>
    <row r="28" spans="1:9" x14ac:dyDescent="0.45">
      <c r="H28" s="244" t="s">
        <v>106</v>
      </c>
    </row>
    <row r="29" spans="1:9" x14ac:dyDescent="0.45">
      <c r="E29" s="244" t="s">
        <v>107</v>
      </c>
      <c r="H29" s="18">
        <f>H20</f>
        <v>619843.50419999997</v>
      </c>
    </row>
    <row r="30" spans="1:9" x14ac:dyDescent="0.45">
      <c r="E30" s="244" t="s">
        <v>108</v>
      </c>
      <c r="H30" s="246">
        <v>7.6499999999999999E-2</v>
      </c>
    </row>
    <row r="31" spans="1:9" x14ac:dyDescent="0.45">
      <c r="E31" s="244" t="s">
        <v>109</v>
      </c>
      <c r="H31" s="18">
        <f>H29*H30</f>
        <v>47418.028071299996</v>
      </c>
    </row>
    <row r="32" spans="1:9" x14ac:dyDescent="0.45">
      <c r="E32" s="244" t="s">
        <v>110</v>
      </c>
      <c r="H32" s="23">
        <f>-SAO!D32</f>
        <v>-39778</v>
      </c>
    </row>
    <row r="33" spans="3:8" x14ac:dyDescent="0.45">
      <c r="E33" s="244" t="s">
        <v>111</v>
      </c>
      <c r="H33" s="18">
        <f>H31+H32</f>
        <v>7640.0280712999956</v>
      </c>
    </row>
    <row r="35" spans="3:8" x14ac:dyDescent="0.45">
      <c r="E35" s="244" t="s">
        <v>112</v>
      </c>
      <c r="H35" s="18">
        <f>H22</f>
        <v>607773.61489999993</v>
      </c>
    </row>
    <row r="36" spans="3:8" x14ac:dyDescent="0.45">
      <c r="E36" s="244" t="s">
        <v>113</v>
      </c>
      <c r="H36" s="290"/>
    </row>
    <row r="37" spans="3:8" x14ac:dyDescent="0.45">
      <c r="E37" s="244" t="s">
        <v>284</v>
      </c>
      <c r="H37" s="200">
        <f>H35/2*0.2334</f>
        <v>70927.18085882999</v>
      </c>
    </row>
    <row r="38" spans="3:8" x14ac:dyDescent="0.45">
      <c r="E38" s="244" t="s">
        <v>285</v>
      </c>
      <c r="H38" s="291">
        <f>H35/2*0.1971</f>
        <v>59896.089748394996</v>
      </c>
    </row>
    <row r="39" spans="3:8" x14ac:dyDescent="0.45">
      <c r="E39" s="244" t="s">
        <v>114</v>
      </c>
      <c r="H39" s="244">
        <f>H37+H38</f>
        <v>130823.27060722499</v>
      </c>
    </row>
    <row r="40" spans="3:8" x14ac:dyDescent="0.45">
      <c r="E40" s="244" t="s">
        <v>115</v>
      </c>
      <c r="H40" s="247">
        <v>0</v>
      </c>
    </row>
    <row r="41" spans="3:8" x14ac:dyDescent="0.45">
      <c r="E41" s="244" t="s">
        <v>116</v>
      </c>
      <c r="H41" s="244">
        <f>H39+H40</f>
        <v>130823.27060722499</v>
      </c>
    </row>
    <row r="43" spans="3:8" x14ac:dyDescent="0.45">
      <c r="C43" s="249"/>
      <c r="D43" s="249"/>
      <c r="E43" s="249"/>
      <c r="F43" s="249"/>
      <c r="G43" s="249"/>
    </row>
    <row r="44" spans="3:8" x14ac:dyDescent="0.45">
      <c r="C44" s="249"/>
      <c r="D44" s="250"/>
      <c r="E44" s="249"/>
      <c r="F44" s="249"/>
      <c r="G44" s="249"/>
    </row>
    <row r="45" spans="3:8" x14ac:dyDescent="0.45">
      <c r="C45" s="249"/>
      <c r="D45" s="250"/>
      <c r="E45" s="249"/>
      <c r="F45" s="249"/>
      <c r="G45" s="249"/>
    </row>
    <row r="46" spans="3:8" x14ac:dyDescent="0.45">
      <c r="C46" s="249"/>
      <c r="D46" s="250"/>
      <c r="E46" s="249"/>
      <c r="F46" s="249"/>
      <c r="G46" s="249"/>
    </row>
    <row r="47" spans="3:8" x14ac:dyDescent="0.45">
      <c r="C47" s="249"/>
      <c r="D47" s="249"/>
      <c r="E47" s="249"/>
      <c r="F47" s="249"/>
      <c r="G47" s="249"/>
    </row>
    <row r="48" spans="3:8" x14ac:dyDescent="0.45">
      <c r="C48" s="249"/>
      <c r="D48" s="249"/>
      <c r="E48" s="249"/>
      <c r="F48" s="249"/>
      <c r="G48" s="249"/>
    </row>
  </sheetData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998B-F346-419F-AF83-E1BAD5C903FE}">
  <dimension ref="A1:M37"/>
  <sheetViews>
    <sheetView topLeftCell="A6" workbookViewId="0">
      <selection activeCell="F28" sqref="F28"/>
    </sheetView>
  </sheetViews>
  <sheetFormatPr defaultColWidth="8.88671875" defaultRowHeight="14.25" x14ac:dyDescent="0.45"/>
  <cols>
    <col min="1" max="2" width="14" style="1" customWidth="1"/>
    <col min="3" max="3" width="11.5546875" style="253" bestFit="1" customWidth="1"/>
    <col min="4" max="4" width="10.33203125" style="253" bestFit="1" customWidth="1"/>
    <col min="5" max="5" width="9.77734375" style="254" customWidth="1"/>
    <col min="6" max="6" width="9.77734375" style="255" customWidth="1"/>
    <col min="7" max="7" width="11.44140625" style="253" customWidth="1"/>
    <col min="8" max="8" width="10.6640625" style="256" customWidth="1"/>
    <col min="9" max="9" width="10.109375" style="253" customWidth="1"/>
    <col min="10" max="10" width="10.5546875" style="1" customWidth="1"/>
    <col min="11" max="12" width="8.88671875" style="1"/>
    <col min="13" max="13" width="10.109375" style="1" customWidth="1"/>
    <col min="14" max="14" width="9" style="1" bestFit="1" customWidth="1"/>
    <col min="15" max="15" width="9.77734375" style="1" bestFit="1" customWidth="1"/>
    <col min="16" max="16384" width="8.88671875" style="1"/>
  </cols>
  <sheetData>
    <row r="1" spans="1:10" x14ac:dyDescent="0.45">
      <c r="A1" s="1" t="s">
        <v>286</v>
      </c>
    </row>
    <row r="2" spans="1:10" x14ac:dyDescent="0.45">
      <c r="C2" s="257"/>
    </row>
    <row r="3" spans="1:10" x14ac:dyDescent="0.45">
      <c r="D3" s="253" t="s">
        <v>117</v>
      </c>
      <c r="G3" s="253" t="s">
        <v>118</v>
      </c>
      <c r="H3" s="256" t="s">
        <v>119</v>
      </c>
      <c r="I3" s="253" t="s">
        <v>119</v>
      </c>
    </row>
    <row r="4" spans="1:10" x14ac:dyDescent="0.45">
      <c r="C4" s="258" t="s">
        <v>117</v>
      </c>
      <c r="D4" s="253" t="s">
        <v>120</v>
      </c>
      <c r="E4" s="254" t="s">
        <v>120</v>
      </c>
      <c r="F4" s="255" t="s">
        <v>121</v>
      </c>
      <c r="G4" s="253" t="s">
        <v>122</v>
      </c>
      <c r="H4" s="256" t="s">
        <v>123</v>
      </c>
      <c r="I4" s="253" t="s">
        <v>123</v>
      </c>
    </row>
    <row r="5" spans="1:10" x14ac:dyDescent="0.45">
      <c r="B5" s="1" t="s">
        <v>287</v>
      </c>
      <c r="C5" s="253" t="s">
        <v>124</v>
      </c>
      <c r="D5" s="253" t="s">
        <v>125</v>
      </c>
      <c r="E5" s="254" t="s">
        <v>126</v>
      </c>
      <c r="F5" s="255" t="s">
        <v>126</v>
      </c>
      <c r="G5" s="253" t="s">
        <v>124</v>
      </c>
      <c r="H5" s="256" t="s">
        <v>127</v>
      </c>
      <c r="I5" s="253" t="s">
        <v>128</v>
      </c>
      <c r="J5" s="21"/>
    </row>
    <row r="6" spans="1:10" x14ac:dyDescent="0.45">
      <c r="A6" s="1" t="s">
        <v>73</v>
      </c>
      <c r="B6" s="1" t="s">
        <v>291</v>
      </c>
      <c r="C6" s="294">
        <f>53.46+877.3+8+1</f>
        <v>939.76</v>
      </c>
      <c r="D6" s="293">
        <v>0</v>
      </c>
      <c r="E6" s="254">
        <v>0</v>
      </c>
      <c r="F6" s="255">
        <v>1</v>
      </c>
      <c r="G6" s="253">
        <f>C6*12</f>
        <v>11277.119999999999</v>
      </c>
      <c r="H6" s="256">
        <v>0.78</v>
      </c>
      <c r="I6" s="253">
        <f>G6*H6</f>
        <v>8796.1535999999996</v>
      </c>
      <c r="J6" s="21"/>
    </row>
    <row r="7" spans="1:10" x14ac:dyDescent="0.45">
      <c r="A7" s="1" t="s">
        <v>76</v>
      </c>
      <c r="B7" s="1" t="s">
        <v>289</v>
      </c>
      <c r="C7" s="294">
        <f>1526.9+8+1</f>
        <v>1535.9</v>
      </c>
      <c r="D7" s="293">
        <v>0</v>
      </c>
      <c r="E7" s="254">
        <v>0</v>
      </c>
      <c r="F7" s="255">
        <v>1</v>
      </c>
      <c r="G7" s="253">
        <f t="shared" ref="G7:G18" si="0">C7*12</f>
        <v>18430.800000000003</v>
      </c>
      <c r="H7" s="256">
        <v>0.67</v>
      </c>
      <c r="I7" s="253">
        <f t="shared" ref="I7:I18" si="1">G7*H7</f>
        <v>12348.636000000002</v>
      </c>
      <c r="J7" s="21"/>
    </row>
    <row r="8" spans="1:10" x14ac:dyDescent="0.45">
      <c r="A8" s="1" t="s">
        <v>78</v>
      </c>
      <c r="B8" s="1" t="s">
        <v>288</v>
      </c>
      <c r="C8" s="294">
        <f>398.92+1679.16+8+1</f>
        <v>2087.08</v>
      </c>
      <c r="D8" s="293">
        <v>0</v>
      </c>
      <c r="E8" s="254">
        <v>0</v>
      </c>
      <c r="F8" s="255">
        <v>1</v>
      </c>
      <c r="G8" s="253">
        <f t="shared" si="0"/>
        <v>25044.959999999999</v>
      </c>
      <c r="H8" s="256">
        <v>0.67</v>
      </c>
      <c r="I8" s="253">
        <f t="shared" si="1"/>
        <v>16780.123200000002</v>
      </c>
      <c r="J8" s="21"/>
    </row>
    <row r="9" spans="1:10" x14ac:dyDescent="0.45">
      <c r="A9" s="1" t="s">
        <v>80</v>
      </c>
      <c r="B9" s="1" t="s">
        <v>288</v>
      </c>
      <c r="C9" s="294">
        <f>716.64+1469.14+8+1</f>
        <v>2194.7800000000002</v>
      </c>
      <c r="D9" s="293">
        <v>0</v>
      </c>
      <c r="E9" s="254">
        <v>0</v>
      </c>
      <c r="F9" s="255">
        <v>1</v>
      </c>
      <c r="G9" s="253">
        <f t="shared" si="0"/>
        <v>26337.360000000001</v>
      </c>
      <c r="H9" s="256">
        <v>0.67</v>
      </c>
      <c r="I9" s="253">
        <f t="shared" si="1"/>
        <v>17646.031200000001</v>
      </c>
      <c r="J9" s="21"/>
    </row>
    <row r="10" spans="1:10" x14ac:dyDescent="0.45">
      <c r="A10" s="1" t="s">
        <v>82</v>
      </c>
      <c r="B10" s="1" t="s">
        <v>291</v>
      </c>
      <c r="C10" s="294">
        <f>129.14+819.9+8+1</f>
        <v>958.04</v>
      </c>
      <c r="D10" s="293">
        <v>0</v>
      </c>
      <c r="E10" s="254">
        <v>0</v>
      </c>
      <c r="F10" s="255">
        <v>1</v>
      </c>
      <c r="G10" s="253">
        <f t="shared" si="0"/>
        <v>11496.48</v>
      </c>
      <c r="H10" s="256">
        <v>0.78</v>
      </c>
      <c r="I10" s="253">
        <f t="shared" si="1"/>
        <v>8967.2543999999998</v>
      </c>
      <c r="J10" s="21"/>
    </row>
    <row r="11" spans="1:10" x14ac:dyDescent="0.45">
      <c r="A11" s="1" t="s">
        <v>84</v>
      </c>
      <c r="B11" s="1" t="s">
        <v>289</v>
      </c>
      <c r="C11" s="294">
        <f>339.34+1526.9+8+1</f>
        <v>1875.24</v>
      </c>
      <c r="D11" s="293">
        <v>0</v>
      </c>
      <c r="E11" s="254">
        <v>0</v>
      </c>
      <c r="F11" s="255">
        <v>1</v>
      </c>
      <c r="G11" s="253">
        <f t="shared" si="0"/>
        <v>22502.880000000001</v>
      </c>
      <c r="H11" s="256">
        <v>0.67</v>
      </c>
      <c r="I11" s="253">
        <f t="shared" si="1"/>
        <v>15076.929600000001</v>
      </c>
      <c r="J11" s="21"/>
    </row>
    <row r="12" spans="1:10" x14ac:dyDescent="0.45">
      <c r="A12" s="1" t="s">
        <v>86</v>
      </c>
      <c r="B12" s="1" t="s">
        <v>292</v>
      </c>
      <c r="C12" s="294">
        <v>0</v>
      </c>
      <c r="D12" s="293">
        <v>0</v>
      </c>
      <c r="E12" s="254">
        <v>0</v>
      </c>
      <c r="F12" s="255">
        <v>1</v>
      </c>
      <c r="G12" s="253">
        <f t="shared" si="0"/>
        <v>0</v>
      </c>
      <c r="H12" s="256">
        <v>0</v>
      </c>
      <c r="I12" s="253">
        <f t="shared" si="1"/>
        <v>0</v>
      </c>
      <c r="J12" s="21"/>
    </row>
    <row r="13" spans="1:10" x14ac:dyDescent="0.45">
      <c r="A13" s="1" t="s">
        <v>88</v>
      </c>
      <c r="B13" s="1" t="s">
        <v>290</v>
      </c>
      <c r="C13" s="294">
        <f>137.06+1132.22+8+1</f>
        <v>1278.28</v>
      </c>
      <c r="D13" s="293">
        <v>0</v>
      </c>
      <c r="E13" s="254">
        <v>0</v>
      </c>
      <c r="F13" s="255">
        <v>1</v>
      </c>
      <c r="G13" s="253">
        <f t="shared" si="0"/>
        <v>15339.36</v>
      </c>
      <c r="H13" s="256">
        <v>0.67</v>
      </c>
      <c r="I13" s="253">
        <f t="shared" si="1"/>
        <v>10277.371200000001</v>
      </c>
      <c r="J13" s="21"/>
    </row>
    <row r="14" spans="1:10" x14ac:dyDescent="0.45">
      <c r="A14" s="1" t="s">
        <v>90</v>
      </c>
      <c r="B14" s="1" t="s">
        <v>288</v>
      </c>
      <c r="C14" s="294">
        <f>716.64+1469.14+8+1</f>
        <v>2194.7800000000002</v>
      </c>
      <c r="D14" s="293">
        <v>0</v>
      </c>
      <c r="E14" s="254">
        <v>0</v>
      </c>
      <c r="F14" s="255">
        <v>1</v>
      </c>
      <c r="G14" s="253">
        <f t="shared" si="0"/>
        <v>26337.360000000001</v>
      </c>
      <c r="H14" s="256">
        <v>0.67</v>
      </c>
      <c r="I14" s="253">
        <f t="shared" si="1"/>
        <v>17646.031200000001</v>
      </c>
      <c r="J14" s="21"/>
    </row>
    <row r="15" spans="1:10" x14ac:dyDescent="0.45">
      <c r="A15" s="1" t="s">
        <v>93</v>
      </c>
      <c r="B15" s="1" t="s">
        <v>290</v>
      </c>
      <c r="C15" s="294">
        <f>137.06+1132.22+8+1</f>
        <v>1278.28</v>
      </c>
      <c r="D15" s="293">
        <v>0</v>
      </c>
      <c r="E15" s="254">
        <v>0</v>
      </c>
      <c r="F15" s="255">
        <v>1</v>
      </c>
      <c r="G15" s="253">
        <f t="shared" si="0"/>
        <v>15339.36</v>
      </c>
      <c r="H15" s="256">
        <v>0.67</v>
      </c>
      <c r="I15" s="253">
        <f t="shared" si="1"/>
        <v>10277.371200000001</v>
      </c>
      <c r="J15" s="21"/>
    </row>
    <row r="16" spans="1:10" x14ac:dyDescent="0.45">
      <c r="A16" s="1" t="s">
        <v>95</v>
      </c>
      <c r="B16" s="1" t="s">
        <v>288</v>
      </c>
      <c r="C16" s="294">
        <f>716.64+1469.14+8+1</f>
        <v>2194.7800000000002</v>
      </c>
      <c r="D16" s="293">
        <v>0</v>
      </c>
      <c r="E16" s="254">
        <v>0</v>
      </c>
      <c r="F16" s="255">
        <v>1</v>
      </c>
      <c r="G16" s="253">
        <f t="shared" si="0"/>
        <v>26337.360000000001</v>
      </c>
      <c r="H16" s="256">
        <v>0.67</v>
      </c>
      <c r="I16" s="253">
        <f t="shared" si="1"/>
        <v>17646.031200000001</v>
      </c>
      <c r="J16" s="21"/>
    </row>
    <row r="17" spans="1:13" x14ac:dyDescent="0.45">
      <c r="A17" s="1" t="s">
        <v>97</v>
      </c>
      <c r="B17" s="1" t="s">
        <v>288</v>
      </c>
      <c r="C17" s="294">
        <f>398.92+1679.16+8+1</f>
        <v>2087.08</v>
      </c>
      <c r="D17" s="293">
        <v>0</v>
      </c>
      <c r="E17" s="254">
        <v>0</v>
      </c>
      <c r="F17" s="255">
        <v>1</v>
      </c>
      <c r="G17" s="253">
        <f t="shared" si="0"/>
        <v>25044.959999999999</v>
      </c>
      <c r="H17" s="256">
        <v>0.67</v>
      </c>
      <c r="I17" s="253">
        <f t="shared" si="1"/>
        <v>16780.123200000002</v>
      </c>
      <c r="J17" s="21"/>
    </row>
    <row r="18" spans="1:13" x14ac:dyDescent="0.45">
      <c r="A18" s="1" t="s">
        <v>99</v>
      </c>
      <c r="B18" s="1" t="s">
        <v>291</v>
      </c>
      <c r="C18" s="295">
        <f>93.46+837.3+8+1</f>
        <v>939.76</v>
      </c>
      <c r="D18" s="296">
        <v>0</v>
      </c>
      <c r="E18" s="254">
        <v>0</v>
      </c>
      <c r="F18" s="255">
        <v>1</v>
      </c>
      <c r="G18" s="262">
        <f t="shared" si="0"/>
        <v>11277.119999999999</v>
      </c>
      <c r="H18" s="256">
        <v>0.78</v>
      </c>
      <c r="I18" s="262">
        <f t="shared" si="1"/>
        <v>8796.1535999999996</v>
      </c>
      <c r="J18" s="21"/>
    </row>
    <row r="19" spans="1:13" x14ac:dyDescent="0.45">
      <c r="A19" s="264" t="s">
        <v>130</v>
      </c>
      <c r="B19" s="264"/>
      <c r="C19" s="253">
        <f>SUM(C6:C18)</f>
        <v>19563.759999999998</v>
      </c>
      <c r="D19" s="253">
        <f>SUM(D6:D18)</f>
        <v>0</v>
      </c>
      <c r="G19" s="253">
        <f>SUM(G6:G18)</f>
        <v>234765.11999999997</v>
      </c>
      <c r="H19" s="265"/>
      <c r="I19" s="258">
        <f>SUM(I6:I18)</f>
        <v>161038.20959999997</v>
      </c>
      <c r="J19" s="259"/>
    </row>
    <row r="20" spans="1:13" x14ac:dyDescent="0.45">
      <c r="A20" s="264"/>
      <c r="B20" s="264"/>
      <c r="H20" s="265"/>
      <c r="I20" s="258"/>
      <c r="J20" s="259"/>
    </row>
    <row r="21" spans="1:13" x14ac:dyDescent="0.45">
      <c r="A21" s="264" t="s">
        <v>293</v>
      </c>
      <c r="B21" s="264"/>
      <c r="H21" s="265"/>
      <c r="I21" s="258"/>
      <c r="J21" s="259"/>
    </row>
    <row r="22" spans="1:13" x14ac:dyDescent="0.45">
      <c r="A22" s="264"/>
      <c r="B22" s="264"/>
      <c r="H22" s="265"/>
      <c r="I22" s="258"/>
      <c r="J22" s="259"/>
    </row>
    <row r="23" spans="1:13" x14ac:dyDescent="0.45">
      <c r="A23" s="1" t="s">
        <v>131</v>
      </c>
      <c r="D23" s="260">
        <f>I19</f>
        <v>161038.20959999997</v>
      </c>
      <c r="F23" s="256"/>
      <c r="I23" s="266"/>
      <c r="J23" s="267"/>
    </row>
    <row r="24" spans="1:13" ht="16.5" x14ac:dyDescent="0.75">
      <c r="A24" s="1" t="s">
        <v>132</v>
      </c>
      <c r="D24" s="263">
        <v>-228875</v>
      </c>
      <c r="F24" s="256"/>
      <c r="H24" s="268"/>
      <c r="I24" s="266"/>
      <c r="J24" s="269"/>
    </row>
    <row r="25" spans="1:13" x14ac:dyDescent="0.45">
      <c r="A25" s="1" t="s">
        <v>133</v>
      </c>
      <c r="D25" s="253">
        <f>D23+D24</f>
        <v>-67836.790400000027</v>
      </c>
      <c r="E25" s="270"/>
    </row>
    <row r="26" spans="1:13" x14ac:dyDescent="0.45">
      <c r="J26" s="261"/>
    </row>
    <row r="27" spans="1:13" x14ac:dyDescent="0.45">
      <c r="J27" s="261"/>
    </row>
    <row r="28" spans="1:13" x14ac:dyDescent="0.45">
      <c r="J28" s="261"/>
    </row>
    <row r="29" spans="1:13" x14ac:dyDescent="0.45">
      <c r="F29" s="271"/>
      <c r="I29" s="272"/>
      <c r="J29" s="259"/>
      <c r="L29" s="273"/>
      <c r="M29" s="273"/>
    </row>
    <row r="30" spans="1:13" x14ac:dyDescent="0.45">
      <c r="E30" s="274"/>
      <c r="F30" s="275"/>
      <c r="I30" s="276"/>
      <c r="J30" s="277"/>
      <c r="L30" s="2"/>
    </row>
    <row r="31" spans="1:13" ht="16.5" x14ac:dyDescent="0.75">
      <c r="F31" s="278"/>
      <c r="I31" s="279"/>
      <c r="J31" s="280"/>
    </row>
    <row r="32" spans="1:13" x14ac:dyDescent="0.45">
      <c r="F32" s="275"/>
      <c r="I32" s="276"/>
      <c r="J32" s="277"/>
    </row>
    <row r="37" spans="1:2" x14ac:dyDescent="0.45">
      <c r="A37" s="254"/>
      <c r="B37" s="2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3"/>
  <sheetViews>
    <sheetView showGridLines="0" workbookViewId="0">
      <selection sqref="A1:O24"/>
    </sheetView>
  </sheetViews>
  <sheetFormatPr defaultRowHeight="15" x14ac:dyDescent="0.4"/>
  <cols>
    <col min="1" max="1" width="1.88671875" customWidth="1"/>
    <col min="2" max="2" width="17.88671875" customWidth="1"/>
    <col min="3" max="12" width="7.88671875" customWidth="1"/>
    <col min="13" max="13" width="10.6640625" customWidth="1"/>
    <col min="14" max="14" width="0.886718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18"/>
      <c r="P2" s="18"/>
    </row>
    <row r="3" spans="2:16" ht="18" x14ac:dyDescent="0.55000000000000004">
      <c r="B3" s="84" t="s">
        <v>134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76"/>
      <c r="O3" s="18"/>
      <c r="P3" s="18"/>
    </row>
    <row r="4" spans="2:16" ht="18" x14ac:dyDescent="0.55000000000000004">
      <c r="B4" s="86" t="s">
        <v>135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76"/>
      <c r="O4" s="18"/>
      <c r="P4" s="18"/>
    </row>
    <row r="5" spans="2:16" ht="15.75" x14ac:dyDescent="0.45">
      <c r="B5" s="88" t="s">
        <v>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76"/>
      <c r="O5" s="18"/>
      <c r="P5" s="18"/>
    </row>
    <row r="6" spans="2:16" ht="15.75" x14ac:dyDescent="0.5">
      <c r="B6" s="89" t="s">
        <v>136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76"/>
      <c r="O6" s="18"/>
      <c r="P6" s="18"/>
    </row>
    <row r="7" spans="2:16" ht="15.4" x14ac:dyDescent="0.45">
      <c r="B7" s="91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76"/>
      <c r="O7" s="18"/>
      <c r="P7" s="18"/>
    </row>
    <row r="8" spans="2:16" ht="15.4" x14ac:dyDescent="0.45">
      <c r="B8" s="92"/>
      <c r="C8" s="93"/>
      <c r="D8" s="94"/>
      <c r="E8" s="93"/>
      <c r="F8" s="95"/>
      <c r="G8" s="93"/>
      <c r="H8" s="95"/>
      <c r="I8" s="93"/>
      <c r="J8" s="95"/>
      <c r="K8" s="93"/>
      <c r="L8" s="95"/>
      <c r="M8" s="94"/>
      <c r="N8" s="83"/>
      <c r="O8" s="18"/>
      <c r="P8" s="18"/>
    </row>
    <row r="9" spans="2:16" ht="16.5" x14ac:dyDescent="0.45">
      <c r="B9" s="96"/>
      <c r="C9" s="305" t="s">
        <v>137</v>
      </c>
      <c r="D9" s="306"/>
      <c r="E9" s="305" t="s">
        <v>138</v>
      </c>
      <c r="F9" s="306"/>
      <c r="G9" s="305" t="s">
        <v>139</v>
      </c>
      <c r="H9" s="306"/>
      <c r="I9" s="305" t="s">
        <v>140</v>
      </c>
      <c r="J9" s="306"/>
      <c r="K9" s="305" t="s">
        <v>141</v>
      </c>
      <c r="L9" s="306"/>
      <c r="M9" s="18"/>
      <c r="N9" s="76"/>
      <c r="O9" s="18"/>
      <c r="P9" s="18"/>
    </row>
    <row r="10" spans="2:16" ht="16.5" x14ac:dyDescent="0.45">
      <c r="B10" s="96"/>
      <c r="C10" s="97"/>
      <c r="D10" s="98" t="s">
        <v>142</v>
      </c>
      <c r="E10" s="99"/>
      <c r="F10" s="98" t="s">
        <v>142</v>
      </c>
      <c r="G10" s="99"/>
      <c r="H10" s="98" t="s">
        <v>142</v>
      </c>
      <c r="I10" s="99"/>
      <c r="J10" s="98" t="s">
        <v>142</v>
      </c>
      <c r="K10" s="99"/>
      <c r="L10" s="98" t="s">
        <v>142</v>
      </c>
      <c r="M10" s="18"/>
      <c r="N10" s="76"/>
      <c r="O10" s="18"/>
      <c r="P10" s="18"/>
    </row>
    <row r="11" spans="2:16" ht="16.5" x14ac:dyDescent="0.45">
      <c r="B11" s="96"/>
      <c r="C11" s="97" t="s">
        <v>143</v>
      </c>
      <c r="D11" s="100" t="s">
        <v>144</v>
      </c>
      <c r="E11" s="97" t="s">
        <v>143</v>
      </c>
      <c r="F11" s="100" t="s">
        <v>144</v>
      </c>
      <c r="G11" s="97" t="s">
        <v>143</v>
      </c>
      <c r="H11" s="100" t="s">
        <v>144</v>
      </c>
      <c r="I11" s="97" t="s">
        <v>143</v>
      </c>
      <c r="J11" s="100" t="s">
        <v>144</v>
      </c>
      <c r="K11" s="97" t="s">
        <v>143</v>
      </c>
      <c r="L11" s="100" t="s">
        <v>144</v>
      </c>
      <c r="M11" s="101" t="s">
        <v>145</v>
      </c>
      <c r="N11" s="76"/>
      <c r="O11" s="18"/>
      <c r="P11" s="18"/>
    </row>
    <row r="12" spans="2:16" ht="15.4" x14ac:dyDescent="0.45">
      <c r="B12" s="102" t="s">
        <v>146</v>
      </c>
      <c r="C12" s="103">
        <v>18000</v>
      </c>
      <c r="D12" s="104">
        <v>35441</v>
      </c>
      <c r="E12" s="103">
        <v>18500</v>
      </c>
      <c r="F12" s="105">
        <v>34658</v>
      </c>
      <c r="G12" s="103">
        <v>19500</v>
      </c>
      <c r="H12" s="105">
        <v>33946</v>
      </c>
      <c r="I12" s="103">
        <v>20500</v>
      </c>
      <c r="J12" s="105">
        <v>33196</v>
      </c>
      <c r="K12" s="210">
        <v>21500</v>
      </c>
      <c r="L12" s="211">
        <v>32498</v>
      </c>
      <c r="M12" s="106">
        <f t="shared" ref="M12" si="0">SUM(C12:L12)</f>
        <v>267739</v>
      </c>
      <c r="N12" s="76"/>
      <c r="O12" s="18"/>
      <c r="P12" s="18"/>
    </row>
    <row r="13" spans="2:16" ht="15.4" x14ac:dyDescent="0.45">
      <c r="B13" s="102" t="s">
        <v>147</v>
      </c>
      <c r="C13" s="103">
        <v>41000</v>
      </c>
      <c r="D13" s="104">
        <v>35546</v>
      </c>
      <c r="E13" s="103">
        <v>42000</v>
      </c>
      <c r="F13" s="105">
        <v>34514</v>
      </c>
      <c r="G13" s="103">
        <v>43000</v>
      </c>
      <c r="H13" s="105">
        <v>33557</v>
      </c>
      <c r="I13" s="103">
        <v>44000</v>
      </c>
      <c r="J13" s="105">
        <v>32579</v>
      </c>
      <c r="K13" s="210">
        <v>45000</v>
      </c>
      <c r="L13" s="211">
        <v>31665</v>
      </c>
      <c r="M13" s="106">
        <f t="shared" ref="M13:M16" si="1">SUM(C13:L13)</f>
        <v>382861</v>
      </c>
      <c r="N13" s="76"/>
      <c r="O13" s="18"/>
      <c r="P13" s="18"/>
    </row>
    <row r="14" spans="2:16" ht="15.4" x14ac:dyDescent="0.45">
      <c r="B14" s="102" t="s">
        <v>148</v>
      </c>
      <c r="C14" s="103">
        <v>8100</v>
      </c>
      <c r="D14" s="104">
        <v>8690</v>
      </c>
      <c r="E14" s="103">
        <v>8500</v>
      </c>
      <c r="F14" s="105">
        <v>8352</v>
      </c>
      <c r="G14" s="103">
        <v>8900</v>
      </c>
      <c r="H14" s="105">
        <v>7952</v>
      </c>
      <c r="I14" s="103">
        <v>9300</v>
      </c>
      <c r="J14" s="105">
        <v>7534</v>
      </c>
      <c r="K14" s="210">
        <v>9700</v>
      </c>
      <c r="L14" s="211">
        <v>7096</v>
      </c>
      <c r="M14" s="106">
        <f t="shared" si="1"/>
        <v>84124</v>
      </c>
      <c r="N14" s="76"/>
      <c r="O14" s="18"/>
      <c r="P14" s="18"/>
    </row>
    <row r="15" spans="2:16" ht="15.4" x14ac:dyDescent="0.45">
      <c r="B15" s="102" t="s">
        <v>149</v>
      </c>
      <c r="C15" s="103">
        <v>40000</v>
      </c>
      <c r="D15" s="104">
        <v>4756</v>
      </c>
      <c r="E15" s="103">
        <v>42083</v>
      </c>
      <c r="F15" s="105">
        <v>3491</v>
      </c>
      <c r="G15" s="103">
        <v>45000</v>
      </c>
      <c r="H15" s="105">
        <v>2140</v>
      </c>
      <c r="I15" s="103">
        <v>45000</v>
      </c>
      <c r="J15" s="105">
        <v>113</v>
      </c>
      <c r="K15" s="210">
        <v>23334</v>
      </c>
      <c r="L15" s="211">
        <v>0</v>
      </c>
      <c r="M15" s="106">
        <f t="shared" si="1"/>
        <v>205917</v>
      </c>
      <c r="N15" s="76"/>
      <c r="O15" s="18"/>
      <c r="P15" s="18"/>
    </row>
    <row r="16" spans="2:16" ht="15.4" x14ac:dyDescent="0.45">
      <c r="B16" s="102" t="s">
        <v>150</v>
      </c>
      <c r="C16" s="103">
        <v>88781</v>
      </c>
      <c r="D16" s="104">
        <v>12688</v>
      </c>
      <c r="E16" s="103">
        <v>89225.65</v>
      </c>
      <c r="F16" s="105">
        <v>12244</v>
      </c>
      <c r="G16" s="103">
        <v>89672</v>
      </c>
      <c r="H16" s="105">
        <v>11797</v>
      </c>
      <c r="I16" s="103">
        <v>90121</v>
      </c>
      <c r="J16" s="105">
        <v>11348</v>
      </c>
      <c r="K16" s="210">
        <v>90572.43</v>
      </c>
      <c r="L16" s="211">
        <v>10897</v>
      </c>
      <c r="M16" s="106">
        <f t="shared" si="1"/>
        <v>507346.08</v>
      </c>
      <c r="N16" s="76"/>
      <c r="O16" s="18"/>
      <c r="P16" s="18"/>
    </row>
    <row r="17" spans="2:16" ht="15.4" x14ac:dyDescent="0.45">
      <c r="B17" s="77" t="s">
        <v>145</v>
      </c>
      <c r="C17" s="107">
        <f t="shared" ref="C17:L17" si="2">SUM(C12:C16)</f>
        <v>195881</v>
      </c>
      <c r="D17" s="107">
        <f t="shared" si="2"/>
        <v>97121</v>
      </c>
      <c r="E17" s="107">
        <f t="shared" si="2"/>
        <v>200308.65</v>
      </c>
      <c r="F17" s="108">
        <f t="shared" si="2"/>
        <v>93259</v>
      </c>
      <c r="G17" s="107">
        <f t="shared" si="2"/>
        <v>206072</v>
      </c>
      <c r="H17" s="107">
        <f t="shared" si="2"/>
        <v>89392</v>
      </c>
      <c r="I17" s="107">
        <f t="shared" si="2"/>
        <v>208921</v>
      </c>
      <c r="J17" s="107">
        <f t="shared" si="2"/>
        <v>84770</v>
      </c>
      <c r="K17" s="107">
        <f t="shared" si="2"/>
        <v>190106.43</v>
      </c>
      <c r="L17" s="108">
        <f t="shared" si="2"/>
        <v>82156</v>
      </c>
      <c r="M17" s="109">
        <f>SUM(M12:M16)</f>
        <v>1447987.08</v>
      </c>
      <c r="N17" s="76"/>
      <c r="O17" s="18"/>
      <c r="P17" s="18">
        <f>SUM(C17:L17)</f>
        <v>1447987.0799999998</v>
      </c>
    </row>
    <row r="18" spans="2:16" ht="15.4" x14ac:dyDescent="0.45">
      <c r="B18" s="110"/>
      <c r="C18" s="111"/>
      <c r="D18" s="112"/>
      <c r="E18" s="111"/>
      <c r="F18" s="113"/>
      <c r="G18" s="111"/>
      <c r="H18" s="113"/>
      <c r="I18" s="111"/>
      <c r="J18" s="114"/>
      <c r="K18" s="111"/>
      <c r="L18" s="113"/>
      <c r="M18" s="112"/>
      <c r="N18" s="72"/>
      <c r="O18" s="18"/>
      <c r="P18" s="18"/>
    </row>
    <row r="19" spans="2:16" ht="15.4" x14ac:dyDescent="0.45">
      <c r="B19" s="115"/>
      <c r="C19" s="116"/>
      <c r="D19" s="116"/>
      <c r="E19" s="116"/>
      <c r="F19" s="116"/>
      <c r="G19" s="116"/>
      <c r="H19" s="116"/>
      <c r="I19" s="116"/>
      <c r="J19" s="117"/>
      <c r="K19" s="117"/>
      <c r="L19" s="117"/>
      <c r="M19" s="116"/>
      <c r="N19" s="76"/>
      <c r="O19" s="18"/>
      <c r="P19" s="18"/>
    </row>
    <row r="20" spans="2:16" ht="15.4" x14ac:dyDescent="0.45">
      <c r="B20" s="118"/>
      <c r="C20" s="119"/>
      <c r="D20" s="120"/>
      <c r="E20" s="119"/>
      <c r="F20" s="119"/>
      <c r="G20" s="119"/>
      <c r="H20" s="119"/>
      <c r="I20" s="120" t="s">
        <v>151</v>
      </c>
      <c r="J20" s="18"/>
      <c r="K20" s="121"/>
      <c r="L20" s="122"/>
      <c r="M20" s="119">
        <f>M17/5</f>
        <v>289597.41600000003</v>
      </c>
      <c r="N20" s="76"/>
      <c r="O20" s="18"/>
      <c r="P20" s="18"/>
    </row>
    <row r="21" spans="2:16" ht="15.4" x14ac:dyDescent="0.45">
      <c r="B21" s="20"/>
      <c r="C21" s="120"/>
      <c r="D21" s="18"/>
      <c r="E21" s="120"/>
      <c r="F21" s="120"/>
      <c r="G21" s="120"/>
      <c r="H21" s="120"/>
      <c r="I21" s="120"/>
      <c r="J21" s="18"/>
      <c r="K21" s="24"/>
      <c r="L21" s="121"/>
      <c r="M21" s="33"/>
      <c r="N21" s="76"/>
      <c r="O21" s="18"/>
      <c r="P21" s="18"/>
    </row>
    <row r="22" spans="2:16" ht="15.4" x14ac:dyDescent="0.45">
      <c r="B22" s="118"/>
      <c r="C22" s="120"/>
      <c r="D22" s="120"/>
      <c r="E22" s="120"/>
      <c r="F22" s="120"/>
      <c r="G22" s="120"/>
      <c r="H22" s="120"/>
      <c r="I22" s="120" t="s">
        <v>152</v>
      </c>
      <c r="J22" s="18"/>
      <c r="K22" s="121"/>
      <c r="L22" s="120"/>
      <c r="M22" s="119">
        <f>M20*0.2</f>
        <v>57919.48320000001</v>
      </c>
      <c r="N22" s="76"/>
      <c r="O22" s="18"/>
      <c r="P22" s="18">
        <f>M22+M20</f>
        <v>347516.89920000004</v>
      </c>
    </row>
    <row r="23" spans="2:16" ht="15.4" x14ac:dyDescent="0.45"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72"/>
      <c r="O23" s="18"/>
      <c r="P23" s="18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1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1"/>
  <sheetViews>
    <sheetView showGridLines="0" workbookViewId="0">
      <selection sqref="A1:M52"/>
    </sheetView>
  </sheetViews>
  <sheetFormatPr defaultRowHeight="15.4" x14ac:dyDescent="0.45"/>
  <cols>
    <col min="1" max="1" width="2" customWidth="1"/>
    <col min="2" max="3" width="1.88671875" customWidth="1"/>
    <col min="4" max="4" width="27.44140625" style="1" customWidth="1"/>
    <col min="5" max="5" width="8.33203125" style="1" customWidth="1"/>
    <col min="6" max="6" width="10.6640625" style="176" customWidth="1"/>
    <col min="7" max="7" width="6.109375" style="1" customWidth="1"/>
    <col min="8" max="8" width="9.33203125" style="172" customWidth="1"/>
    <col min="9" max="9" width="6.109375" customWidth="1"/>
    <col min="10" max="10" width="9.33203125" style="172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5"/>
      <c r="H1" s="19"/>
      <c r="I1" s="135"/>
      <c r="J1" s="19"/>
      <c r="K1" s="3"/>
      <c r="L1" s="3"/>
      <c r="M1" s="3"/>
    </row>
    <row r="2" spans="1:13" x14ac:dyDescent="0.45">
      <c r="A2" s="1"/>
      <c r="B2" s="125"/>
      <c r="C2" s="127"/>
      <c r="D2" s="127"/>
      <c r="E2" s="127"/>
      <c r="F2" s="177"/>
      <c r="G2" s="136"/>
      <c r="H2" s="169"/>
      <c r="I2" s="136"/>
      <c r="J2" s="169"/>
      <c r="K2" s="127"/>
      <c r="L2" s="143"/>
      <c r="M2" s="146"/>
    </row>
    <row r="3" spans="1:13" ht="18" x14ac:dyDescent="0.55000000000000004">
      <c r="A3" s="1"/>
      <c r="B3" s="53"/>
      <c r="C3" s="307" t="s">
        <v>153</v>
      </c>
      <c r="D3" s="307"/>
      <c r="E3" s="307"/>
      <c r="F3" s="307"/>
      <c r="G3" s="307"/>
      <c r="H3" s="307"/>
      <c r="I3" s="307"/>
      <c r="J3" s="307"/>
      <c r="K3" s="307"/>
      <c r="L3" s="144"/>
      <c r="M3" s="146"/>
    </row>
    <row r="4" spans="1:13" ht="18" x14ac:dyDescent="0.55000000000000004">
      <c r="A4" s="1"/>
      <c r="B4" s="53"/>
      <c r="C4" s="308" t="s">
        <v>154</v>
      </c>
      <c r="D4" s="308"/>
      <c r="E4" s="308"/>
      <c r="F4" s="308"/>
      <c r="G4" s="308"/>
      <c r="H4" s="308"/>
      <c r="I4" s="308"/>
      <c r="J4" s="308"/>
      <c r="K4" s="308"/>
      <c r="L4" s="144"/>
      <c r="M4" s="146"/>
    </row>
    <row r="5" spans="1:13" ht="15.75" x14ac:dyDescent="0.45">
      <c r="A5" s="1"/>
      <c r="B5" s="53"/>
      <c r="C5" s="309" t="s">
        <v>1</v>
      </c>
      <c r="D5" s="309"/>
      <c r="E5" s="309"/>
      <c r="F5" s="309"/>
      <c r="G5" s="309"/>
      <c r="H5" s="309"/>
      <c r="I5" s="309"/>
      <c r="J5" s="309"/>
      <c r="K5" s="309"/>
      <c r="L5" s="144"/>
      <c r="M5" s="146"/>
    </row>
    <row r="6" spans="1:13" x14ac:dyDescent="0.45">
      <c r="A6" s="1"/>
      <c r="B6" s="53"/>
      <c r="C6" s="3"/>
      <c r="D6" s="3"/>
      <c r="E6" s="3"/>
      <c r="G6" s="137"/>
      <c r="H6" s="19"/>
      <c r="I6" s="137"/>
      <c r="J6" s="19"/>
      <c r="K6" s="129" t="s">
        <v>155</v>
      </c>
      <c r="L6" s="144"/>
      <c r="M6" s="146"/>
    </row>
    <row r="7" spans="1:13" x14ac:dyDescent="0.45">
      <c r="A7" s="1"/>
      <c r="B7" s="53"/>
      <c r="C7" s="128"/>
      <c r="D7" s="128"/>
      <c r="E7" s="128" t="s">
        <v>156</v>
      </c>
      <c r="F7" s="178" t="s">
        <v>157</v>
      </c>
      <c r="G7" s="310" t="s">
        <v>158</v>
      </c>
      <c r="H7" s="310"/>
      <c r="I7" s="310" t="s">
        <v>5</v>
      </c>
      <c r="J7" s="310"/>
      <c r="K7" s="129" t="s">
        <v>159</v>
      </c>
      <c r="L7" s="144"/>
      <c r="M7" s="146"/>
    </row>
    <row r="8" spans="1:13" ht="17.649999999999999" x14ac:dyDescent="0.75">
      <c r="A8" s="1"/>
      <c r="B8" s="53"/>
      <c r="C8" s="129"/>
      <c r="D8" s="133" t="s">
        <v>160</v>
      </c>
      <c r="E8" s="129" t="s">
        <v>161</v>
      </c>
      <c r="F8" s="179" t="s">
        <v>162</v>
      </c>
      <c r="G8" s="27" t="s">
        <v>129</v>
      </c>
      <c r="H8" s="129" t="s">
        <v>163</v>
      </c>
      <c r="I8" s="27" t="s">
        <v>129</v>
      </c>
      <c r="J8" s="129" t="s">
        <v>163</v>
      </c>
      <c r="K8" s="129" t="s">
        <v>6</v>
      </c>
      <c r="L8" s="144"/>
      <c r="M8" s="146"/>
    </row>
    <row r="9" spans="1:13" x14ac:dyDescent="0.45">
      <c r="A9" s="1"/>
      <c r="B9" s="53"/>
      <c r="C9" s="130" t="s">
        <v>164</v>
      </c>
      <c r="D9" s="3"/>
      <c r="E9" s="134"/>
      <c r="G9" s="137"/>
      <c r="H9" s="171"/>
      <c r="I9" s="137"/>
      <c r="J9" s="171"/>
      <c r="K9" s="2"/>
      <c r="L9" s="144"/>
      <c r="M9" s="146"/>
    </row>
    <row r="10" spans="1:13" x14ac:dyDescent="0.45">
      <c r="A10" s="1"/>
      <c r="B10" s="53"/>
      <c r="C10" s="130"/>
      <c r="D10" s="3" t="s">
        <v>165</v>
      </c>
      <c r="E10" s="134" t="s">
        <v>166</v>
      </c>
      <c r="F10" s="201">
        <v>5632405</v>
      </c>
      <c r="G10" s="73">
        <v>37.5</v>
      </c>
      <c r="H10" s="164">
        <v>12516</v>
      </c>
      <c r="I10" s="137">
        <v>37.5</v>
      </c>
      <c r="J10" s="164">
        <f>F10/I10</f>
        <v>150197.46666666667</v>
      </c>
      <c r="K10" s="24">
        <f>J10-H10</f>
        <v>137681.46666666667</v>
      </c>
      <c r="L10" s="144"/>
      <c r="M10" s="146"/>
    </row>
    <row r="11" spans="1:13" x14ac:dyDescent="0.45">
      <c r="A11" s="1"/>
      <c r="B11" s="53"/>
      <c r="C11" s="130"/>
      <c r="D11" s="3" t="s">
        <v>167</v>
      </c>
      <c r="E11" s="134" t="s">
        <v>166</v>
      </c>
      <c r="F11" s="181">
        <v>12809</v>
      </c>
      <c r="G11" s="73">
        <v>10</v>
      </c>
      <c r="H11" s="164">
        <v>107</v>
      </c>
      <c r="I11" s="137">
        <v>10</v>
      </c>
      <c r="J11" s="164">
        <f>F11/I11</f>
        <v>1280.9000000000001</v>
      </c>
      <c r="K11" s="24">
        <f>J11-H11</f>
        <v>1173.9000000000001</v>
      </c>
      <c r="L11" s="144"/>
      <c r="M11" s="146"/>
    </row>
    <row r="12" spans="1:13" x14ac:dyDescent="0.45">
      <c r="A12" s="1"/>
      <c r="B12" s="53"/>
      <c r="C12" s="3"/>
      <c r="D12" s="3" t="s">
        <v>168</v>
      </c>
      <c r="E12" s="134" t="s">
        <v>166</v>
      </c>
      <c r="F12" s="181">
        <v>160551</v>
      </c>
      <c r="G12" s="73" t="s">
        <v>166</v>
      </c>
      <c r="H12" s="164">
        <v>421</v>
      </c>
      <c r="I12" s="137">
        <v>22.5</v>
      </c>
      <c r="J12" s="164">
        <f>F12/I12</f>
        <v>7135.6</v>
      </c>
      <c r="K12" s="24">
        <f>J12-H12</f>
        <v>6714.6</v>
      </c>
      <c r="L12" s="144"/>
      <c r="M12" s="146"/>
    </row>
    <row r="13" spans="1:13" x14ac:dyDescent="0.45">
      <c r="A13" s="1"/>
      <c r="B13" s="53"/>
      <c r="C13" s="3"/>
      <c r="D13" s="3" t="s">
        <v>169</v>
      </c>
      <c r="E13" s="134" t="s">
        <v>166</v>
      </c>
      <c r="F13" s="181">
        <v>454830</v>
      </c>
      <c r="G13" s="73">
        <v>12.5</v>
      </c>
      <c r="H13" s="164">
        <v>3032</v>
      </c>
      <c r="I13" s="137">
        <v>12.5</v>
      </c>
      <c r="J13" s="164">
        <f t="shared" ref="J13:J15" si="0">F13/I13</f>
        <v>36386.400000000001</v>
      </c>
      <c r="K13" s="24">
        <f t="shared" ref="K13:K15" si="1">J13-H13</f>
        <v>33354.400000000001</v>
      </c>
      <c r="L13" s="144"/>
      <c r="M13" s="146"/>
    </row>
    <row r="14" spans="1:13" x14ac:dyDescent="0.45">
      <c r="A14" s="1"/>
      <c r="B14" s="53"/>
      <c r="C14" s="3"/>
      <c r="D14" s="3" t="s">
        <v>170</v>
      </c>
      <c r="E14" s="134" t="s">
        <v>166</v>
      </c>
      <c r="F14" s="181">
        <v>9102</v>
      </c>
      <c r="G14" s="73" t="s">
        <v>166</v>
      </c>
      <c r="H14" s="164">
        <v>33</v>
      </c>
      <c r="I14" s="137">
        <v>17.5</v>
      </c>
      <c r="J14" s="164">
        <f t="shared" si="0"/>
        <v>520.11428571428576</v>
      </c>
      <c r="K14" s="24">
        <f t="shared" si="1"/>
        <v>487.11428571428576</v>
      </c>
      <c r="L14" s="144"/>
      <c r="M14" s="146"/>
    </row>
    <row r="15" spans="1:13" x14ac:dyDescent="0.45">
      <c r="A15" s="1"/>
      <c r="B15" s="53"/>
      <c r="C15" s="3"/>
      <c r="D15" s="3" t="s">
        <v>171</v>
      </c>
      <c r="E15" s="134"/>
      <c r="F15" s="181"/>
      <c r="G15" s="73"/>
      <c r="H15" s="164"/>
      <c r="I15" s="137">
        <v>15</v>
      </c>
      <c r="J15" s="164">
        <f t="shared" si="0"/>
        <v>0</v>
      </c>
      <c r="K15" s="24">
        <f t="shared" si="1"/>
        <v>0</v>
      </c>
      <c r="L15" s="144"/>
      <c r="M15" s="146"/>
    </row>
    <row r="16" spans="1:13" x14ac:dyDescent="0.45">
      <c r="A16" s="1"/>
      <c r="B16" s="53"/>
      <c r="C16" s="3"/>
      <c r="D16" s="3"/>
      <c r="E16" s="134"/>
      <c r="F16" s="181"/>
      <c r="G16" s="73"/>
      <c r="H16" s="164"/>
      <c r="I16" s="137"/>
      <c r="J16" s="164"/>
      <c r="K16" s="24"/>
      <c r="L16" s="144"/>
      <c r="M16" s="146"/>
    </row>
    <row r="17" spans="1:13" x14ac:dyDescent="0.45">
      <c r="A17" s="1"/>
      <c r="B17" s="53"/>
      <c r="C17" s="130" t="s">
        <v>172</v>
      </c>
      <c r="D17" s="3"/>
      <c r="E17" s="134"/>
      <c r="F17" s="181"/>
      <c r="G17" s="73"/>
      <c r="H17" s="164"/>
      <c r="I17" s="137"/>
      <c r="J17" s="164"/>
      <c r="K17" s="24"/>
      <c r="L17" s="144"/>
      <c r="M17" s="146"/>
    </row>
    <row r="18" spans="1:13" x14ac:dyDescent="0.45">
      <c r="A18" s="1"/>
      <c r="B18" s="53"/>
      <c r="C18" s="3"/>
      <c r="D18" s="3" t="s">
        <v>173</v>
      </c>
      <c r="E18" s="134" t="s">
        <v>166</v>
      </c>
      <c r="F18" s="181">
        <v>474545</v>
      </c>
      <c r="G18" s="73">
        <v>10</v>
      </c>
      <c r="H18" s="164">
        <v>989</v>
      </c>
      <c r="I18" s="137">
        <v>62.5</v>
      </c>
      <c r="J18" s="164">
        <f t="shared" ref="J18:J19" si="2">F18/I18</f>
        <v>7592.72</v>
      </c>
      <c r="K18" s="24">
        <f t="shared" ref="K18:K19" si="3">J18-H18</f>
        <v>6603.72</v>
      </c>
      <c r="L18" s="144"/>
      <c r="M18" s="146"/>
    </row>
    <row r="19" spans="1:13" x14ac:dyDescent="0.45">
      <c r="A19" s="1"/>
      <c r="B19" s="53"/>
      <c r="C19" s="3"/>
      <c r="D19" s="3" t="s">
        <v>174</v>
      </c>
      <c r="E19" s="134" t="s">
        <v>166</v>
      </c>
      <c r="F19" s="181">
        <v>488949</v>
      </c>
      <c r="G19" s="73" t="s">
        <v>166</v>
      </c>
      <c r="H19" s="164">
        <v>651.92999999999995</v>
      </c>
      <c r="I19" s="137">
        <v>62.5</v>
      </c>
      <c r="J19" s="164">
        <f t="shared" si="2"/>
        <v>7823.1840000000002</v>
      </c>
      <c r="K19" s="24">
        <f t="shared" si="3"/>
        <v>7171.2539999999999</v>
      </c>
      <c r="L19" s="144"/>
      <c r="M19" s="146"/>
    </row>
    <row r="20" spans="1:13" x14ac:dyDescent="0.45">
      <c r="A20" s="1"/>
      <c r="B20" s="53"/>
      <c r="C20" s="129"/>
      <c r="D20" s="129"/>
      <c r="E20" s="129"/>
      <c r="F20" s="180"/>
      <c r="G20" s="27"/>
      <c r="H20" s="170"/>
      <c r="I20" s="27"/>
      <c r="J20" s="170"/>
      <c r="K20" s="129"/>
      <c r="L20" s="144"/>
      <c r="M20" s="146"/>
    </row>
    <row r="21" spans="1:13" x14ac:dyDescent="0.45">
      <c r="A21" s="1"/>
      <c r="B21" s="53"/>
      <c r="C21" s="130" t="s">
        <v>175</v>
      </c>
      <c r="D21" s="3"/>
      <c r="E21" s="134"/>
      <c r="G21" s="138"/>
      <c r="H21" s="171"/>
      <c r="I21" s="138"/>
      <c r="J21" s="171"/>
      <c r="K21" s="2"/>
      <c r="L21" s="144"/>
      <c r="M21" s="146"/>
    </row>
    <row r="22" spans="1:13" x14ac:dyDescent="0.45">
      <c r="A22" s="1"/>
      <c r="B22" s="53"/>
      <c r="C22" s="130"/>
      <c r="D22" s="3" t="s">
        <v>165</v>
      </c>
      <c r="E22" s="134"/>
      <c r="F22" s="181"/>
      <c r="G22" s="73"/>
      <c r="H22" s="164"/>
      <c r="I22" s="137">
        <v>37.5</v>
      </c>
      <c r="J22" s="164">
        <f>F22/I22</f>
        <v>0</v>
      </c>
      <c r="K22" s="24">
        <f>J22-H22</f>
        <v>0</v>
      </c>
      <c r="L22" s="144"/>
      <c r="M22" s="146"/>
    </row>
    <row r="23" spans="1:13" x14ac:dyDescent="0.45">
      <c r="A23" s="1"/>
      <c r="B23" s="53"/>
      <c r="C23" s="3"/>
      <c r="D23" s="3" t="s">
        <v>176</v>
      </c>
      <c r="E23" s="134"/>
      <c r="G23" s="138"/>
      <c r="H23" s="164"/>
      <c r="I23" s="137">
        <v>10</v>
      </c>
      <c r="J23" s="171">
        <f>F23/I23</f>
        <v>0</v>
      </c>
      <c r="K23" s="24">
        <f>J23-H23</f>
        <v>0</v>
      </c>
      <c r="L23" s="144"/>
      <c r="M23" s="146"/>
    </row>
    <row r="24" spans="1:13" x14ac:dyDescent="0.45">
      <c r="A24" s="1"/>
      <c r="B24" s="53"/>
      <c r="C24" s="3"/>
      <c r="D24" s="3" t="s">
        <v>177</v>
      </c>
      <c r="E24" s="134" t="s">
        <v>166</v>
      </c>
      <c r="F24" s="176">
        <v>1174899</v>
      </c>
      <c r="G24" s="138" t="s">
        <v>166</v>
      </c>
      <c r="H24" s="164">
        <v>5730</v>
      </c>
      <c r="I24" s="137">
        <v>20</v>
      </c>
      <c r="J24" s="171">
        <f>F24/I24</f>
        <v>58744.95</v>
      </c>
      <c r="K24" s="24">
        <f>J24-H24</f>
        <v>53014.95</v>
      </c>
      <c r="L24" s="144"/>
      <c r="M24" s="146"/>
    </row>
    <row r="25" spans="1:13" x14ac:dyDescent="0.45">
      <c r="A25" s="1"/>
      <c r="B25" s="53"/>
      <c r="C25" s="129"/>
      <c r="D25" s="129"/>
      <c r="E25" s="129"/>
      <c r="G25" s="138"/>
      <c r="H25" s="171"/>
      <c r="I25" s="138"/>
      <c r="J25" s="171"/>
      <c r="K25" s="2"/>
      <c r="L25" s="144"/>
      <c r="M25" s="146"/>
    </row>
    <row r="26" spans="1:13" x14ac:dyDescent="0.45">
      <c r="A26" s="1"/>
      <c r="B26" s="53"/>
      <c r="C26" s="130" t="s">
        <v>178</v>
      </c>
      <c r="D26" s="3"/>
      <c r="E26" s="134"/>
      <c r="G26" s="137"/>
      <c r="H26" s="171"/>
      <c r="I26" s="137"/>
      <c r="J26" s="171"/>
      <c r="K26" s="2"/>
      <c r="L26" s="144"/>
      <c r="M26" s="146"/>
    </row>
    <row r="27" spans="1:13" x14ac:dyDescent="0.45">
      <c r="A27" s="1"/>
      <c r="B27" s="53"/>
      <c r="C27" s="130"/>
      <c r="D27" s="3" t="s">
        <v>179</v>
      </c>
      <c r="E27" s="134" t="s">
        <v>166</v>
      </c>
      <c r="F27" s="181">
        <v>171112</v>
      </c>
      <c r="G27" s="73" t="s">
        <v>166</v>
      </c>
      <c r="H27" s="164">
        <v>285.17</v>
      </c>
      <c r="I27" s="137">
        <v>50</v>
      </c>
      <c r="J27" s="164">
        <f>H27</f>
        <v>285.17</v>
      </c>
      <c r="K27" s="24">
        <f>J27-H27</f>
        <v>0</v>
      </c>
      <c r="L27" s="144"/>
      <c r="M27" s="146"/>
    </row>
    <row r="28" spans="1:13" x14ac:dyDescent="0.45">
      <c r="A28" s="1"/>
      <c r="B28" s="53"/>
      <c r="C28" s="130"/>
      <c r="D28" s="3" t="s">
        <v>180</v>
      </c>
      <c r="E28" s="134" t="s">
        <v>166</v>
      </c>
      <c r="F28" s="201">
        <v>16550910</v>
      </c>
      <c r="G28" s="73" t="s">
        <v>166</v>
      </c>
      <c r="H28" s="164">
        <v>22068</v>
      </c>
      <c r="I28" s="137">
        <v>62.5</v>
      </c>
      <c r="J28" s="164">
        <f t="shared" ref="J28:J35" si="4">F28/I28</f>
        <v>264814.56</v>
      </c>
      <c r="K28" s="24">
        <f t="shared" ref="K28:K35" si="5">J28-H28</f>
        <v>242746.56</v>
      </c>
      <c r="L28" s="144"/>
      <c r="M28" s="146"/>
    </row>
    <row r="29" spans="1:13" x14ac:dyDescent="0.45">
      <c r="A29" s="1"/>
      <c r="B29" s="53"/>
      <c r="C29" s="130"/>
      <c r="D29" s="3" t="s">
        <v>181</v>
      </c>
      <c r="E29" s="134" t="s">
        <v>166</v>
      </c>
      <c r="F29" s="201">
        <v>1602084</v>
      </c>
      <c r="G29" s="73" t="s">
        <v>166</v>
      </c>
      <c r="H29" s="164">
        <v>2966</v>
      </c>
      <c r="I29" s="137">
        <v>45</v>
      </c>
      <c r="J29" s="164">
        <f t="shared" si="4"/>
        <v>35601.866666666669</v>
      </c>
      <c r="K29" s="24">
        <f t="shared" si="5"/>
        <v>32635.866666666669</v>
      </c>
      <c r="L29" s="144"/>
      <c r="M29" s="146"/>
    </row>
    <row r="30" spans="1:13" x14ac:dyDescent="0.45">
      <c r="A30" s="1"/>
      <c r="B30" s="53"/>
      <c r="C30" s="130"/>
      <c r="D30" s="3" t="s">
        <v>182</v>
      </c>
      <c r="E30" s="134"/>
      <c r="F30" s="181"/>
      <c r="G30" s="73"/>
      <c r="H30" s="164"/>
      <c r="I30" s="137">
        <v>15</v>
      </c>
      <c r="J30" s="164">
        <f t="shared" si="4"/>
        <v>0</v>
      </c>
      <c r="K30" s="24">
        <f t="shared" si="5"/>
        <v>0</v>
      </c>
      <c r="L30" s="144"/>
      <c r="M30" s="146"/>
    </row>
    <row r="31" spans="1:13" x14ac:dyDescent="0.45">
      <c r="A31" s="1"/>
      <c r="B31" s="53"/>
      <c r="C31" s="130"/>
      <c r="D31" s="3" t="s">
        <v>183</v>
      </c>
      <c r="E31" s="134"/>
      <c r="F31" s="181"/>
      <c r="G31" s="73"/>
      <c r="H31" s="164"/>
      <c r="I31" s="137">
        <v>20</v>
      </c>
      <c r="J31" s="164">
        <f t="shared" si="4"/>
        <v>0</v>
      </c>
      <c r="K31" s="24">
        <f t="shared" si="5"/>
        <v>0</v>
      </c>
      <c r="L31" s="144"/>
      <c r="M31" s="146"/>
    </row>
    <row r="32" spans="1:13" x14ac:dyDescent="0.45">
      <c r="A32" s="1"/>
      <c r="B32" s="53"/>
      <c r="C32" s="130"/>
      <c r="D32" s="3" t="s">
        <v>184</v>
      </c>
      <c r="E32" s="134"/>
      <c r="F32" s="181"/>
      <c r="G32" s="73"/>
      <c r="H32" s="164"/>
      <c r="I32" s="137">
        <v>37.5</v>
      </c>
      <c r="J32" s="164">
        <f t="shared" si="4"/>
        <v>0</v>
      </c>
      <c r="K32" s="24">
        <f t="shared" si="5"/>
        <v>0</v>
      </c>
      <c r="L32" s="144"/>
      <c r="M32" s="146"/>
    </row>
    <row r="33" spans="1:14" x14ac:dyDescent="0.45">
      <c r="A33" s="1"/>
      <c r="B33" s="53"/>
      <c r="C33" s="130"/>
      <c r="D33" s="3" t="s">
        <v>185</v>
      </c>
      <c r="E33" s="134"/>
      <c r="F33" s="181"/>
      <c r="G33" s="73"/>
      <c r="H33" s="164"/>
      <c r="I33" s="137">
        <v>40</v>
      </c>
      <c r="J33" s="164">
        <f t="shared" si="4"/>
        <v>0</v>
      </c>
      <c r="K33" s="24">
        <f t="shared" si="5"/>
        <v>0</v>
      </c>
      <c r="L33" s="144"/>
      <c r="M33" s="146"/>
    </row>
    <row r="34" spans="1:14" x14ac:dyDescent="0.45">
      <c r="A34" s="1"/>
      <c r="B34" s="53"/>
      <c r="C34" s="130"/>
      <c r="D34" s="3" t="s">
        <v>186</v>
      </c>
      <c r="E34" s="134" t="s">
        <v>166</v>
      </c>
      <c r="F34" s="201">
        <v>2950563</v>
      </c>
      <c r="G34" s="73" t="s">
        <v>166</v>
      </c>
      <c r="H34" s="164">
        <v>5223</v>
      </c>
      <c r="I34" s="137">
        <v>45</v>
      </c>
      <c r="J34" s="164">
        <f t="shared" si="4"/>
        <v>65568.066666666666</v>
      </c>
      <c r="K34" s="24">
        <f t="shared" si="5"/>
        <v>60345.066666666666</v>
      </c>
      <c r="L34" s="144"/>
      <c r="M34" s="146"/>
    </row>
    <row r="35" spans="1:14" x14ac:dyDescent="0.45">
      <c r="A35" s="1"/>
      <c r="B35" s="53"/>
      <c r="C35" s="130"/>
      <c r="D35" s="3" t="s">
        <v>187</v>
      </c>
      <c r="E35" s="134"/>
      <c r="F35" s="181"/>
      <c r="G35" s="73"/>
      <c r="H35" s="164"/>
      <c r="I35" s="137">
        <v>15</v>
      </c>
      <c r="J35" s="164">
        <f t="shared" si="4"/>
        <v>0</v>
      </c>
      <c r="K35" s="24">
        <f t="shared" si="5"/>
        <v>0</v>
      </c>
      <c r="L35" s="144"/>
      <c r="M35" s="146"/>
    </row>
    <row r="36" spans="1:14" x14ac:dyDescent="0.45">
      <c r="A36" s="1"/>
      <c r="B36" s="53"/>
      <c r="C36" s="130"/>
      <c r="E36" s="134"/>
      <c r="G36" s="138"/>
      <c r="H36" s="171"/>
      <c r="I36" s="138"/>
      <c r="J36" s="171"/>
      <c r="K36" s="24"/>
      <c r="L36" s="144"/>
      <c r="M36" s="146"/>
    </row>
    <row r="37" spans="1:14" x14ac:dyDescent="0.45">
      <c r="A37" s="1"/>
      <c r="B37" s="53"/>
      <c r="C37" s="130" t="s">
        <v>188</v>
      </c>
      <c r="E37" s="134"/>
      <c r="G37" s="137"/>
      <c r="H37" s="171"/>
      <c r="I37" s="142"/>
      <c r="J37" s="171"/>
      <c r="K37" s="2"/>
      <c r="L37" s="144"/>
      <c r="M37" s="146"/>
    </row>
    <row r="38" spans="1:14" x14ac:dyDescent="0.45">
      <c r="A38" s="1"/>
      <c r="B38" s="53"/>
      <c r="C38" s="3"/>
      <c r="D38" s="1" t="s">
        <v>189</v>
      </c>
      <c r="E38" s="134" t="s">
        <v>166</v>
      </c>
      <c r="F38" s="176">
        <v>174622</v>
      </c>
      <c r="G38" s="137" t="s">
        <v>166</v>
      </c>
      <c r="H38" s="171">
        <v>2079</v>
      </c>
      <c r="I38" s="142">
        <v>7</v>
      </c>
      <c r="J38" s="171">
        <f>F38/I38</f>
        <v>24946</v>
      </c>
      <c r="K38" s="2">
        <f>J38-H38</f>
        <v>22867</v>
      </c>
      <c r="L38" s="144"/>
      <c r="M38" s="146"/>
    </row>
    <row r="39" spans="1:14" x14ac:dyDescent="0.45">
      <c r="A39" s="1"/>
      <c r="B39" s="53"/>
      <c r="C39" s="129"/>
      <c r="D39" s="129"/>
      <c r="E39" s="129"/>
      <c r="G39" s="138"/>
      <c r="H39" s="171"/>
      <c r="I39" s="138"/>
      <c r="J39" s="171"/>
      <c r="K39" s="2"/>
      <c r="L39" s="144"/>
      <c r="M39" s="146"/>
    </row>
    <row r="40" spans="1:14" x14ac:dyDescent="0.45">
      <c r="A40" s="1"/>
      <c r="B40" s="53"/>
      <c r="C40" s="130" t="s">
        <v>190</v>
      </c>
      <c r="D40" s="3"/>
      <c r="E40" s="134"/>
      <c r="G40" s="139"/>
      <c r="H40" s="171"/>
      <c r="I40" s="137"/>
      <c r="J40" s="171"/>
      <c r="K40" s="2"/>
      <c r="L40" s="144"/>
      <c r="M40" s="146"/>
    </row>
    <row r="41" spans="1:14" x14ac:dyDescent="0.45">
      <c r="A41" s="1"/>
      <c r="B41" s="53"/>
      <c r="C41" s="130"/>
      <c r="D41" s="1" t="s">
        <v>191</v>
      </c>
      <c r="E41" s="134" t="s">
        <v>166</v>
      </c>
      <c r="F41" s="176">
        <v>47750</v>
      </c>
      <c r="G41" s="137">
        <v>0</v>
      </c>
      <c r="H41" s="171">
        <v>64</v>
      </c>
      <c r="I41" s="142">
        <v>62.5</v>
      </c>
      <c r="J41" s="171">
        <f>F41/I41</f>
        <v>764</v>
      </c>
      <c r="K41" s="2">
        <f>J41-H41</f>
        <v>700</v>
      </c>
      <c r="L41" s="144"/>
      <c r="M41" s="146"/>
    </row>
    <row r="42" spans="1:14" x14ac:dyDescent="0.45">
      <c r="A42" s="1"/>
      <c r="B42" s="53"/>
      <c r="C42" s="130"/>
      <c r="D42" s="1" t="s">
        <v>192</v>
      </c>
      <c r="E42" s="134" t="s">
        <v>166</v>
      </c>
      <c r="F42" s="176">
        <v>3649437</v>
      </c>
      <c r="G42" s="137" t="s">
        <v>166</v>
      </c>
      <c r="H42" s="171">
        <v>10376</v>
      </c>
      <c r="I42" s="142">
        <v>27.5</v>
      </c>
      <c r="J42" s="171">
        <f>F42/I42</f>
        <v>132706.79999999999</v>
      </c>
      <c r="K42" s="2">
        <f>J42-H42</f>
        <v>122330.79999999999</v>
      </c>
      <c r="L42" s="144"/>
      <c r="M42" s="146"/>
    </row>
    <row r="43" spans="1:14" x14ac:dyDescent="0.45">
      <c r="A43" s="1"/>
      <c r="B43" s="53"/>
      <c r="C43" s="3"/>
      <c r="D43" s="3"/>
      <c r="E43" s="3"/>
      <c r="G43" s="2"/>
      <c r="H43" s="164"/>
      <c r="I43" s="2"/>
      <c r="J43" s="175"/>
      <c r="K43" s="2"/>
      <c r="L43" s="144"/>
      <c r="M43" s="146"/>
    </row>
    <row r="44" spans="1:14" x14ac:dyDescent="0.45">
      <c r="A44" s="1"/>
      <c r="B44" s="53"/>
      <c r="C44" s="131" t="s">
        <v>145</v>
      </c>
      <c r="F44" s="173">
        <f>SUM(F10:F43)</f>
        <v>33554568</v>
      </c>
      <c r="G44" s="140"/>
      <c r="H44" s="173">
        <f>SUM(H10:H43)</f>
        <v>66541.100000000006</v>
      </c>
      <c r="I44" s="141"/>
      <c r="J44" s="173">
        <f>SUM(J10:J43)</f>
        <v>794367.79828571435</v>
      </c>
      <c r="K44" s="141">
        <f>SUM(K10:K43)</f>
        <v>727826.69828571426</v>
      </c>
      <c r="L44" s="144"/>
      <c r="M44" s="146"/>
      <c r="N44" s="21"/>
    </row>
    <row r="45" spans="1:14" x14ac:dyDescent="0.45">
      <c r="A45" s="1"/>
      <c r="B45" s="126"/>
      <c r="C45" s="132"/>
      <c r="D45" s="132"/>
      <c r="E45" s="132"/>
      <c r="F45" s="182"/>
      <c r="G45" s="132"/>
      <c r="H45" s="174"/>
      <c r="I45" s="132"/>
      <c r="J45" s="174"/>
      <c r="K45" s="132"/>
      <c r="L45" s="145"/>
      <c r="M45" s="147"/>
    </row>
    <row r="46" spans="1:14" x14ac:dyDescent="0.45">
      <c r="A46" s="1"/>
      <c r="B46" s="1"/>
      <c r="C46" s="3"/>
      <c r="D46" s="3"/>
      <c r="E46" s="3"/>
      <c r="G46" s="3"/>
      <c r="H46" s="175"/>
      <c r="I46" s="3"/>
      <c r="J46" s="175"/>
      <c r="K46" s="3"/>
      <c r="L46" s="3"/>
      <c r="M46" s="3"/>
    </row>
    <row r="47" spans="1:14" x14ac:dyDescent="0.45">
      <c r="D47" s="3" t="s">
        <v>193</v>
      </c>
    </row>
    <row r="49" spans="4:7" x14ac:dyDescent="0.45">
      <c r="D49" s="1" t="s">
        <v>194</v>
      </c>
      <c r="F49" s="176">
        <f>J44</f>
        <v>794367.79828571435</v>
      </c>
    </row>
    <row r="50" spans="4:7" ht="17.649999999999999" x14ac:dyDescent="0.75">
      <c r="D50" s="1" t="s">
        <v>195</v>
      </c>
      <c r="F50" s="183">
        <f>SAO!D31</f>
        <v>798357</v>
      </c>
    </row>
    <row r="51" spans="4:7" x14ac:dyDescent="0.45">
      <c r="D51" s="1" t="s">
        <v>196</v>
      </c>
      <c r="F51" s="176">
        <f>F49-F50</f>
        <v>-3989.2017142856494</v>
      </c>
      <c r="G51" s="21" t="s">
        <v>197</v>
      </c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4"/>
  <sheetData>
    <row r="1" spans="1:4" ht="15.4" x14ac:dyDescent="0.45">
      <c r="A1" s="1" t="s">
        <v>198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199</v>
      </c>
      <c r="B3" s="1"/>
      <c r="C3" s="167">
        <v>15235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200</v>
      </c>
      <c r="B5" s="168">
        <v>0.3</v>
      </c>
      <c r="C5" s="167">
        <f>B5*C3</f>
        <v>4570.5</v>
      </c>
      <c r="D5" s="1" t="s">
        <v>201</v>
      </c>
    </row>
    <row r="6" spans="1:4" ht="15.4" x14ac:dyDescent="0.45">
      <c r="A6" s="1" t="s">
        <v>202</v>
      </c>
      <c r="B6" s="168">
        <v>0.7</v>
      </c>
      <c r="C6" s="167">
        <f>B6*C3</f>
        <v>10664.5</v>
      </c>
      <c r="D6" s="1" t="s">
        <v>201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I35"/>
  <sheetViews>
    <sheetView showGridLines="0" topLeftCell="A11" workbookViewId="0">
      <selection activeCell="B36" sqref="B36"/>
    </sheetView>
  </sheetViews>
  <sheetFormatPr defaultColWidth="8.88671875" defaultRowHeight="14.25" x14ac:dyDescent="0.45"/>
  <cols>
    <col min="1" max="1" width="22" style="1" customWidth="1"/>
    <col min="2" max="2" width="9.88671875" style="7" bestFit="1" customWidth="1"/>
    <col min="3" max="3" width="9.6640625" style="7" bestFit="1" customWidth="1"/>
    <col min="4" max="4" width="10.44140625" style="1" bestFit="1" customWidth="1"/>
    <col min="5" max="16384" width="8.88671875" style="1"/>
  </cols>
  <sheetData>
    <row r="1" spans="1:3" x14ac:dyDescent="0.45">
      <c r="A1" s="204"/>
    </row>
    <row r="2" spans="1:3" x14ac:dyDescent="0.45">
      <c r="A2" s="204" t="s">
        <v>203</v>
      </c>
    </row>
    <row r="3" spans="1:3" x14ac:dyDescent="0.45">
      <c r="A3" s="1" t="s">
        <v>204</v>
      </c>
      <c r="C3" s="7">
        <v>307040</v>
      </c>
    </row>
    <row r="4" spans="1:3" x14ac:dyDescent="0.45">
      <c r="A4" s="1" t="s">
        <v>205</v>
      </c>
      <c r="C4" s="5">
        <v>0</v>
      </c>
    </row>
    <row r="5" spans="1:3" x14ac:dyDescent="0.45">
      <c r="A5" s="1" t="s">
        <v>206</v>
      </c>
      <c r="C5" s="7">
        <f>C3+C4</f>
        <v>307040</v>
      </c>
    </row>
    <row r="7" spans="1:3" x14ac:dyDescent="0.45">
      <c r="A7" s="1" t="s">
        <v>207</v>
      </c>
      <c r="C7" s="7">
        <v>163386</v>
      </c>
    </row>
    <row r="9" spans="1:3" x14ac:dyDescent="0.45">
      <c r="A9" s="1" t="s">
        <v>208</v>
      </c>
    </row>
    <row r="10" spans="1:3" x14ac:dyDescent="0.45">
      <c r="A10" s="1" t="s">
        <v>209</v>
      </c>
      <c r="B10" s="7">
        <v>60897</v>
      </c>
    </row>
    <row r="11" spans="1:3" x14ac:dyDescent="0.45">
      <c r="A11" s="1" t="s">
        <v>210</v>
      </c>
      <c r="B11" s="7">
        <v>6591</v>
      </c>
    </row>
    <row r="12" spans="1:3" x14ac:dyDescent="0.45">
      <c r="A12" s="1" t="s">
        <v>211</v>
      </c>
      <c r="B12" s="7">
        <v>310</v>
      </c>
    </row>
    <row r="13" spans="1:3" x14ac:dyDescent="0.45">
      <c r="A13" s="1" t="s">
        <v>212</v>
      </c>
      <c r="B13" s="7">
        <v>0</v>
      </c>
    </row>
    <row r="14" spans="1:3" x14ac:dyDescent="0.45">
      <c r="A14" s="1" t="s">
        <v>213</v>
      </c>
      <c r="C14" s="7">
        <f>SUM(B10:B13)</f>
        <v>67798</v>
      </c>
    </row>
    <row r="16" spans="1:3" x14ac:dyDescent="0.45">
      <c r="A16" s="1" t="s">
        <v>214</v>
      </c>
    </row>
    <row r="17" spans="1:9" x14ac:dyDescent="0.45">
      <c r="A17" s="1" t="s">
        <v>215</v>
      </c>
      <c r="B17" s="7">
        <v>0</v>
      </c>
    </row>
    <row r="18" spans="1:9" x14ac:dyDescent="0.45">
      <c r="A18" s="1" t="s">
        <v>216</v>
      </c>
      <c r="B18" s="7">
        <v>25637</v>
      </c>
    </row>
    <row r="19" spans="1:9" x14ac:dyDescent="0.45">
      <c r="A19" s="1" t="s">
        <v>217</v>
      </c>
      <c r="B19" s="7">
        <v>50219</v>
      </c>
    </row>
    <row r="20" spans="1:9" x14ac:dyDescent="0.45">
      <c r="A20" s="1" t="s">
        <v>218</v>
      </c>
      <c r="B20" s="7">
        <v>0</v>
      </c>
    </row>
    <row r="21" spans="1:9" x14ac:dyDescent="0.45">
      <c r="A21" s="1" t="s">
        <v>219</v>
      </c>
      <c r="B21" s="7">
        <v>0</v>
      </c>
    </row>
    <row r="22" spans="1:9" x14ac:dyDescent="0.45">
      <c r="A22" s="1" t="s">
        <v>220</v>
      </c>
      <c r="C22" s="5">
        <f>SUM(B17:B21)</f>
        <v>75856</v>
      </c>
    </row>
    <row r="23" spans="1:9" x14ac:dyDescent="0.45">
      <c r="A23" s="1" t="s">
        <v>221</v>
      </c>
      <c r="C23" s="7">
        <f>C7+C14+C22</f>
        <v>307040</v>
      </c>
    </row>
    <row r="25" spans="1:9" x14ac:dyDescent="0.45">
      <c r="D25" s="50">
        <f>C22/C5</f>
        <v>0.24705575820739969</v>
      </c>
      <c r="E25" s="1" t="s">
        <v>222</v>
      </c>
    </row>
    <row r="26" spans="1:9" x14ac:dyDescent="0.45">
      <c r="D26" s="206">
        <v>0.15</v>
      </c>
      <c r="E26" s="1" t="s">
        <v>223</v>
      </c>
    </row>
    <row r="27" spans="1:9" x14ac:dyDescent="0.45">
      <c r="D27" s="50">
        <f>D25-D26</f>
        <v>9.70557582073997E-2</v>
      </c>
      <c r="E27" s="1" t="s">
        <v>224</v>
      </c>
      <c r="G27" s="21"/>
    </row>
    <row r="28" spans="1:9" x14ac:dyDescent="0.45">
      <c r="D28" s="50"/>
      <c r="G28" s="21"/>
    </row>
    <row r="29" spans="1:9" x14ac:dyDescent="0.45">
      <c r="D29" s="50"/>
      <c r="G29" s="21"/>
    </row>
    <row r="30" spans="1:9" s="204" customFormat="1" x14ac:dyDescent="0.45">
      <c r="A30" s="204" t="s">
        <v>225</v>
      </c>
      <c r="B30" s="207"/>
      <c r="C30" s="207"/>
      <c r="I30" s="212"/>
    </row>
    <row r="31" spans="1:9" x14ac:dyDescent="0.45">
      <c r="A31" s="1" t="str">
        <f>SAO!C21</f>
        <v>Purchased Power</v>
      </c>
      <c r="B31" s="205">
        <f>SAO!D21</f>
        <v>324191</v>
      </c>
      <c r="C31" s="198">
        <f>D27</f>
        <v>9.70557582073997E-2</v>
      </c>
      <c r="D31" s="213">
        <f t="shared" ref="D31:D32" si="0">B31*C31</f>
        <v>31464.603309015118</v>
      </c>
      <c r="E31" s="204" t="s">
        <v>226</v>
      </c>
      <c r="F31" s="204"/>
      <c r="G31" s="204"/>
      <c r="H31" s="204"/>
      <c r="I31" s="212"/>
    </row>
    <row r="32" spans="1:9" ht="16.5" x14ac:dyDescent="0.75">
      <c r="A32" s="1" t="str">
        <f>SAO!C22</f>
        <v>Chemicals</v>
      </c>
      <c r="B32" s="7">
        <f>SAO!D22</f>
        <v>115423</v>
      </c>
      <c r="C32" s="199">
        <f>D27</f>
        <v>9.70557582073997E-2</v>
      </c>
      <c r="D32" s="214">
        <f t="shared" si="0"/>
        <v>11202.466779572696</v>
      </c>
      <c r="E32" s="204" t="s">
        <v>227</v>
      </c>
      <c r="F32" s="204"/>
      <c r="G32" s="204"/>
      <c r="H32" s="204"/>
      <c r="I32" s="212"/>
    </row>
    <row r="33" spans="1:4" x14ac:dyDescent="0.45">
      <c r="A33" s="204" t="s">
        <v>228</v>
      </c>
      <c r="B33" s="207"/>
      <c r="C33" s="208"/>
      <c r="D33" s="209">
        <f>SUM(D31:D32)</f>
        <v>42667.070088587818</v>
      </c>
    </row>
    <row r="34" spans="1:4" x14ac:dyDescent="0.45">
      <c r="A34" s="204"/>
      <c r="B34" s="207"/>
      <c r="C34" s="208"/>
      <c r="D34" s="209"/>
    </row>
    <row r="35" spans="1:4" x14ac:dyDescent="0.45">
      <c r="C35" s="186"/>
      <c r="D35" s="20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SAO</vt:lpstr>
      <vt:lpstr>Late Charges</vt:lpstr>
      <vt:lpstr>Service Charges</vt:lpstr>
      <vt:lpstr>Wages</vt:lpstr>
      <vt:lpstr>Medical</vt:lpstr>
      <vt:lpstr>Debt Service</vt:lpstr>
      <vt:lpstr>Depreciation</vt:lpstr>
      <vt:lpstr>Capital</vt:lpstr>
      <vt:lpstr>Water Loss</vt:lpstr>
      <vt:lpstr>Rates</vt:lpstr>
      <vt:lpstr>Bills</vt:lpstr>
      <vt:lpstr>ExBA</vt:lpstr>
      <vt:lpstr>PrBA</vt:lpstr>
      <vt:lpstr>Bills!Print_Area</vt:lpstr>
      <vt:lpstr>'Debt Service'!Print_Area</vt:lpstr>
      <vt:lpstr>Depreciation!Print_Area</vt:lpstr>
      <vt:lpstr>ExBA!Print_Area</vt:lpstr>
      <vt:lpstr>PrBA!Print_Area</vt:lpstr>
      <vt:lpstr>Rates!Print_Area</vt:lpstr>
      <vt:lpstr>SAO!Print_Area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Robert Miller</cp:lastModifiedBy>
  <cp:revision/>
  <cp:lastPrinted>2024-01-31T18:22:07Z</cp:lastPrinted>
  <dcterms:created xsi:type="dcterms:W3CDTF">2016-05-18T14:12:06Z</dcterms:created>
  <dcterms:modified xsi:type="dcterms:W3CDTF">2024-03-26T21:17:02Z</dcterms:modified>
  <cp:category/>
  <cp:contentStatus/>
</cp:coreProperties>
</file>