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Turner\Documents\PSC\PSC ARF Rate Case 2024\"/>
    </mc:Choice>
  </mc:AlternateContent>
  <xr:revisionPtr revIDLastSave="0" documentId="8_{362C9D7F-212D-4AC8-A3B5-429D6C88BD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ial 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8" i="1" l="1"/>
  <c r="C227" i="1"/>
  <c r="C226" i="1"/>
  <c r="C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C174" i="1"/>
  <c r="B173" i="1"/>
  <c r="B172" i="1"/>
  <c r="C171" i="1"/>
  <c r="C170" i="1"/>
  <c r="B169" i="1"/>
  <c r="B168" i="1"/>
  <c r="C167" i="1"/>
  <c r="B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B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B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B102" i="1"/>
  <c r="C101" i="1"/>
  <c r="C100" i="1"/>
  <c r="C99" i="1"/>
  <c r="C98" i="1"/>
  <c r="B97" i="1"/>
  <c r="C96" i="1"/>
  <c r="C95" i="1"/>
  <c r="C94" i="1"/>
  <c r="C93" i="1"/>
  <c r="C92" i="1"/>
  <c r="B91" i="1"/>
  <c r="B90" i="1"/>
  <c r="B89" i="1"/>
  <c r="B88" i="1"/>
  <c r="B87" i="1"/>
  <c r="B86" i="1"/>
  <c r="B85" i="1"/>
  <c r="B84" i="1"/>
  <c r="B83" i="1"/>
  <c r="C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C67" i="1"/>
  <c r="C66" i="1"/>
  <c r="B65" i="1"/>
  <c r="B64" i="1"/>
  <c r="B63" i="1"/>
  <c r="B62" i="1"/>
  <c r="C61" i="1"/>
  <c r="C60" i="1"/>
  <c r="B59" i="1"/>
  <c r="C58" i="1"/>
  <c r="B57" i="1"/>
  <c r="C56" i="1"/>
  <c r="B55" i="1"/>
  <c r="C54" i="1"/>
  <c r="B53" i="1"/>
  <c r="C52" i="1"/>
  <c r="B51" i="1"/>
  <c r="C50" i="1"/>
  <c r="B49" i="1"/>
  <c r="C48" i="1"/>
  <c r="B47" i="1"/>
  <c r="C46" i="1"/>
  <c r="B45" i="1"/>
  <c r="C44" i="1"/>
  <c r="B43" i="1"/>
  <c r="C42" i="1"/>
  <c r="B41" i="1"/>
  <c r="C40" i="1"/>
  <c r="B39" i="1"/>
  <c r="C38" i="1"/>
  <c r="B37" i="1"/>
  <c r="C36" i="1"/>
  <c r="B35" i="1"/>
  <c r="C34" i="1"/>
  <c r="B33" i="1"/>
  <c r="C32" i="1"/>
  <c r="B31" i="1"/>
  <c r="C30" i="1"/>
  <c r="C229" i="1" s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229" i="1" s="1"/>
</calcChain>
</file>

<file path=xl/sharedStrings.xml><?xml version="1.0" encoding="utf-8"?>
<sst xmlns="http://schemas.openxmlformats.org/spreadsheetml/2006/main" count="230" uniqueCount="230">
  <si>
    <t>Debit</t>
  </si>
  <si>
    <t>Credit</t>
  </si>
  <si>
    <t>1010 Cash In Bank Unrestricted:Petty Cash</t>
  </si>
  <si>
    <t>1020 Cash In Bank Unrestricted:Water Revenue Fund</t>
  </si>
  <si>
    <t>1030 Cash In Bank Unrestricted:Operation and Maintenance Fund</t>
  </si>
  <si>
    <t>1035 Cash In Bank Unrestricted:Payroll</t>
  </si>
  <si>
    <t>1110 Cash In Bank - Restricted:Escrow Savings</t>
  </si>
  <si>
    <t>1120 Cash In Bank - Restricted:Escrow Checking</t>
  </si>
  <si>
    <t>1140 Cash In Bank - Restricted:KRWFC 1989 Debt Service</t>
  </si>
  <si>
    <t>1145 Cash In Bank - Restricted:Bond and Interest Fund 1991</t>
  </si>
  <si>
    <t>1146 Cash In Bank - Restricted:USDA RD Debt Service 2000</t>
  </si>
  <si>
    <t>1147 Cash In Bank - Restricted:USDA RD 2012 A&amp;B Debit Service</t>
  </si>
  <si>
    <t>1148 Cash In Bank - Restricted:CD Meridian</t>
  </si>
  <si>
    <t>1150 Cash In Bank - Restricted:Depreciation Fund Reserve 1968</t>
  </si>
  <si>
    <t>1160 Cash In Bank - Restricted:Depreciation Reserve</t>
  </si>
  <si>
    <t>1165 Cash In Bank - Restricted:USDA RD Reserve</t>
  </si>
  <si>
    <t>1170 Cash In Bank - Restricted:Sinking Fund Reserve</t>
  </si>
  <si>
    <t>1180 Cash In Bank - Restricted:Cash Expansion Deposits</t>
  </si>
  <si>
    <t>1182 Cash In Bank - Restricted:HLCWD Phase II Water Project</t>
  </si>
  <si>
    <t>1183 Cash In Bank - Restricted:Phase III Water Project</t>
  </si>
  <si>
    <t>1187 Cash In Bank - Restricted:DOT Water Line Relocation</t>
  </si>
  <si>
    <t>1188 Cash In Bank - Restricted:PSC Surcharge</t>
  </si>
  <si>
    <t>1189 Cash In Bank - Restricted:KIA Debt Service</t>
  </si>
  <si>
    <t>1260 Other Receivable</t>
  </si>
  <si>
    <t>1400 Property, Plant, and Equipment:Land and Land Rights</t>
  </si>
  <si>
    <t>1410 Property, Plant, and Equipment:Structures and Improvements</t>
  </si>
  <si>
    <t>1415 Property, Plant, and Equipment:Reserve Structures &amp; Improvemen</t>
  </si>
  <si>
    <t>1420 Property, Plant, and Equipment:Collecting and Impounding Reser</t>
  </si>
  <si>
    <t>1425 Property, Plant, and Equipment:Reserve-Collecting Reservoirs</t>
  </si>
  <si>
    <t>1430 Property, Plant, and Equipment:River and Other Intakes</t>
  </si>
  <si>
    <t>1435 Property, Plant, and Equipment:Reserve-River and Other Intakes</t>
  </si>
  <si>
    <t>1440 Property, Plant, and Equipment:Supply Mains</t>
  </si>
  <si>
    <t>1445 Property, Plant, and Equipment:Reserve-Supply Mains</t>
  </si>
  <si>
    <t>1450 Property, Plant, and Equipment:Pumping Equipment</t>
  </si>
  <si>
    <t>1455 Property, Plant, and Equipment:Reserve-Pumping Equipment</t>
  </si>
  <si>
    <t>1460 Property, Plant, and Equipment:Water Treatment Equipment</t>
  </si>
  <si>
    <t>1465 Property, Plant, and Equipment:Reserve-Water Treatment Equip.</t>
  </si>
  <si>
    <t>1470 Property, Plant, and Equipment:Distributions Reservoirs</t>
  </si>
  <si>
    <t>1475 Property, Plant, and Equipment:Reserve-Distribution Reserviors</t>
  </si>
  <si>
    <t>1480 Property, Plant, and Equipment:Distribution Mains</t>
  </si>
  <si>
    <t>1485 Property, Plant, and Equipment:Reserve-Distribution Mains</t>
  </si>
  <si>
    <t>1490 Property, Plant, and Equipment:Services</t>
  </si>
  <si>
    <t>1495 Property, Plant, and Equipment:Reserve-Services</t>
  </si>
  <si>
    <t>1500 Property, Plant, and Equipment:Meter and Meter Installations</t>
  </si>
  <si>
    <t>1505 Property, Plant, and Equipment:Reserve-Meter/Meter Installatio</t>
  </si>
  <si>
    <t>1510 Property, Plant, and Equipment:Hydrants</t>
  </si>
  <si>
    <t>1515 Property, Plant, and Equipment:Reserve-Hydrants</t>
  </si>
  <si>
    <t>1520 Property, Plant, and Equipment:Office Furniture and Equipment</t>
  </si>
  <si>
    <t>1525 Property, Plant, and Equipment:Reserve-Office Furniture/Equip.</t>
  </si>
  <si>
    <t>1530 Property, Plant, and Equipment:Transportation Equipment</t>
  </si>
  <si>
    <t>1535 Property, Plant, and Equipment:Reserve-Transportation Equip.</t>
  </si>
  <si>
    <t>1540 Property, Plant, and Equipment:Tools and Shop Equipment</t>
  </si>
  <si>
    <t>1545 Property, Plant, and Equipment:Reserve-Tools and Shop Equip.</t>
  </si>
  <si>
    <t>1550 Property, Plant, and Equipment:Power Operated Equipment</t>
  </si>
  <si>
    <t>1555 Property, Plant, and Equipment:Reserve-Power Operated Equip.</t>
  </si>
  <si>
    <t>1560 Property, Plant, and Equipment:Other Tangible Equipment</t>
  </si>
  <si>
    <t>1565 Property, Plant, and Equipment:Reserve-Other Tangible Equip.</t>
  </si>
  <si>
    <t>1580 Property, Plant, and Equipment:Engineering V.A. Cemetery Meter</t>
  </si>
  <si>
    <t>1581 Property, Plant, and Equipment:Construction-DOT Relocation</t>
  </si>
  <si>
    <t>1582 Property, Plant, and Equipment:Engineering-DOT Relocation</t>
  </si>
  <si>
    <t>1590 Property, Plant, and Equipment:Construction Distribution Phase</t>
  </si>
  <si>
    <t>1591 Property, Plant, and Equipment:Construction-DOT 8 mm Hwy 421</t>
  </si>
  <si>
    <t>1592 Property, Plant, and Equipment:Engineering-DOT 8mm Hwy 421</t>
  </si>
  <si>
    <t>1595 Property, Plant, and Equipment:Construction - Hospital Hill</t>
  </si>
  <si>
    <t>1596 Property, Plant, and Equipment:Engineering-Hospital Hill</t>
  </si>
  <si>
    <t>1600 Property, Plant, and Equipment:Engineering Expenses Phase I</t>
  </si>
  <si>
    <t>1610 Property, Plant, and Equipment:Construction V.A. Cemetery Mete</t>
  </si>
  <si>
    <t>1612 Property, Plant, and Equipment:Construction-Phase III Proj.</t>
  </si>
  <si>
    <t>1613 Property, Plant, and Equipment:Engineering-Phase III Proj.</t>
  </si>
  <si>
    <t>1616 Property, Plant, and Equipment:Engineering-W.B. Muncy School</t>
  </si>
  <si>
    <t>1617 Property, Plant, and Equipment:Construction-W.B.Muncy School</t>
  </si>
  <si>
    <t>1618 Property, Plant, and Equipment:Engineering-DOT US 421</t>
  </si>
  <si>
    <t>1620 Property, Plant, and Equipment:Engineering-JC Osborne Blvd BPS</t>
  </si>
  <si>
    <t>1621 Property, Plant, and Equipment:Construction- JC Osborne BPS</t>
  </si>
  <si>
    <t>1622 Property, Plant, and Equipment:Wilder/Trace BPS Engineering</t>
  </si>
  <si>
    <t>1630 Property, Plant, and Equipment:Construction in Progress</t>
  </si>
  <si>
    <t>1900 Other Fixed Assets:Bond Issuance Costs</t>
  </si>
  <si>
    <t>1200 Receivable and Other Assets:Customer Accounts Receivable</t>
  </si>
  <si>
    <t>1210 Receivable and Other Assets:Reserve for Doubtful Accounts</t>
  </si>
  <si>
    <t>1220 Receivable and Other Assets:Unbilled Accounts Receivable</t>
  </si>
  <si>
    <t>1230 Receivable and Other Assets:Accrued Interest Receivable</t>
  </si>
  <si>
    <t>1240 Receivable and Other Assets:Tap On Fees Receivable</t>
  </si>
  <si>
    <t>1250 Receivable and Other Assets:Returned Checks Receivable</t>
  </si>
  <si>
    <t>Receivable and Other Assets:1265 .Grants Receivable</t>
  </si>
  <si>
    <t>1300 Receivable and Other Assets:Inventories</t>
  </si>
  <si>
    <t>1305 Receivable and Other Assets:Inventories:Chemical Inventory</t>
  </si>
  <si>
    <t>1350 Receivable and Other Assets:Prepaid Insurance</t>
  </si>
  <si>
    <t>1360 Receivable and Other Assets:Cylinder Deposits</t>
  </si>
  <si>
    <t>20000 Accounts Payable</t>
  </si>
  <si>
    <t>1355 Prepaid Interest</t>
  </si>
  <si>
    <t>2010 Accounts Payable - Accrued Exp.:Accounts Payable - Trade</t>
  </si>
  <si>
    <t>2020 Accounts Payable - Accrued Exp.:Customer Deposits - Current</t>
  </si>
  <si>
    <t>2030 Accounts Payable - Accrued Exp.:Customer Deposits - Escrow</t>
  </si>
  <si>
    <t>2035 Accounts Payable - Accrued Exp.:Ky. Tax Withholding</t>
  </si>
  <si>
    <t>2040 Accounts Payable - Accrued Exp.:Federal Tax / FICA Withholding</t>
  </si>
  <si>
    <t>2045 Accounts Payable - Accrued Exp.:Ky. Public Employees Deferred C</t>
  </si>
  <si>
    <t>Accounts Payable - Accrued Exp.:2046 - Dental, Vision, Life, Employee contributions</t>
  </si>
  <si>
    <t>2047 Accounts Payable - Accrued Exp.:401 (K) Loan Re-payment</t>
  </si>
  <si>
    <t>2048 Accounts Payable - Accrued Exp.:Leslie Co. Occupational Tax</t>
  </si>
  <si>
    <t>2049 Accounts Payable - Accrued Exp.:Employee Income With Hold Order</t>
  </si>
  <si>
    <t>2050 Accounts Payable - Accrued Exp.:Sales Tax Payable</t>
  </si>
  <si>
    <t>2055 Accounts Payable - Accrued Exp.:Accrued Salaries and Wages</t>
  </si>
  <si>
    <t>2057 Accounts Payable - Accrued Exp.:Accrue Compensation Payable</t>
  </si>
  <si>
    <t>2058 Accounts Payable - Accrued Exp.:Current Portion Compenated Abs</t>
  </si>
  <si>
    <t>2060 Accounts Payable - Accrued Exp.:Accrued Interest Payable-RD 201</t>
  </si>
  <si>
    <t>2065 Accounts Payable - Accrued Exp.:Accrued Interest Payable-FmHA</t>
  </si>
  <si>
    <t>2066 Accounts Payable - Accrued Exp.:Accrued Interest Payable-RD</t>
  </si>
  <si>
    <t>2067 Accounts Payable - Accrued Exp.:Accrued Interest Payable - KIA</t>
  </si>
  <si>
    <t>2068 Accounts Payable - Accrued Exp.:Accrued Service Fee - KIA</t>
  </si>
  <si>
    <t>2069 Accounts Payable - Accrued Exp.:Accrued Int. Payable RD Series</t>
  </si>
  <si>
    <t>2070 Accounts Payable - Accrued Exp.:School Tax Payable Leslie Co.</t>
  </si>
  <si>
    <t>2071 Accounts Payable - Accrued Exp.:School Tax Payable Perry Co.</t>
  </si>
  <si>
    <t>2072 Accounts Payable - Accrued Exp.:School Tax Payable Clay Co.</t>
  </si>
  <si>
    <t>2073 Accounts Payable - Accrued Exp.:Accrued Int.Payable RD Series B</t>
  </si>
  <si>
    <t>2074 Accounts Payable - Accrued Exp.:Accrued Int. Payable KRWFC 2013</t>
  </si>
  <si>
    <t>2075 Accounts Payable - Accrued Exp.:Accounts Payable-Construction</t>
  </si>
  <si>
    <t>2076 Accounts Payable - Accrued Exp.:Retainage Payable-Construction</t>
  </si>
  <si>
    <t>2085 Accounts Payable - Accrued Exp.:Refunds Due to Customers</t>
  </si>
  <si>
    <t>2090 Accounts Payable - Accrued Exp.:Expansion Deposits - New</t>
  </si>
  <si>
    <t>2400 Payroll Liability</t>
  </si>
  <si>
    <t>24000 Payroll Liabilities</t>
  </si>
  <si>
    <t>Payroll Liabilities:401k Emp.</t>
  </si>
  <si>
    <t>Payroll Liabilities:457b Plan Emp.</t>
  </si>
  <si>
    <t>Payroll Liabilities:Dental Insurance (pre-tax) {2}</t>
  </si>
  <si>
    <t>Payroll Liabilities:Employee-Leslie Co. Occup. Tax</t>
  </si>
  <si>
    <t>Payroll Liabilities:Federal Taxes (941/944)</t>
  </si>
  <si>
    <t>Payroll Liabilities:KY Income Tax</t>
  </si>
  <si>
    <t>Payroll Liabilities:KY Local Tax</t>
  </si>
  <si>
    <t>Payroll Liabilities:Short Term Disability</t>
  </si>
  <si>
    <t>Payroll Liabilities:Whole Life</t>
  </si>
  <si>
    <t>2091 Unearned Grant Revenue</t>
  </si>
  <si>
    <t>2820 Long Term Debts:Long Term Debt /KRWFC 1989</t>
  </si>
  <si>
    <t>2830 Long Term Debts:Long Term Debt KIA</t>
  </si>
  <si>
    <t>2835 Long Term Debts:Long Term Debt RD</t>
  </si>
  <si>
    <t>2836 Long Term Debts:Long Term Debt RD Series A &amp; B</t>
  </si>
  <si>
    <t>2838 Long Term Debts:Long Term Debt- KRWFC 2013</t>
  </si>
  <si>
    <t>2530 Bond Reserves:Depreciation Fund Reserve Gen.</t>
  </si>
  <si>
    <t>2540 Bond Reserves:Depreciation Fund Reserve 1989</t>
  </si>
  <si>
    <t>2545 Bond Reserves:Depreciation Reserve 1991</t>
  </si>
  <si>
    <t>30000 Opening Balance Equity</t>
  </si>
  <si>
    <t>3010 Equity:Contributed Capital-Original</t>
  </si>
  <si>
    <t>3020 Equity:Contibuted Capital-Exp. Grant</t>
  </si>
  <si>
    <t>3030 Equity:Contributed Capital-Local Grant</t>
  </si>
  <si>
    <t>3040 Equity:Contributed Capital-Customers</t>
  </si>
  <si>
    <t>3050 Equity:Contributed Capital-CDBG</t>
  </si>
  <si>
    <t>3060 Equity:Contributed Capital-Shamrock Co</t>
  </si>
  <si>
    <t>3061 Equity:Contributed Capital-Fiscal Crt.</t>
  </si>
  <si>
    <t>3062 Equity:Contributed Capital-AML</t>
  </si>
  <si>
    <t>3063 Equity:Contributed Capital-RD Grant</t>
  </si>
  <si>
    <t>3064 Equity:Contributed Capital-ARC</t>
  </si>
  <si>
    <t>3065 Equity:Contributed Capital-Corp. Eng.</t>
  </si>
  <si>
    <t>3066 Equity:Contributed Capital-Greasy AML</t>
  </si>
  <si>
    <t>3067 Equity:Contributed Capital Upper Greay</t>
  </si>
  <si>
    <t>3068 Equity:Contributed Capital-Coal Sevr.</t>
  </si>
  <si>
    <t>3069 Equity:Contributed Capital-Bledsoe Coa</t>
  </si>
  <si>
    <t>3070 Equity:Contributed Capital-Coal Sevr</t>
  </si>
  <si>
    <t>3071 Equity:Contributed Capital-Coal/WT</t>
  </si>
  <si>
    <t>3072 Equity:Contributed Capital-CDBG-2002</t>
  </si>
  <si>
    <t>3073 Equity:Contributed Capital-Coal Sev</t>
  </si>
  <si>
    <t>3074 Equity:Contributed Capital-Coal Sev.</t>
  </si>
  <si>
    <t>3075 Equity:Contibuted Capital-RD</t>
  </si>
  <si>
    <t>3076 Equity:Contributed Capital-LCBE</t>
  </si>
  <si>
    <t>3077 Equity:Contributed Capital-Lcal Grant (deleted)</t>
  </si>
  <si>
    <t>3078 Equity:Contributed Capital -DOT</t>
  </si>
  <si>
    <t>3080 Equity:Retained Earnings (Deficit)</t>
  </si>
  <si>
    <t>32000 Unrestricted Net Assets</t>
  </si>
  <si>
    <t>4010 Water Operating Revenues:Metered Sales Residential</t>
  </si>
  <si>
    <t>4020 Water Operating Revenues:Metered Sales Commercial</t>
  </si>
  <si>
    <t>4021 Water Operating Revenues:Less Adjustment Residential</t>
  </si>
  <si>
    <t>4022 Water Operating Revenues:Less Adjustments Commercial</t>
  </si>
  <si>
    <t>4050 Water Operating Revenues:PSC Surcharge</t>
  </si>
  <si>
    <t>5010 Personel:Salaries and Wages</t>
  </si>
  <si>
    <t>5011 Personel:Over Time Wages</t>
  </si>
  <si>
    <t>5013 Personel:401-K Retirement Wages</t>
  </si>
  <si>
    <t>5015 Personel:Capitalized Labor</t>
  </si>
  <si>
    <t>5020 Personel:Payroll Taxes</t>
  </si>
  <si>
    <t>5060 Personel:Employee Health Ins.</t>
  </si>
  <si>
    <t>5070 Personel:Uniform Expense</t>
  </si>
  <si>
    <t>5110 Plant:Utilities</t>
  </si>
  <si>
    <t>5120 Plant:Chemicals</t>
  </si>
  <si>
    <t>5130 Plant:Repair and Maintenance / Plant</t>
  </si>
  <si>
    <t>5140 Plant:Operating Supplies</t>
  </si>
  <si>
    <t>5150 Plant:Tools</t>
  </si>
  <si>
    <t>5160 Plant:Water Withdrawal Fee</t>
  </si>
  <si>
    <t>5165 Plant:Back-up Generator Maint.</t>
  </si>
  <si>
    <t>5180 Plant:Sludge Disposal</t>
  </si>
  <si>
    <t>5220 Field Operations:Repair and Maintenance / Field</t>
  </si>
  <si>
    <t>5230 Field Operations:Vehicle / Repair and Maint.</t>
  </si>
  <si>
    <t>5235 Field Operations:Equipment  Repair and Maint.</t>
  </si>
  <si>
    <t>5240 Field Operations:Gas and Diesel</t>
  </si>
  <si>
    <t>5245 Field Operations:Communications</t>
  </si>
  <si>
    <t>5250 Field Operations:Tools</t>
  </si>
  <si>
    <t>5310 Contractual Services:Legal and Accounting</t>
  </si>
  <si>
    <t>5320 Contractual Services:Meter Testing</t>
  </si>
  <si>
    <t>5340 Contractual Services:Water Analysis</t>
  </si>
  <si>
    <t>5360 Contractual Services:Electrical Maintenance</t>
  </si>
  <si>
    <t>5410 Office Expenses:Postage</t>
  </si>
  <si>
    <t>5420 Office Expenses:Office Supplies</t>
  </si>
  <si>
    <t>5430 Office Expenses:Telephone Expense</t>
  </si>
  <si>
    <t>5440 Office Expenses:Sanitation Pick-up Services</t>
  </si>
  <si>
    <t>5450 Office Expenses:Computer Repair and Maintenance</t>
  </si>
  <si>
    <t>5490 Office Expenses:Other Office Expenses</t>
  </si>
  <si>
    <t>5510 Administrative:PSC Assessment</t>
  </si>
  <si>
    <t>5520 Administrative:Insurance-General</t>
  </si>
  <si>
    <t>5530 Administrative:Bad Debts</t>
  </si>
  <si>
    <t>5540 Administrative:Board Fees</t>
  </si>
  <si>
    <t>5550 Administrative:Fees and Dues</t>
  </si>
  <si>
    <t>5560 Administrative:Publication Expense</t>
  </si>
  <si>
    <t>5570 Administrative:Certification Training Expenses</t>
  </si>
  <si>
    <t>5590 Administrative:Other Administrative Exp.</t>
  </si>
  <si>
    <t>5620 Interest and Depreciation Exp.:Interest Expense KRWFC (1989)</t>
  </si>
  <si>
    <t>5625 Interest and Depreciation Exp.:Interest Exp. KIA (2012)</t>
  </si>
  <si>
    <t>5626 Interest and Depreciation Exp.:Interest Expense RD (2000)</t>
  </si>
  <si>
    <t>5627 Interest and Depreciation Exp.:Service Fee KIA (2012)</t>
  </si>
  <si>
    <t>5628 Interest and Depreciation Exp.:Interest Exp. RD Series A 2012</t>
  </si>
  <si>
    <t>5629 Interest and Depreciation Exp.:Interest Exp. RD Series B 2012</t>
  </si>
  <si>
    <t>5630 Interest and Depreciation Exp.:Interest Exp. Customer Dep.</t>
  </si>
  <si>
    <t>5640 Interest and Depreciation Exp.:Depreciation Expense</t>
  </si>
  <si>
    <t>Payroll Expenses:Wages:Comp Pay</t>
  </si>
  <si>
    <t>Payroll Expenses:Wages:Holiday Worked</t>
  </si>
  <si>
    <t>Unapplied Cash Bill Payment Expenditure</t>
  </si>
  <si>
    <t>4199 Other Income</t>
  </si>
  <si>
    <t>4030 Other Income:Service Charges</t>
  </si>
  <si>
    <t>4090 Other Income:Miscellaneous Revenues</t>
  </si>
  <si>
    <t>4110 Other Income:Interest Income</t>
  </si>
  <si>
    <t>TOTAL</t>
  </si>
  <si>
    <t>Tuesday, Mar 05, 2024 09:06:18 AM GMT-8 - Cash Basis</t>
  </si>
  <si>
    <t>Hyden-Leslie Co. Water District</t>
  </si>
  <si>
    <t>Trial Balance</t>
  </si>
  <si>
    <t>As of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</si>
</sst>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165" fontId="2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3"/>
  <sheetViews>
    <sheetView tabSelected="1" workbookViewId="0">
      <selection sqref="A1:C1"/>
    </sheetView>
  </sheetViews>
  <sheetFormatPr defaultRowHeight="15" x14ac:dyDescent="0.25"/>
  <cols>
    <col min="1" max="1" width="72.140625" customWidth="1"/>
    <col min="2" max="3" width="18" customWidth="1"/>
  </cols>
  <sheetData>
    <row r="1" spans="1:3" ht="18" x14ac:dyDescent="0.25">
      <c r="A1" s="9" t="s">
        <v>227</v>
      </c>
      <c r="B1" s="8"/>
      <c r="C1" s="8"/>
    </row>
    <row r="2" spans="1:3" ht="18" x14ac:dyDescent="0.25">
      <c r="A2" s="9" t="s">
        <v>228</v>
      </c>
      <c r="B2" s="8"/>
      <c r="C2" s="8"/>
    </row>
    <row r="3" spans="1:3" x14ac:dyDescent="0.25">
      <c r="A3" s="10" t="s">
        <v>229</v>
      </c>
      <c r="B3" s="8"/>
      <c r="C3" s="8"/>
    </row>
    <row r="5" spans="1:3" x14ac:dyDescent="0.25">
      <c r="A5" s="1"/>
      <c r="B5" s="2" t="s">
        <v>0</v>
      </c>
      <c r="C5" s="2" t="s">
        <v>1</v>
      </c>
    </row>
    <row r="6" spans="1:3" x14ac:dyDescent="0.25">
      <c r="A6" s="3" t="s">
        <v>2</v>
      </c>
      <c r="B6" s="4">
        <f>435.41</f>
        <v>435.41</v>
      </c>
      <c r="C6" s="5"/>
    </row>
    <row r="7" spans="1:3" x14ac:dyDescent="0.25">
      <c r="A7" s="3" t="s">
        <v>3</v>
      </c>
      <c r="B7" s="4">
        <f>416775.62</f>
        <v>416775.62</v>
      </c>
      <c r="C7" s="5"/>
    </row>
    <row r="8" spans="1:3" x14ac:dyDescent="0.25">
      <c r="A8" s="3" t="s">
        <v>4</v>
      </c>
      <c r="B8" s="4">
        <f>24221.47</f>
        <v>24221.47</v>
      </c>
      <c r="C8" s="5"/>
    </row>
    <row r="9" spans="1:3" x14ac:dyDescent="0.25">
      <c r="A9" s="3" t="s">
        <v>5</v>
      </c>
      <c r="B9" s="4">
        <f>19584.72</f>
        <v>19584.72</v>
      </c>
      <c r="C9" s="5"/>
    </row>
    <row r="10" spans="1:3" x14ac:dyDescent="0.25">
      <c r="A10" s="3" t="s">
        <v>6</v>
      </c>
      <c r="B10" s="4">
        <f>163507.1</f>
        <v>163507.1</v>
      </c>
      <c r="C10" s="5"/>
    </row>
    <row r="11" spans="1:3" x14ac:dyDescent="0.25">
      <c r="A11" s="3" t="s">
        <v>7</v>
      </c>
      <c r="B11" s="4">
        <f>2121.99</f>
        <v>2121.9899999999998</v>
      </c>
      <c r="C11" s="5"/>
    </row>
    <row r="12" spans="1:3" x14ac:dyDescent="0.25">
      <c r="A12" s="3" t="s">
        <v>8</v>
      </c>
      <c r="B12" s="4">
        <f>14339.16</f>
        <v>14339.16</v>
      </c>
      <c r="C12" s="5"/>
    </row>
    <row r="13" spans="1:3" x14ac:dyDescent="0.25">
      <c r="A13" s="3" t="s">
        <v>9</v>
      </c>
      <c r="B13" s="4">
        <f>0</f>
        <v>0</v>
      </c>
      <c r="C13" s="5"/>
    </row>
    <row r="14" spans="1:3" x14ac:dyDescent="0.25">
      <c r="A14" s="3" t="s">
        <v>10</v>
      </c>
      <c r="B14" s="4">
        <f>15026.65</f>
        <v>15026.65</v>
      </c>
      <c r="C14" s="5"/>
    </row>
    <row r="15" spans="1:3" x14ac:dyDescent="0.25">
      <c r="A15" s="3" t="s">
        <v>11</v>
      </c>
      <c r="B15" s="4">
        <f>47596.1</f>
        <v>47596.1</v>
      </c>
      <c r="C15" s="5"/>
    </row>
    <row r="16" spans="1:3" x14ac:dyDescent="0.25">
      <c r="A16" s="3" t="s">
        <v>12</v>
      </c>
      <c r="B16" s="4">
        <f>449090.48</f>
        <v>449090.48</v>
      </c>
      <c r="C16" s="5"/>
    </row>
    <row r="17" spans="1:3" x14ac:dyDescent="0.25">
      <c r="A17" s="3" t="s">
        <v>13</v>
      </c>
      <c r="B17" s="4">
        <f>0</f>
        <v>0</v>
      </c>
      <c r="C17" s="5"/>
    </row>
    <row r="18" spans="1:3" x14ac:dyDescent="0.25">
      <c r="A18" s="3" t="s">
        <v>14</v>
      </c>
      <c r="B18" s="4">
        <f>56092.41</f>
        <v>56092.41</v>
      </c>
      <c r="C18" s="5"/>
    </row>
    <row r="19" spans="1:3" x14ac:dyDescent="0.25">
      <c r="A19" s="3" t="s">
        <v>15</v>
      </c>
      <c r="B19" s="4">
        <f>145858.63</f>
        <v>145858.63</v>
      </c>
      <c r="C19" s="5"/>
    </row>
    <row r="20" spans="1:3" x14ac:dyDescent="0.25">
      <c r="A20" s="3" t="s">
        <v>16</v>
      </c>
      <c r="B20" s="4">
        <f>0</f>
        <v>0</v>
      </c>
      <c r="C20" s="5"/>
    </row>
    <row r="21" spans="1:3" x14ac:dyDescent="0.25">
      <c r="A21" s="3" t="s">
        <v>17</v>
      </c>
      <c r="B21" s="4">
        <f>0</f>
        <v>0</v>
      </c>
      <c r="C21" s="5"/>
    </row>
    <row r="22" spans="1:3" x14ac:dyDescent="0.25">
      <c r="A22" s="3" t="s">
        <v>18</v>
      </c>
      <c r="B22" s="4">
        <f>1521.43</f>
        <v>1521.43</v>
      </c>
      <c r="C22" s="5"/>
    </row>
    <row r="23" spans="1:3" x14ac:dyDescent="0.25">
      <c r="A23" s="3" t="s">
        <v>19</v>
      </c>
      <c r="B23" s="4">
        <f>11300</f>
        <v>11300</v>
      </c>
      <c r="C23" s="5"/>
    </row>
    <row r="24" spans="1:3" x14ac:dyDescent="0.25">
      <c r="A24" s="3" t="s">
        <v>20</v>
      </c>
      <c r="B24" s="4">
        <f>2693.65</f>
        <v>2693.65</v>
      </c>
      <c r="C24" s="5"/>
    </row>
    <row r="25" spans="1:3" x14ac:dyDescent="0.25">
      <c r="A25" s="3" t="s">
        <v>21</v>
      </c>
      <c r="B25" s="4">
        <f>130101.24</f>
        <v>130101.24</v>
      </c>
      <c r="C25" s="5"/>
    </row>
    <row r="26" spans="1:3" x14ac:dyDescent="0.25">
      <c r="A26" s="3" t="s">
        <v>22</v>
      </c>
      <c r="B26" s="4">
        <f>14596.39</f>
        <v>14596.39</v>
      </c>
      <c r="C26" s="5"/>
    </row>
    <row r="27" spans="1:3" x14ac:dyDescent="0.25">
      <c r="A27" s="3" t="s">
        <v>23</v>
      </c>
      <c r="B27" s="4">
        <f>2965</f>
        <v>2965</v>
      </c>
      <c r="C27" s="5"/>
    </row>
    <row r="28" spans="1:3" x14ac:dyDescent="0.25">
      <c r="A28" s="3" t="s">
        <v>24</v>
      </c>
      <c r="B28" s="4">
        <f>32169.02</f>
        <v>32169.02</v>
      </c>
      <c r="C28" s="5"/>
    </row>
    <row r="29" spans="1:3" x14ac:dyDescent="0.25">
      <c r="A29" s="3" t="s">
        <v>25</v>
      </c>
      <c r="B29" s="4">
        <f>5632404.63</f>
        <v>5632404.6299999999</v>
      </c>
      <c r="C29" s="5"/>
    </row>
    <row r="30" spans="1:3" x14ac:dyDescent="0.25">
      <c r="A30" s="3" t="s">
        <v>26</v>
      </c>
      <c r="B30" s="5"/>
      <c r="C30" s="4">
        <f>1492973.02</f>
        <v>1492973.02</v>
      </c>
    </row>
    <row r="31" spans="1:3" x14ac:dyDescent="0.25">
      <c r="A31" s="3" t="s">
        <v>27</v>
      </c>
      <c r="B31" s="4">
        <f>78723</f>
        <v>78723</v>
      </c>
      <c r="C31" s="5"/>
    </row>
    <row r="32" spans="1:3" x14ac:dyDescent="0.25">
      <c r="A32" s="3" t="s">
        <v>28</v>
      </c>
      <c r="B32" s="5"/>
      <c r="C32" s="4">
        <f>78723</f>
        <v>78723</v>
      </c>
    </row>
    <row r="33" spans="1:3" x14ac:dyDescent="0.25">
      <c r="A33" s="3" t="s">
        <v>29</v>
      </c>
      <c r="B33" s="4">
        <f>474544.66</f>
        <v>474544.66</v>
      </c>
      <c r="C33" s="5"/>
    </row>
    <row r="34" spans="1:3" x14ac:dyDescent="0.25">
      <c r="A34" s="3" t="s">
        <v>30</v>
      </c>
      <c r="B34" s="5"/>
      <c r="C34" s="4">
        <f>95561.95</f>
        <v>95561.95</v>
      </c>
    </row>
    <row r="35" spans="1:3" x14ac:dyDescent="0.25">
      <c r="A35" s="3" t="s">
        <v>31</v>
      </c>
      <c r="B35" s="4">
        <f>488949.02</f>
        <v>488949.02</v>
      </c>
      <c r="C35" s="5"/>
    </row>
    <row r="36" spans="1:3" x14ac:dyDescent="0.25">
      <c r="A36" s="3" t="s">
        <v>32</v>
      </c>
      <c r="B36" s="5"/>
      <c r="C36" s="4">
        <f>97358.75</f>
        <v>97358.75</v>
      </c>
    </row>
    <row r="37" spans="1:3" x14ac:dyDescent="0.25">
      <c r="A37" s="3" t="s">
        <v>33</v>
      </c>
      <c r="B37" s="4">
        <f>1510089.16</f>
        <v>1510089.16</v>
      </c>
      <c r="C37" s="5"/>
    </row>
    <row r="38" spans="1:3" x14ac:dyDescent="0.25">
      <c r="A38" s="3" t="s">
        <v>34</v>
      </c>
      <c r="B38" s="5"/>
      <c r="C38" s="4">
        <f>738602.64</f>
        <v>738602.64</v>
      </c>
    </row>
    <row r="39" spans="1:3" x14ac:dyDescent="0.25">
      <c r="A39" s="3" t="s">
        <v>35</v>
      </c>
      <c r="B39" s="4">
        <f>3649436.96</f>
        <v>3649436.96</v>
      </c>
      <c r="C39" s="5"/>
    </row>
    <row r="40" spans="1:3" x14ac:dyDescent="0.25">
      <c r="A40" s="3" t="s">
        <v>36</v>
      </c>
      <c r="B40" s="5"/>
      <c r="C40" s="4">
        <f>1030792.53</f>
        <v>1030792.53</v>
      </c>
    </row>
    <row r="41" spans="1:3" x14ac:dyDescent="0.25">
      <c r="A41" s="3" t="s">
        <v>37</v>
      </c>
      <c r="B41" s="4">
        <f>2950562.8</f>
        <v>2950562.8</v>
      </c>
      <c r="C41" s="5"/>
    </row>
    <row r="42" spans="1:3" x14ac:dyDescent="0.25">
      <c r="A42" s="3" t="s">
        <v>38</v>
      </c>
      <c r="B42" s="5"/>
      <c r="C42" s="4">
        <f>1054800.15</f>
        <v>1054800.1499999999</v>
      </c>
    </row>
    <row r="43" spans="1:3" x14ac:dyDescent="0.25">
      <c r="A43" s="3" t="s">
        <v>39</v>
      </c>
      <c r="B43" s="4">
        <f>16742810.82</f>
        <v>16742810.82</v>
      </c>
      <c r="C43" s="5"/>
    </row>
    <row r="44" spans="1:3" x14ac:dyDescent="0.25">
      <c r="A44" s="3" t="s">
        <v>40</v>
      </c>
      <c r="B44" s="5"/>
      <c r="C44" s="4">
        <f>6369730.93</f>
        <v>6369730.9299999997</v>
      </c>
    </row>
    <row r="45" spans="1:3" x14ac:dyDescent="0.25">
      <c r="A45" s="3" t="s">
        <v>41</v>
      </c>
      <c r="B45" s="4">
        <f>133995</f>
        <v>133995</v>
      </c>
      <c r="C45" s="5"/>
    </row>
    <row r="46" spans="1:3" x14ac:dyDescent="0.25">
      <c r="A46" s="3" t="s">
        <v>42</v>
      </c>
      <c r="B46" s="5"/>
      <c r="C46" s="4">
        <f>133995</f>
        <v>133995</v>
      </c>
    </row>
    <row r="47" spans="1:3" x14ac:dyDescent="0.25">
      <c r="A47" s="3" t="s">
        <v>43</v>
      </c>
      <c r="B47" s="4">
        <f>2010286.15</f>
        <v>2010286.15</v>
      </c>
      <c r="C47" s="5"/>
    </row>
    <row r="48" spans="1:3" x14ac:dyDescent="0.25">
      <c r="A48" s="3" t="s">
        <v>44</v>
      </c>
      <c r="B48" s="5"/>
      <c r="C48" s="4">
        <f>1034065.21</f>
        <v>1034065.21</v>
      </c>
    </row>
    <row r="49" spans="1:3" x14ac:dyDescent="0.25">
      <c r="A49" s="3" t="s">
        <v>45</v>
      </c>
      <c r="B49" s="4">
        <f>178789.14</f>
        <v>178789.14</v>
      </c>
      <c r="C49" s="5"/>
    </row>
    <row r="50" spans="1:3" x14ac:dyDescent="0.25">
      <c r="A50" s="3" t="s">
        <v>46</v>
      </c>
      <c r="B50" s="5"/>
      <c r="C50" s="4">
        <f>114401.61</f>
        <v>114401.61</v>
      </c>
    </row>
    <row r="51" spans="1:3" x14ac:dyDescent="0.25">
      <c r="A51" s="3" t="s">
        <v>47</v>
      </c>
      <c r="B51" s="4">
        <f>187491.82</f>
        <v>187491.82</v>
      </c>
      <c r="C51" s="5"/>
    </row>
    <row r="52" spans="1:3" x14ac:dyDescent="0.25">
      <c r="A52" s="3" t="s">
        <v>48</v>
      </c>
      <c r="B52" s="5"/>
      <c r="C52" s="4">
        <f>95607.3</f>
        <v>95607.3</v>
      </c>
    </row>
    <row r="53" spans="1:3" x14ac:dyDescent="0.25">
      <c r="A53" s="3" t="s">
        <v>49</v>
      </c>
      <c r="B53" s="4">
        <f>305992.4</f>
        <v>305992.40000000002</v>
      </c>
      <c r="C53" s="5"/>
    </row>
    <row r="54" spans="1:3" x14ac:dyDescent="0.25">
      <c r="A54" s="3" t="s">
        <v>50</v>
      </c>
      <c r="B54" s="5"/>
      <c r="C54" s="4">
        <f>217476.05</f>
        <v>217476.05</v>
      </c>
    </row>
    <row r="55" spans="1:3" x14ac:dyDescent="0.25">
      <c r="A55" s="3" t="s">
        <v>51</v>
      </c>
      <c r="B55" s="4">
        <f>30962.04</f>
        <v>30962.04</v>
      </c>
      <c r="C55" s="5"/>
    </row>
    <row r="56" spans="1:3" x14ac:dyDescent="0.25">
      <c r="A56" s="3" t="s">
        <v>52</v>
      </c>
      <c r="B56" s="5"/>
      <c r="C56" s="4">
        <f>26411.82</f>
        <v>26411.82</v>
      </c>
    </row>
    <row r="57" spans="1:3" x14ac:dyDescent="0.25">
      <c r="A57" s="3" t="s">
        <v>53</v>
      </c>
      <c r="B57" s="4">
        <f>536056.61</f>
        <v>536056.61</v>
      </c>
      <c r="C57" s="5"/>
    </row>
    <row r="58" spans="1:3" x14ac:dyDescent="0.25">
      <c r="A58" s="3" t="s">
        <v>54</v>
      </c>
      <c r="B58" s="5"/>
      <c r="C58" s="4">
        <f>341418.27</f>
        <v>341418.27</v>
      </c>
    </row>
    <row r="59" spans="1:3" x14ac:dyDescent="0.25">
      <c r="A59" s="3" t="s">
        <v>55</v>
      </c>
      <c r="B59" s="4">
        <f>19704.22</f>
        <v>19704.22</v>
      </c>
      <c r="C59" s="5"/>
    </row>
    <row r="60" spans="1:3" x14ac:dyDescent="0.25">
      <c r="A60" s="3" t="s">
        <v>56</v>
      </c>
      <c r="B60" s="5"/>
      <c r="C60" s="4">
        <f>15780.44</f>
        <v>15780.44</v>
      </c>
    </row>
    <row r="61" spans="1:3" x14ac:dyDescent="0.25">
      <c r="A61" s="3" t="s">
        <v>57</v>
      </c>
      <c r="B61" s="5"/>
      <c r="C61" s="4">
        <f>0.1</f>
        <v>0.1</v>
      </c>
    </row>
    <row r="62" spans="1:3" x14ac:dyDescent="0.25">
      <c r="A62" s="3" t="s">
        <v>58</v>
      </c>
      <c r="B62" s="4">
        <f>0.15</f>
        <v>0.15</v>
      </c>
      <c r="C62" s="5"/>
    </row>
    <row r="63" spans="1:3" x14ac:dyDescent="0.25">
      <c r="A63" s="3" t="s">
        <v>59</v>
      </c>
      <c r="B63" s="4">
        <f>0.37</f>
        <v>0.37</v>
      </c>
      <c r="C63" s="5"/>
    </row>
    <row r="64" spans="1:3" x14ac:dyDescent="0.25">
      <c r="A64" s="3" t="s">
        <v>60</v>
      </c>
      <c r="B64" s="4">
        <f>0</f>
        <v>0</v>
      </c>
      <c r="C64" s="5"/>
    </row>
    <row r="65" spans="1:3" x14ac:dyDescent="0.25">
      <c r="A65" s="3" t="s">
        <v>61</v>
      </c>
      <c r="B65" s="4">
        <f>0.21</f>
        <v>0.21</v>
      </c>
      <c r="C65" s="5"/>
    </row>
    <row r="66" spans="1:3" x14ac:dyDescent="0.25">
      <c r="A66" s="3" t="s">
        <v>62</v>
      </c>
      <c r="B66" s="5"/>
      <c r="C66" s="4">
        <f>0.43</f>
        <v>0.43</v>
      </c>
    </row>
    <row r="67" spans="1:3" x14ac:dyDescent="0.25">
      <c r="A67" s="3" t="s">
        <v>63</v>
      </c>
      <c r="B67" s="5"/>
      <c r="C67" s="4">
        <f>0.24</f>
        <v>0.24</v>
      </c>
    </row>
    <row r="68" spans="1:3" x14ac:dyDescent="0.25">
      <c r="A68" s="3" t="s">
        <v>64</v>
      </c>
      <c r="B68" s="4">
        <f>0.24</f>
        <v>0.24</v>
      </c>
      <c r="C68" s="5"/>
    </row>
    <row r="69" spans="1:3" x14ac:dyDescent="0.25">
      <c r="A69" s="3" t="s">
        <v>65</v>
      </c>
      <c r="B69" s="4">
        <f>0</f>
        <v>0</v>
      </c>
      <c r="C69" s="5"/>
    </row>
    <row r="70" spans="1:3" x14ac:dyDescent="0.25">
      <c r="A70" s="3" t="s">
        <v>66</v>
      </c>
      <c r="B70" s="4">
        <f>0.04</f>
        <v>0.04</v>
      </c>
      <c r="C70" s="5"/>
    </row>
    <row r="71" spans="1:3" x14ac:dyDescent="0.25">
      <c r="A71" s="3" t="s">
        <v>67</v>
      </c>
      <c r="B71" s="4">
        <f>0</f>
        <v>0</v>
      </c>
      <c r="C71" s="5"/>
    </row>
    <row r="72" spans="1:3" x14ac:dyDescent="0.25">
      <c r="A72" s="3" t="s">
        <v>68</v>
      </c>
      <c r="B72" s="4">
        <f>204226</f>
        <v>204226</v>
      </c>
      <c r="C72" s="5"/>
    </row>
    <row r="73" spans="1:3" x14ac:dyDescent="0.25">
      <c r="A73" s="3" t="s">
        <v>69</v>
      </c>
      <c r="B73" s="4">
        <f>0.5</f>
        <v>0.5</v>
      </c>
      <c r="C73" s="5"/>
    </row>
    <row r="74" spans="1:3" x14ac:dyDescent="0.25">
      <c r="A74" s="3" t="s">
        <v>70</v>
      </c>
      <c r="B74" s="4">
        <f>0.04</f>
        <v>0.04</v>
      </c>
      <c r="C74" s="5"/>
    </row>
    <row r="75" spans="1:3" x14ac:dyDescent="0.25">
      <c r="A75" s="3" t="s">
        <v>71</v>
      </c>
      <c r="B75" s="4">
        <f>0</f>
        <v>0</v>
      </c>
      <c r="C75" s="5"/>
    </row>
    <row r="76" spans="1:3" x14ac:dyDescent="0.25">
      <c r="A76" s="3" t="s">
        <v>72</v>
      </c>
      <c r="B76" s="4">
        <f>1900</f>
        <v>1900</v>
      </c>
      <c r="C76" s="5"/>
    </row>
    <row r="77" spans="1:3" x14ac:dyDescent="0.25">
      <c r="A77" s="3" t="s">
        <v>73</v>
      </c>
      <c r="B77" s="4">
        <f>37669</f>
        <v>37669</v>
      </c>
      <c r="C77" s="5"/>
    </row>
    <row r="78" spans="1:3" x14ac:dyDescent="0.25">
      <c r="A78" s="3" t="s">
        <v>74</v>
      </c>
      <c r="B78" s="4">
        <f>7549</f>
        <v>7549</v>
      </c>
      <c r="C78" s="5"/>
    </row>
    <row r="79" spans="1:3" x14ac:dyDescent="0.25">
      <c r="A79" s="3" t="s">
        <v>75</v>
      </c>
      <c r="B79" s="4">
        <f>0</f>
        <v>0</v>
      </c>
      <c r="C79" s="5"/>
    </row>
    <row r="80" spans="1:3" x14ac:dyDescent="0.25">
      <c r="A80" s="3" t="s">
        <v>76</v>
      </c>
      <c r="B80" s="4">
        <f>0</f>
        <v>0</v>
      </c>
      <c r="C80" s="5"/>
    </row>
    <row r="81" spans="1:3" x14ac:dyDescent="0.25">
      <c r="A81" s="3" t="s">
        <v>77</v>
      </c>
      <c r="B81" s="4">
        <f>294487.99</f>
        <v>294487.99</v>
      </c>
      <c r="C81" s="5"/>
    </row>
    <row r="82" spans="1:3" x14ac:dyDescent="0.25">
      <c r="A82" s="3" t="s">
        <v>78</v>
      </c>
      <c r="B82" s="5"/>
      <c r="C82" s="4">
        <f>5000</f>
        <v>5000</v>
      </c>
    </row>
    <row r="83" spans="1:3" x14ac:dyDescent="0.25">
      <c r="A83" s="3" t="s">
        <v>79</v>
      </c>
      <c r="B83" s="4">
        <f>51957</f>
        <v>51957</v>
      </c>
      <c r="C83" s="5"/>
    </row>
    <row r="84" spans="1:3" x14ac:dyDescent="0.25">
      <c r="A84" s="3" t="s">
        <v>80</v>
      </c>
      <c r="B84" s="4">
        <f>304.36</f>
        <v>304.36</v>
      </c>
      <c r="C84" s="5"/>
    </row>
    <row r="85" spans="1:3" x14ac:dyDescent="0.25">
      <c r="A85" s="3" t="s">
        <v>81</v>
      </c>
      <c r="B85" s="4">
        <f>0</f>
        <v>0</v>
      </c>
      <c r="C85" s="5"/>
    </row>
    <row r="86" spans="1:3" x14ac:dyDescent="0.25">
      <c r="A86" s="3" t="s">
        <v>82</v>
      </c>
      <c r="B86" s="4">
        <f>0.4</f>
        <v>0.4</v>
      </c>
      <c r="C86" s="5"/>
    </row>
    <row r="87" spans="1:3" x14ac:dyDescent="0.25">
      <c r="A87" s="3" t="s">
        <v>83</v>
      </c>
      <c r="B87" s="4">
        <f>0</f>
        <v>0</v>
      </c>
      <c r="C87" s="5"/>
    </row>
    <row r="88" spans="1:3" x14ac:dyDescent="0.25">
      <c r="A88" s="3" t="s">
        <v>84</v>
      </c>
      <c r="B88" s="4">
        <f>81828.45</f>
        <v>81828.45</v>
      </c>
      <c r="C88" s="5"/>
    </row>
    <row r="89" spans="1:3" x14ac:dyDescent="0.25">
      <c r="A89" s="3" t="s">
        <v>85</v>
      </c>
      <c r="B89" s="4">
        <f>14705</f>
        <v>14705</v>
      </c>
      <c r="C89" s="5"/>
    </row>
    <row r="90" spans="1:3" x14ac:dyDescent="0.25">
      <c r="A90" s="3" t="s">
        <v>86</v>
      </c>
      <c r="B90" s="4">
        <f>29499.12</f>
        <v>29499.119999999999</v>
      </c>
      <c r="C90" s="5"/>
    </row>
    <row r="91" spans="1:3" x14ac:dyDescent="0.25">
      <c r="A91" s="3" t="s">
        <v>87</v>
      </c>
      <c r="B91" s="4">
        <f>1100</f>
        <v>1100</v>
      </c>
      <c r="C91" s="5"/>
    </row>
    <row r="92" spans="1:3" x14ac:dyDescent="0.25">
      <c r="A92" s="3" t="s">
        <v>88</v>
      </c>
      <c r="B92" s="5"/>
      <c r="C92" s="4">
        <f>0</f>
        <v>0</v>
      </c>
    </row>
    <row r="93" spans="1:3" x14ac:dyDescent="0.25">
      <c r="A93" s="3" t="s">
        <v>89</v>
      </c>
      <c r="B93" s="5"/>
      <c r="C93" s="4">
        <f>0</f>
        <v>0</v>
      </c>
    </row>
    <row r="94" spans="1:3" x14ac:dyDescent="0.25">
      <c r="A94" s="3" t="s">
        <v>90</v>
      </c>
      <c r="B94" s="5"/>
      <c r="C94" s="4">
        <f>41241.1</f>
        <v>41241.1</v>
      </c>
    </row>
    <row r="95" spans="1:3" x14ac:dyDescent="0.25">
      <c r="A95" s="3" t="s">
        <v>91</v>
      </c>
      <c r="B95" s="5"/>
      <c r="C95" s="4">
        <f>66275</f>
        <v>66275</v>
      </c>
    </row>
    <row r="96" spans="1:3" x14ac:dyDescent="0.25">
      <c r="A96" s="3" t="s">
        <v>92</v>
      </c>
      <c r="B96" s="5"/>
      <c r="C96" s="4">
        <f>1634.76</f>
        <v>1634.76</v>
      </c>
    </row>
    <row r="97" spans="1:3" x14ac:dyDescent="0.25">
      <c r="A97" s="3" t="s">
        <v>93</v>
      </c>
      <c r="B97" s="4">
        <f>0.15</f>
        <v>0.15</v>
      </c>
      <c r="C97" s="5"/>
    </row>
    <row r="98" spans="1:3" x14ac:dyDescent="0.25">
      <c r="A98" s="3" t="s">
        <v>94</v>
      </c>
      <c r="B98" s="5"/>
      <c r="C98" s="4">
        <f>0.53</f>
        <v>0.53</v>
      </c>
    </row>
    <row r="99" spans="1:3" x14ac:dyDescent="0.25">
      <c r="A99" s="3" t="s">
        <v>95</v>
      </c>
      <c r="B99" s="5"/>
      <c r="C99" s="4">
        <f>0.19</f>
        <v>0.19</v>
      </c>
    </row>
    <row r="100" spans="1:3" x14ac:dyDescent="0.25">
      <c r="A100" s="3" t="s">
        <v>96</v>
      </c>
      <c r="B100" s="5"/>
      <c r="C100" s="4">
        <f>195.02</f>
        <v>195.02</v>
      </c>
    </row>
    <row r="101" spans="1:3" x14ac:dyDescent="0.25">
      <c r="A101" s="3" t="s">
        <v>97</v>
      </c>
      <c r="B101" s="5"/>
      <c r="C101" s="4">
        <f>0</f>
        <v>0</v>
      </c>
    </row>
    <row r="102" spans="1:3" x14ac:dyDescent="0.25">
      <c r="A102" s="3" t="s">
        <v>98</v>
      </c>
      <c r="B102" s="4">
        <f>0.38</f>
        <v>0.38</v>
      </c>
      <c r="C102" s="5"/>
    </row>
    <row r="103" spans="1:3" x14ac:dyDescent="0.25">
      <c r="A103" s="3" t="s">
        <v>99</v>
      </c>
      <c r="B103" s="5"/>
      <c r="C103" s="4">
        <f>0</f>
        <v>0</v>
      </c>
    </row>
    <row r="104" spans="1:3" x14ac:dyDescent="0.25">
      <c r="A104" s="3" t="s">
        <v>100</v>
      </c>
      <c r="B104" s="5"/>
      <c r="C104" s="4">
        <f>697.17</f>
        <v>697.17</v>
      </c>
    </row>
    <row r="105" spans="1:3" x14ac:dyDescent="0.25">
      <c r="A105" s="3" t="s">
        <v>101</v>
      </c>
      <c r="B105" s="5"/>
      <c r="C105" s="4">
        <f>18918</f>
        <v>18918</v>
      </c>
    </row>
    <row r="106" spans="1:3" x14ac:dyDescent="0.25">
      <c r="A106" s="3" t="s">
        <v>102</v>
      </c>
      <c r="B106" s="5"/>
      <c r="C106" s="4">
        <f>15325</f>
        <v>15325</v>
      </c>
    </row>
    <row r="107" spans="1:3" x14ac:dyDescent="0.25">
      <c r="A107" s="3" t="s">
        <v>103</v>
      </c>
      <c r="B107" s="5"/>
      <c r="C107" s="4">
        <f>0</f>
        <v>0</v>
      </c>
    </row>
    <row r="108" spans="1:3" x14ac:dyDescent="0.25">
      <c r="A108" s="3" t="s">
        <v>104</v>
      </c>
      <c r="B108" s="5"/>
      <c r="C108" s="4">
        <f>0</f>
        <v>0</v>
      </c>
    </row>
    <row r="109" spans="1:3" x14ac:dyDescent="0.25">
      <c r="A109" s="3" t="s">
        <v>105</v>
      </c>
      <c r="B109" s="5"/>
      <c r="C109" s="4">
        <f>0.1</f>
        <v>0.1</v>
      </c>
    </row>
    <row r="110" spans="1:3" x14ac:dyDescent="0.25">
      <c r="A110" s="3" t="s">
        <v>106</v>
      </c>
      <c r="B110" s="5"/>
      <c r="C110" s="4">
        <f>767.03</f>
        <v>767.03</v>
      </c>
    </row>
    <row r="111" spans="1:3" x14ac:dyDescent="0.25">
      <c r="A111" s="3" t="s">
        <v>107</v>
      </c>
      <c r="B111" s="5"/>
      <c r="C111" s="4">
        <f>1102.67</f>
        <v>1102.67</v>
      </c>
    </row>
    <row r="112" spans="1:3" x14ac:dyDescent="0.25">
      <c r="A112" s="3" t="s">
        <v>108</v>
      </c>
      <c r="B112" s="5"/>
      <c r="C112" s="4">
        <f>440.68</f>
        <v>440.68</v>
      </c>
    </row>
    <row r="113" spans="1:3" x14ac:dyDescent="0.25">
      <c r="A113" s="3" t="s">
        <v>109</v>
      </c>
      <c r="B113" s="5"/>
      <c r="C113" s="4">
        <f>2922.97</f>
        <v>2922.97</v>
      </c>
    </row>
    <row r="114" spans="1:3" x14ac:dyDescent="0.25">
      <c r="A114" s="3" t="s">
        <v>110</v>
      </c>
      <c r="B114" s="5"/>
      <c r="C114" s="4">
        <f>5681.61</f>
        <v>5681.61</v>
      </c>
    </row>
    <row r="115" spans="1:3" x14ac:dyDescent="0.25">
      <c r="A115" s="3" t="s">
        <v>111</v>
      </c>
      <c r="B115" s="5"/>
      <c r="C115" s="4">
        <f>6.06</f>
        <v>6.06</v>
      </c>
    </row>
    <row r="116" spans="1:3" x14ac:dyDescent="0.25">
      <c r="A116" s="3" t="s">
        <v>112</v>
      </c>
      <c r="B116" s="5"/>
      <c r="C116" s="4">
        <f>52.41</f>
        <v>52.41</v>
      </c>
    </row>
    <row r="117" spans="1:3" x14ac:dyDescent="0.25">
      <c r="A117" s="3" t="s">
        <v>113</v>
      </c>
      <c r="B117" s="5"/>
      <c r="C117" s="4">
        <f>2955.37</f>
        <v>2955.37</v>
      </c>
    </row>
    <row r="118" spans="1:3" x14ac:dyDescent="0.25">
      <c r="A118" s="3" t="s">
        <v>114</v>
      </c>
      <c r="B118" s="5"/>
      <c r="C118" s="4">
        <f>0</f>
        <v>0</v>
      </c>
    </row>
    <row r="119" spans="1:3" x14ac:dyDescent="0.25">
      <c r="A119" s="3" t="s">
        <v>115</v>
      </c>
      <c r="B119" s="5"/>
      <c r="C119" s="4">
        <f>0</f>
        <v>0</v>
      </c>
    </row>
    <row r="120" spans="1:3" x14ac:dyDescent="0.25">
      <c r="A120" s="3" t="s">
        <v>116</v>
      </c>
      <c r="B120" s="5"/>
      <c r="C120" s="4">
        <f>0</f>
        <v>0</v>
      </c>
    </row>
    <row r="121" spans="1:3" x14ac:dyDescent="0.25">
      <c r="A121" s="3" t="s">
        <v>117</v>
      </c>
      <c r="B121" s="5"/>
      <c r="C121" s="4">
        <f>33.38</f>
        <v>33.380000000000003</v>
      </c>
    </row>
    <row r="122" spans="1:3" x14ac:dyDescent="0.25">
      <c r="A122" s="3" t="s">
        <v>118</v>
      </c>
      <c r="B122" s="5"/>
      <c r="C122" s="4">
        <f>7899.62</f>
        <v>7899.62</v>
      </c>
    </row>
    <row r="123" spans="1:3" x14ac:dyDescent="0.25">
      <c r="A123" s="3" t="s">
        <v>119</v>
      </c>
      <c r="B123" s="4">
        <f>119759</f>
        <v>119759</v>
      </c>
      <c r="C123" s="5"/>
    </row>
    <row r="124" spans="1:3" x14ac:dyDescent="0.25">
      <c r="A124" s="3" t="s">
        <v>120</v>
      </c>
      <c r="B124" s="5"/>
      <c r="C124" s="4">
        <f>1832.7</f>
        <v>1832.7</v>
      </c>
    </row>
    <row r="125" spans="1:3" x14ac:dyDescent="0.25">
      <c r="A125" s="3" t="s">
        <v>121</v>
      </c>
      <c r="B125" s="5"/>
      <c r="C125" s="4">
        <f>60708.22</f>
        <v>60708.22</v>
      </c>
    </row>
    <row r="126" spans="1:3" x14ac:dyDescent="0.25">
      <c r="A126" s="3" t="s">
        <v>122</v>
      </c>
      <c r="B126" s="5"/>
      <c r="C126" s="4">
        <f>26074.17</f>
        <v>26074.17</v>
      </c>
    </row>
    <row r="127" spans="1:3" x14ac:dyDescent="0.25">
      <c r="A127" s="3" t="s">
        <v>123</v>
      </c>
      <c r="B127" s="5"/>
      <c r="C127" s="4">
        <f>2353.9</f>
        <v>2353.9</v>
      </c>
    </row>
    <row r="128" spans="1:3" x14ac:dyDescent="0.25">
      <c r="A128" s="3" t="s">
        <v>124</v>
      </c>
      <c r="B128" s="5"/>
      <c r="C128" s="4">
        <f>752.42</f>
        <v>752.42</v>
      </c>
    </row>
    <row r="129" spans="1:3" x14ac:dyDescent="0.25">
      <c r="A129" s="3" t="s">
        <v>125</v>
      </c>
      <c r="B129" s="5"/>
      <c r="C129" s="4">
        <f>16964.5</f>
        <v>16964.5</v>
      </c>
    </row>
    <row r="130" spans="1:3" x14ac:dyDescent="0.25">
      <c r="A130" s="3" t="s">
        <v>126</v>
      </c>
      <c r="B130" s="5"/>
      <c r="C130" s="4">
        <f>3140.5</f>
        <v>3140.5</v>
      </c>
    </row>
    <row r="131" spans="1:3" x14ac:dyDescent="0.25">
      <c r="A131" s="3" t="s">
        <v>127</v>
      </c>
      <c r="B131" s="5"/>
      <c r="C131" s="4">
        <f>5119.86</f>
        <v>5119.8599999999997</v>
      </c>
    </row>
    <row r="132" spans="1:3" x14ac:dyDescent="0.25">
      <c r="A132" s="3" t="s">
        <v>128</v>
      </c>
      <c r="B132" s="5"/>
      <c r="C132" s="4">
        <f>1925.11</f>
        <v>1925.11</v>
      </c>
    </row>
    <row r="133" spans="1:3" x14ac:dyDescent="0.25">
      <c r="A133" s="3" t="s">
        <v>129</v>
      </c>
      <c r="B133" s="5"/>
      <c r="C133" s="4">
        <f>887.48</f>
        <v>887.48</v>
      </c>
    </row>
    <row r="134" spans="1:3" x14ac:dyDescent="0.25">
      <c r="A134" s="3" t="s">
        <v>130</v>
      </c>
      <c r="B134" s="5"/>
      <c r="C134" s="4">
        <f>44156</f>
        <v>44156</v>
      </c>
    </row>
    <row r="135" spans="1:3" x14ac:dyDescent="0.25">
      <c r="A135" s="3" t="s">
        <v>131</v>
      </c>
      <c r="B135" s="5"/>
      <c r="C135" s="4">
        <f>235416.73</f>
        <v>235416.73</v>
      </c>
    </row>
    <row r="136" spans="1:3" x14ac:dyDescent="0.25">
      <c r="A136" s="3" t="s">
        <v>132</v>
      </c>
      <c r="B136" s="5"/>
      <c r="C136" s="4">
        <f>2648145.36</f>
        <v>2648145.36</v>
      </c>
    </row>
    <row r="137" spans="1:3" x14ac:dyDescent="0.25">
      <c r="A137" s="3" t="s">
        <v>133</v>
      </c>
      <c r="B137" s="5"/>
      <c r="C137" s="4">
        <f>208999.5</f>
        <v>208999.5</v>
      </c>
    </row>
    <row r="138" spans="1:3" x14ac:dyDescent="0.25">
      <c r="A138" s="3" t="s">
        <v>134</v>
      </c>
      <c r="B138" s="5"/>
      <c r="C138" s="4">
        <f>2604500</f>
        <v>2604500</v>
      </c>
    </row>
    <row r="139" spans="1:3" x14ac:dyDescent="0.25">
      <c r="A139" s="3" t="s">
        <v>135</v>
      </c>
      <c r="B139" s="4">
        <f>0.17</f>
        <v>0.17</v>
      </c>
      <c r="C139" s="5"/>
    </row>
    <row r="140" spans="1:3" x14ac:dyDescent="0.25">
      <c r="A140" s="3" t="s">
        <v>136</v>
      </c>
      <c r="B140" s="5"/>
      <c r="C140" s="4">
        <f>127800</f>
        <v>127800</v>
      </c>
    </row>
    <row r="141" spans="1:3" x14ac:dyDescent="0.25">
      <c r="A141" s="3" t="s">
        <v>137</v>
      </c>
      <c r="B141" s="5"/>
      <c r="C141" s="4">
        <f>70800</f>
        <v>70800</v>
      </c>
    </row>
    <row r="142" spans="1:3" x14ac:dyDescent="0.25">
      <c r="A142" s="3" t="s">
        <v>138</v>
      </c>
      <c r="B142" s="5"/>
      <c r="C142" s="4">
        <f>98280</f>
        <v>98280</v>
      </c>
    </row>
    <row r="143" spans="1:3" x14ac:dyDescent="0.25">
      <c r="A143" s="3" t="s">
        <v>139</v>
      </c>
      <c r="B143" s="5"/>
      <c r="C143" s="4">
        <f>0</f>
        <v>0</v>
      </c>
    </row>
    <row r="144" spans="1:3" x14ac:dyDescent="0.25">
      <c r="A144" s="3" t="s">
        <v>140</v>
      </c>
      <c r="B144" s="5"/>
      <c r="C144" s="4">
        <f>936000</f>
        <v>936000</v>
      </c>
    </row>
    <row r="145" spans="1:3" x14ac:dyDescent="0.25">
      <c r="A145" s="3" t="s">
        <v>141</v>
      </c>
      <c r="B145" s="5"/>
      <c r="C145" s="4">
        <f>749000</f>
        <v>749000</v>
      </c>
    </row>
    <row r="146" spans="1:3" x14ac:dyDescent="0.25">
      <c r="A146" s="3" t="s">
        <v>142</v>
      </c>
      <c r="B146" s="5"/>
      <c r="C146" s="4">
        <f>38023.8</f>
        <v>38023.800000000003</v>
      </c>
    </row>
    <row r="147" spans="1:3" x14ac:dyDescent="0.25">
      <c r="A147" s="3" t="s">
        <v>143</v>
      </c>
      <c r="B147" s="5"/>
      <c r="C147" s="4">
        <f>1104147.69</f>
        <v>1104147.69</v>
      </c>
    </row>
    <row r="148" spans="1:3" x14ac:dyDescent="0.25">
      <c r="A148" s="3" t="s">
        <v>144</v>
      </c>
      <c r="B148" s="5"/>
      <c r="C148" s="4">
        <f>846750</f>
        <v>846750</v>
      </c>
    </row>
    <row r="149" spans="1:3" x14ac:dyDescent="0.25">
      <c r="A149" s="3" t="s">
        <v>145</v>
      </c>
      <c r="B149" s="5"/>
      <c r="C149" s="4">
        <f>623984.6</f>
        <v>623984.6</v>
      </c>
    </row>
    <row r="150" spans="1:3" x14ac:dyDescent="0.25">
      <c r="A150" s="3" t="s">
        <v>146</v>
      </c>
      <c r="B150" s="5"/>
      <c r="C150" s="4">
        <f>8000</f>
        <v>8000</v>
      </c>
    </row>
    <row r="151" spans="1:3" x14ac:dyDescent="0.25">
      <c r="A151" s="3" t="s">
        <v>147</v>
      </c>
      <c r="B151" s="5"/>
      <c r="C151" s="4">
        <f>576037.68</f>
        <v>576037.68000000005</v>
      </c>
    </row>
    <row r="152" spans="1:3" x14ac:dyDescent="0.25">
      <c r="A152" s="3" t="s">
        <v>148</v>
      </c>
      <c r="B152" s="5"/>
      <c r="C152" s="4">
        <f>283000</f>
        <v>283000</v>
      </c>
    </row>
    <row r="153" spans="1:3" x14ac:dyDescent="0.25">
      <c r="A153" s="3" t="s">
        <v>149</v>
      </c>
      <c r="B153" s="5"/>
      <c r="C153" s="4">
        <f>850000</f>
        <v>850000</v>
      </c>
    </row>
    <row r="154" spans="1:3" x14ac:dyDescent="0.25">
      <c r="A154" s="3" t="s">
        <v>150</v>
      </c>
      <c r="B154" s="5"/>
      <c r="C154" s="4">
        <f>110516.5</f>
        <v>110516.5</v>
      </c>
    </row>
    <row r="155" spans="1:3" x14ac:dyDescent="0.25">
      <c r="A155" s="3" t="s">
        <v>151</v>
      </c>
      <c r="B155" s="5"/>
      <c r="C155" s="4">
        <f>2680002.43</f>
        <v>2680002.4300000002</v>
      </c>
    </row>
    <row r="156" spans="1:3" x14ac:dyDescent="0.25">
      <c r="A156" s="3" t="s">
        <v>152</v>
      </c>
      <c r="B156" s="5"/>
      <c r="C156" s="4">
        <f>446497.17</f>
        <v>446497.17</v>
      </c>
    </row>
    <row r="157" spans="1:3" x14ac:dyDescent="0.25">
      <c r="A157" s="3" t="s">
        <v>153</v>
      </c>
      <c r="B157" s="5"/>
      <c r="C157" s="4">
        <f>1338385.22</f>
        <v>1338385.22</v>
      </c>
    </row>
    <row r="158" spans="1:3" x14ac:dyDescent="0.25">
      <c r="A158" s="3" t="s">
        <v>154</v>
      </c>
      <c r="B158" s="5"/>
      <c r="C158" s="4">
        <f>65746</f>
        <v>65746</v>
      </c>
    </row>
    <row r="159" spans="1:3" x14ac:dyDescent="0.25">
      <c r="A159" s="3" t="s">
        <v>155</v>
      </c>
      <c r="B159" s="5"/>
      <c r="C159" s="4">
        <f>109726.9</f>
        <v>109726.9</v>
      </c>
    </row>
    <row r="160" spans="1:3" x14ac:dyDescent="0.25">
      <c r="A160" s="3" t="s">
        <v>156</v>
      </c>
      <c r="B160" s="5"/>
      <c r="C160" s="4">
        <f>620401.85</f>
        <v>620401.85</v>
      </c>
    </row>
    <row r="161" spans="1:3" x14ac:dyDescent="0.25">
      <c r="A161" s="3" t="s">
        <v>157</v>
      </c>
      <c r="B161" s="5"/>
      <c r="C161" s="4">
        <f>1885000</f>
        <v>1885000</v>
      </c>
    </row>
    <row r="162" spans="1:3" x14ac:dyDescent="0.25">
      <c r="A162" s="3" t="s">
        <v>158</v>
      </c>
      <c r="B162" s="5"/>
      <c r="C162" s="4">
        <f>7133253.26</f>
        <v>7133253.2599999998</v>
      </c>
    </row>
    <row r="163" spans="1:3" x14ac:dyDescent="0.25">
      <c r="A163" s="3" t="s">
        <v>159</v>
      </c>
      <c r="B163" s="5"/>
      <c r="C163" s="4">
        <f>2290586.33</f>
        <v>2290586.33</v>
      </c>
    </row>
    <row r="164" spans="1:3" x14ac:dyDescent="0.25">
      <c r="A164" s="3" t="s">
        <v>160</v>
      </c>
      <c r="B164" s="5"/>
      <c r="C164" s="4">
        <f>1700000</f>
        <v>1700000</v>
      </c>
    </row>
    <row r="165" spans="1:3" x14ac:dyDescent="0.25">
      <c r="A165" s="3" t="s">
        <v>161</v>
      </c>
      <c r="B165" s="5"/>
      <c r="C165" s="4">
        <f>396803.63</f>
        <v>396803.63</v>
      </c>
    </row>
    <row r="166" spans="1:3" x14ac:dyDescent="0.25">
      <c r="A166" s="3" t="s">
        <v>162</v>
      </c>
      <c r="B166" s="4">
        <f>4000</f>
        <v>4000</v>
      </c>
      <c r="C166" s="5"/>
    </row>
    <row r="167" spans="1:3" x14ac:dyDescent="0.25">
      <c r="A167" s="3" t="s">
        <v>163</v>
      </c>
      <c r="B167" s="5"/>
      <c r="C167" s="4">
        <f>360180.14</f>
        <v>360180.14</v>
      </c>
    </row>
    <row r="168" spans="1:3" x14ac:dyDescent="0.25">
      <c r="A168" s="3" t="s">
        <v>164</v>
      </c>
      <c r="B168" s="4">
        <f>751106.72</f>
        <v>751106.72</v>
      </c>
      <c r="C168" s="5"/>
    </row>
    <row r="169" spans="1:3" x14ac:dyDescent="0.25">
      <c r="A169" s="3" t="s">
        <v>165</v>
      </c>
      <c r="B169" s="4">
        <f>6108459.42</f>
        <v>6108459.4199999999</v>
      </c>
      <c r="C169" s="5"/>
    </row>
    <row r="170" spans="1:3" x14ac:dyDescent="0.25">
      <c r="A170" s="3" t="s">
        <v>166</v>
      </c>
      <c r="B170" s="5"/>
      <c r="C170" s="4">
        <f>2068542.92</f>
        <v>2068542.92</v>
      </c>
    </row>
    <row r="171" spans="1:3" x14ac:dyDescent="0.25">
      <c r="A171" s="3" t="s">
        <v>167</v>
      </c>
      <c r="B171" s="5"/>
      <c r="C171" s="4">
        <f>299966.91</f>
        <v>299966.90999999997</v>
      </c>
    </row>
    <row r="172" spans="1:3" x14ac:dyDescent="0.25">
      <c r="A172" s="3" t="s">
        <v>168</v>
      </c>
      <c r="B172" s="4">
        <f>22061.28</f>
        <v>22061.279999999999</v>
      </c>
      <c r="C172" s="5"/>
    </row>
    <row r="173" spans="1:3" x14ac:dyDescent="0.25">
      <c r="A173" s="3" t="s">
        <v>169</v>
      </c>
      <c r="B173" s="4">
        <f>381.77</f>
        <v>381.77</v>
      </c>
      <c r="C173" s="5"/>
    </row>
    <row r="174" spans="1:3" x14ac:dyDescent="0.25">
      <c r="A174" s="3" t="s">
        <v>170</v>
      </c>
      <c r="B174" s="5"/>
      <c r="C174" s="4">
        <f>67448.52</f>
        <v>67448.52</v>
      </c>
    </row>
    <row r="175" spans="1:3" x14ac:dyDescent="0.25">
      <c r="A175" s="3" t="s">
        <v>171</v>
      </c>
      <c r="B175" s="4">
        <f>458477.37</f>
        <v>458477.37</v>
      </c>
      <c r="C175" s="5"/>
    </row>
    <row r="176" spans="1:3" x14ac:dyDescent="0.25">
      <c r="A176" s="3" t="s">
        <v>172</v>
      </c>
      <c r="B176" s="4">
        <f>67739.45</f>
        <v>67739.45</v>
      </c>
      <c r="C176" s="5"/>
    </row>
    <row r="177" spans="1:3" x14ac:dyDescent="0.25">
      <c r="A177" s="3" t="s">
        <v>173</v>
      </c>
      <c r="B177" s="4">
        <f>25126.76</f>
        <v>25126.76</v>
      </c>
      <c r="C177" s="5"/>
    </row>
    <row r="178" spans="1:3" x14ac:dyDescent="0.25">
      <c r="A178" s="3" t="s">
        <v>174</v>
      </c>
      <c r="B178" s="4">
        <f>0.39</f>
        <v>0.39</v>
      </c>
      <c r="C178" s="5"/>
    </row>
    <row r="179" spans="1:3" x14ac:dyDescent="0.25">
      <c r="A179" s="3" t="s">
        <v>175</v>
      </c>
      <c r="B179" s="4">
        <f>39777.61</f>
        <v>39777.61</v>
      </c>
      <c r="C179" s="5"/>
    </row>
    <row r="180" spans="1:3" x14ac:dyDescent="0.25">
      <c r="A180" s="3" t="s">
        <v>176</v>
      </c>
      <c r="B180" s="4">
        <f>240773.03</f>
        <v>240773.03</v>
      </c>
      <c r="C180" s="5"/>
    </row>
    <row r="181" spans="1:3" x14ac:dyDescent="0.25">
      <c r="A181" s="3" t="s">
        <v>177</v>
      </c>
      <c r="B181" s="4">
        <f>4612.04</f>
        <v>4612.04</v>
      </c>
      <c r="C181" s="5"/>
    </row>
    <row r="182" spans="1:3" x14ac:dyDescent="0.25">
      <c r="A182" s="3" t="s">
        <v>178</v>
      </c>
      <c r="B182" s="4">
        <f>324191.42</f>
        <v>324191.42</v>
      </c>
      <c r="C182" s="5"/>
    </row>
    <row r="183" spans="1:3" x14ac:dyDescent="0.25">
      <c r="A183" s="3" t="s">
        <v>179</v>
      </c>
      <c r="B183" s="4">
        <f>103344.01</f>
        <v>103344.01</v>
      </c>
      <c r="C183" s="5"/>
    </row>
    <row r="184" spans="1:3" x14ac:dyDescent="0.25">
      <c r="A184" s="3" t="s">
        <v>180</v>
      </c>
      <c r="B184" s="4">
        <f>16614.14</f>
        <v>16614.14</v>
      </c>
      <c r="C184" s="5"/>
    </row>
    <row r="185" spans="1:3" x14ac:dyDescent="0.25">
      <c r="A185" s="3" t="s">
        <v>181</v>
      </c>
      <c r="B185" s="4">
        <f>8306.97</f>
        <v>8306.9699999999993</v>
      </c>
      <c r="C185" s="5"/>
    </row>
    <row r="186" spans="1:3" x14ac:dyDescent="0.25">
      <c r="A186" s="3" t="s">
        <v>182</v>
      </c>
      <c r="B186" s="4">
        <f>215.15</f>
        <v>215.15</v>
      </c>
      <c r="C186" s="5"/>
    </row>
    <row r="187" spans="1:3" x14ac:dyDescent="0.25">
      <c r="A187" s="3" t="s">
        <v>183</v>
      </c>
      <c r="B187" s="4">
        <f>8904.3</f>
        <v>8904.2999999999993</v>
      </c>
      <c r="C187" s="5"/>
    </row>
    <row r="188" spans="1:3" x14ac:dyDescent="0.25">
      <c r="A188" s="3" t="s">
        <v>184</v>
      </c>
      <c r="B188" s="4">
        <f>500</f>
        <v>500</v>
      </c>
      <c r="C188" s="5"/>
    </row>
    <row r="189" spans="1:3" x14ac:dyDescent="0.25">
      <c r="A189" s="3" t="s">
        <v>185</v>
      </c>
      <c r="B189" s="4">
        <f>5059.28</f>
        <v>5059.28</v>
      </c>
      <c r="C189" s="5"/>
    </row>
    <row r="190" spans="1:3" x14ac:dyDescent="0.25">
      <c r="A190" s="3" t="s">
        <v>186</v>
      </c>
      <c r="B190" s="4">
        <f>140938.54</f>
        <v>140938.54</v>
      </c>
      <c r="C190" s="5"/>
    </row>
    <row r="191" spans="1:3" x14ac:dyDescent="0.25">
      <c r="A191" s="3" t="s">
        <v>187</v>
      </c>
      <c r="B191" s="4">
        <f>6739.7</f>
        <v>6739.7</v>
      </c>
      <c r="C191" s="5"/>
    </row>
    <row r="192" spans="1:3" x14ac:dyDescent="0.25">
      <c r="A192" s="3" t="s">
        <v>188</v>
      </c>
      <c r="B192" s="4">
        <f>10924.67</f>
        <v>10924.67</v>
      </c>
      <c r="C192" s="5"/>
    </row>
    <row r="193" spans="1:3" x14ac:dyDescent="0.25">
      <c r="A193" s="3" t="s">
        <v>189</v>
      </c>
      <c r="B193" s="4">
        <f>34415.78</f>
        <v>34415.78</v>
      </c>
      <c r="C193" s="5"/>
    </row>
    <row r="194" spans="1:3" x14ac:dyDescent="0.25">
      <c r="A194" s="3" t="s">
        <v>190</v>
      </c>
      <c r="B194" s="4">
        <f>8228.71</f>
        <v>8228.7099999999991</v>
      </c>
      <c r="C194" s="5"/>
    </row>
    <row r="195" spans="1:3" x14ac:dyDescent="0.25">
      <c r="A195" s="3" t="s">
        <v>191</v>
      </c>
      <c r="B195" s="4">
        <f>10031.41</f>
        <v>10031.41</v>
      </c>
      <c r="C195" s="5"/>
    </row>
    <row r="196" spans="1:3" x14ac:dyDescent="0.25">
      <c r="A196" s="3" t="s">
        <v>192</v>
      </c>
      <c r="B196" s="4">
        <f>17405.49</f>
        <v>17405.490000000002</v>
      </c>
      <c r="C196" s="5"/>
    </row>
    <row r="197" spans="1:3" x14ac:dyDescent="0.25">
      <c r="A197" s="3" t="s">
        <v>193</v>
      </c>
      <c r="B197" s="4">
        <f>1800</f>
        <v>1800</v>
      </c>
      <c r="C197" s="5"/>
    </row>
    <row r="198" spans="1:3" x14ac:dyDescent="0.25">
      <c r="A198" s="3" t="s">
        <v>194</v>
      </c>
      <c r="B198" s="4">
        <f>8077.62</f>
        <v>8077.62</v>
      </c>
      <c r="C198" s="5"/>
    </row>
    <row r="199" spans="1:3" x14ac:dyDescent="0.25">
      <c r="A199" s="3" t="s">
        <v>195</v>
      </c>
      <c r="B199" s="4">
        <f>4074.72</f>
        <v>4074.72</v>
      </c>
      <c r="C199" s="5"/>
    </row>
    <row r="200" spans="1:3" x14ac:dyDescent="0.25">
      <c r="A200" s="3" t="s">
        <v>196</v>
      </c>
      <c r="B200" s="4">
        <f>16263.18</f>
        <v>16263.18</v>
      </c>
      <c r="C200" s="5"/>
    </row>
    <row r="201" spans="1:3" x14ac:dyDescent="0.25">
      <c r="A201" s="3" t="s">
        <v>197</v>
      </c>
      <c r="B201" s="4">
        <f>30796.72</f>
        <v>30796.720000000001</v>
      </c>
      <c r="C201" s="5"/>
    </row>
    <row r="202" spans="1:3" x14ac:dyDescent="0.25">
      <c r="A202" s="3" t="s">
        <v>198</v>
      </c>
      <c r="B202" s="4">
        <f>5965.77</f>
        <v>5965.77</v>
      </c>
      <c r="C202" s="5"/>
    </row>
    <row r="203" spans="1:3" x14ac:dyDescent="0.25">
      <c r="A203" s="3" t="s">
        <v>199</v>
      </c>
      <c r="B203" s="4">
        <f>1730.87</f>
        <v>1730.87</v>
      </c>
      <c r="C203" s="5"/>
    </row>
    <row r="204" spans="1:3" x14ac:dyDescent="0.25">
      <c r="A204" s="3" t="s">
        <v>200</v>
      </c>
      <c r="B204" s="4">
        <f>2567.2</f>
        <v>2567.1999999999998</v>
      </c>
      <c r="C204" s="5"/>
    </row>
    <row r="205" spans="1:3" x14ac:dyDescent="0.25">
      <c r="A205" s="3" t="s">
        <v>201</v>
      </c>
      <c r="B205" s="4">
        <f>59.6</f>
        <v>59.6</v>
      </c>
      <c r="C205" s="5"/>
    </row>
    <row r="206" spans="1:3" x14ac:dyDescent="0.25">
      <c r="A206" s="3" t="s">
        <v>202</v>
      </c>
      <c r="B206" s="4">
        <f>2985.29</f>
        <v>2985.29</v>
      </c>
      <c r="C206" s="5"/>
    </row>
    <row r="207" spans="1:3" x14ac:dyDescent="0.25">
      <c r="A207" s="3" t="s">
        <v>203</v>
      </c>
      <c r="B207" s="4">
        <f>62672.65</f>
        <v>62672.65</v>
      </c>
      <c r="C207" s="5"/>
    </row>
    <row r="208" spans="1:3" x14ac:dyDescent="0.25">
      <c r="A208" s="3" t="s">
        <v>204</v>
      </c>
      <c r="B208" s="4">
        <f>21667.47</f>
        <v>21667.47</v>
      </c>
      <c r="C208" s="5"/>
    </row>
    <row r="209" spans="1:3" x14ac:dyDescent="0.25">
      <c r="A209" s="3" t="s">
        <v>205</v>
      </c>
      <c r="B209" s="4">
        <f>30000</f>
        <v>30000</v>
      </c>
      <c r="C209" s="5"/>
    </row>
    <row r="210" spans="1:3" x14ac:dyDescent="0.25">
      <c r="A210" s="3" t="s">
        <v>206</v>
      </c>
      <c r="B210" s="4">
        <f>5867.05</f>
        <v>5867.05</v>
      </c>
      <c r="C210" s="5"/>
    </row>
    <row r="211" spans="1:3" x14ac:dyDescent="0.25">
      <c r="A211" s="3" t="s">
        <v>207</v>
      </c>
      <c r="B211" s="4">
        <f>1560.6</f>
        <v>1560.6</v>
      </c>
      <c r="C211" s="5"/>
    </row>
    <row r="212" spans="1:3" x14ac:dyDescent="0.25">
      <c r="A212" s="3" t="s">
        <v>208</v>
      </c>
      <c r="B212" s="4">
        <f>6480.52</f>
        <v>6480.52</v>
      </c>
      <c r="C212" s="5"/>
    </row>
    <row r="213" spans="1:3" x14ac:dyDescent="0.25">
      <c r="A213" s="3" t="s">
        <v>209</v>
      </c>
      <c r="B213" s="4">
        <f>1720.93</f>
        <v>1720.93</v>
      </c>
      <c r="C213" s="5"/>
    </row>
    <row r="214" spans="1:3" x14ac:dyDescent="0.25">
      <c r="A214" s="3" t="s">
        <v>210</v>
      </c>
      <c r="B214" s="4">
        <f>8365.69</f>
        <v>8365.69</v>
      </c>
      <c r="C214" s="5"/>
    </row>
    <row r="215" spans="1:3" x14ac:dyDescent="0.25">
      <c r="A215" s="3" t="s">
        <v>211</v>
      </c>
      <c r="B215" s="4">
        <f>14635.87</f>
        <v>14635.87</v>
      </c>
      <c r="C215" s="5"/>
    </row>
    <row r="216" spans="1:3" x14ac:dyDescent="0.25">
      <c r="A216" s="3" t="s">
        <v>212</v>
      </c>
      <c r="B216" s="4">
        <f>9224.54</f>
        <v>9224.5400000000009</v>
      </c>
      <c r="C216" s="5"/>
    </row>
    <row r="217" spans="1:3" x14ac:dyDescent="0.25">
      <c r="A217" s="3" t="s">
        <v>213</v>
      </c>
      <c r="B217" s="4">
        <f>5413.55</f>
        <v>5413.55</v>
      </c>
      <c r="C217" s="5"/>
    </row>
    <row r="218" spans="1:3" x14ac:dyDescent="0.25">
      <c r="A218" s="3" t="s">
        <v>214</v>
      </c>
      <c r="B218" s="4">
        <f>36577.31</f>
        <v>36577.31</v>
      </c>
      <c r="C218" s="5"/>
    </row>
    <row r="219" spans="1:3" x14ac:dyDescent="0.25">
      <c r="A219" s="3" t="s">
        <v>215</v>
      </c>
      <c r="B219" s="4">
        <f>37174.84</f>
        <v>37174.839999999997</v>
      </c>
      <c r="C219" s="5"/>
    </row>
    <row r="220" spans="1:3" x14ac:dyDescent="0.25">
      <c r="A220" s="3" t="s">
        <v>216</v>
      </c>
      <c r="B220" s="4">
        <f>28.1</f>
        <v>28.1</v>
      </c>
      <c r="C220" s="5"/>
    </row>
    <row r="221" spans="1:3" x14ac:dyDescent="0.25">
      <c r="A221" s="3" t="s">
        <v>217</v>
      </c>
      <c r="B221" s="4">
        <f>798356.13</f>
        <v>798356.13</v>
      </c>
      <c r="C221" s="5"/>
    </row>
    <row r="222" spans="1:3" x14ac:dyDescent="0.25">
      <c r="A222" s="3" t="s">
        <v>218</v>
      </c>
      <c r="B222" s="4">
        <f>6680</f>
        <v>6680</v>
      </c>
      <c r="C222" s="5"/>
    </row>
    <row r="223" spans="1:3" x14ac:dyDescent="0.25">
      <c r="A223" s="3" t="s">
        <v>219</v>
      </c>
      <c r="B223" s="4">
        <f>4639.87</f>
        <v>4639.87</v>
      </c>
      <c r="C223" s="5"/>
    </row>
    <row r="224" spans="1:3" x14ac:dyDescent="0.25">
      <c r="A224" s="3" t="s">
        <v>220</v>
      </c>
      <c r="B224" s="4">
        <f>0</f>
        <v>0</v>
      </c>
      <c r="C224" s="5"/>
    </row>
    <row r="225" spans="1:3" x14ac:dyDescent="0.25">
      <c r="A225" s="3" t="s">
        <v>221</v>
      </c>
      <c r="B225" s="5"/>
      <c r="C225" s="4">
        <f>4049</f>
        <v>4049</v>
      </c>
    </row>
    <row r="226" spans="1:3" x14ac:dyDescent="0.25">
      <c r="A226" s="3" t="s">
        <v>222</v>
      </c>
      <c r="B226" s="5"/>
      <c r="C226" s="4">
        <f>2265.48</f>
        <v>2265.48</v>
      </c>
    </row>
    <row r="227" spans="1:3" x14ac:dyDescent="0.25">
      <c r="A227" s="3" t="s">
        <v>223</v>
      </c>
      <c r="B227" s="5"/>
      <c r="C227" s="4">
        <f>7364.58</f>
        <v>7364.58</v>
      </c>
    </row>
    <row r="228" spans="1:3" x14ac:dyDescent="0.25">
      <c r="A228" s="3" t="s">
        <v>224</v>
      </c>
      <c r="B228" s="5"/>
      <c r="C228" s="4">
        <f>1118.8</f>
        <v>1118.8</v>
      </c>
    </row>
    <row r="229" spans="1:3" x14ac:dyDescent="0.25">
      <c r="A229" s="3" t="s">
        <v>225</v>
      </c>
      <c r="B229" s="6">
        <f>((((((((((((((((((((((((((((((((((((((((((((((((((((((((((((((((((((((((((((((((((((((((((((((((((((((((((((((((((((((((((((((((((((((((((((((((((((((((((((((((((((((((((((((((((((((((((((((((((((((((((((((((((((((((((((((B6)+(B7))+(B8))+(B9))+(B10)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)+(B88))+(B89))+(B90))+(B91))+(B92))+(B93))+(B94))+(B95))+(B96))+(B97))+(B98))+(B99))+(B100))+(B101))+(B102))+(B103))+(B104))+(B105))+(B106))+(B107))+(B108))+(B109))+(B110))+(B111))+(B112))+(B113))+(B114))+(B115))+(B116))+(B117))+(B118))+(B119))+(B120))+(B121))+(B122))+(B123))+(B124))+(B125))+(B126))+(B127))+(B128))+(B129))+(B130))+(B131))+(B132))+(B133))+(B134))+(B135))+(B136))+(B137))+(B138))+(B139))+(B140))+(B141))+(B142))+(B143))+(B144))+(B145))+(B146))+(B147))+(B148))+(B149))+(B150))+(B151))+(B152))+(B153))+(B154))+(B155))+(B156))+(B157))+(B158))+(B159))+(B160))+(B161))+(B162))+(B163))+(B164))+(B165))+(B166))+(B167))+(B168))+(B169))+(B170))+(B171))+(B172))+(B173))+(B174))+(B175))+(B176))+(B177))+(B178))+(B179))+(B180))+(B181))+(B182))+(B183))+(B184))+(B185))+(B186))+(B187))+(B188))+(B189))+(B190))+(B191))+(B192))+(B193))+(B194))+(B195))+(B196))+(B197))+(B198))+(B199))+(B200))+(B201))+(B202))+(B203))+(B204))+(B205))+(B206))+(B207))+(B208))+(B209))+(B210))+(B211))+(B212))+(B213))+(B214))+(B215))+(B216))+(B217))+(B218))+(B219))+(B220))+(B221))+(B222))+(B223))+(B224))+(B225))+(B226))+(B227))+(B228)</f>
        <v>46869503.969999999</v>
      </c>
      <c r="C229" s="6">
        <f>((((((((((((((((((((((((((((((((((((((((((((((((((((((((((((((((((((((((((((((((((((((((((((((((((((((((((((((((((((((((((((((((((((((((((((((((((((((((((((((((((((((((((((((((((((((((((((((((((((((((((((((((((((((((((((((C6)+(C7))+(C8))+(C9))+(C10))+(C11))+(C12))+(C13))+(C14))+(C15))+(C16))+(C17))+(C18))+(C19))+(C20))+(C21))+(C22))+(C23)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)+(C87))+(C88))+(C89))+(C90))+(C91))+(C92))+(C93))+(C94))+(C95))+(C96))+(C97))+(C98))+(C99))+(C100))+(C101))+(C102))+(C103))+(C104))+(C105))+(C106))+(C107))+(C108))+(C109))+(C110))+(C111))+(C112))+(C113))+(C114))+(C115))+(C116))+(C117))+(C118))+(C119))+(C120))+(C121))+(C122))+(C123))+(C124))+(C125))+(C126))+(C127))+(C128))+(C129))+(C130))+(C131))+(C132))+(C133))+(C134))+(C135))+(C136))+(C137))+(C138))+(C139))+(C140))+(C141))+(C142))+(C143))+(C144))+(C145))+(C146))+(C147))+(C148))+(C149))+(C150))+(C151))+(C152))+(C153))+(C154))+(C155))+(C156))+(C157))+(C158))+(C159))+(C160))+(C161))+(C162))+(C163))+(C164))+(C165))+(C166))+(C167))+(C168))+(C169))+(C170))+(C171))+(C172))+(C173))+(C174))+(C175))+(C176))+(C177))+(C178))+(C179))+(C180))+(C181))+(C182))+(C183))+(C184))+(C185))+(C186))+(C187))+(C188))+(C189))+(C190))+(C191))+(C192))+(C193))+(C194))+(C195))+(C196))+(C197))+(C198))+(C199))+(C200))+(C201))+(C202))+(C203))+(C204))+(C205))+(C206))+(C207))+(C208))+(C209))+(C210))+(C211))+(C212))+(C213))+(C214))+(C215))+(C216))+(C217))+(C218))+(C219))+(C220))+(C221))+(C222))+(C223))+(C224))+(C225))+(C226))+(C227))+(C228)</f>
        <v>46869503.969999991</v>
      </c>
    </row>
    <row r="230" spans="1:3" x14ac:dyDescent="0.25">
      <c r="A230" s="3"/>
      <c r="B230" s="5"/>
      <c r="C230" s="5"/>
    </row>
    <row r="233" spans="1:3" x14ac:dyDescent="0.25">
      <c r="A233" s="7" t="s">
        <v>226</v>
      </c>
      <c r="B233" s="8"/>
      <c r="C233" s="8"/>
    </row>
  </sheetData>
  <mergeCells count="4">
    <mergeCell ref="A233:C233"/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Trial 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L.J. Turner</cp:lastModifiedBy>
  <dcterms:created xsi:type="dcterms:W3CDTF">2024-03-05T17:06:18Z</dcterms:created>
  <dcterms:modified xsi:type="dcterms:W3CDTF">2024-03-05T17:06:47Z</dcterms:modified>
</cp:coreProperties>
</file>