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C5948034-C771-4C1E-A351-B89C76B70F84}" xr6:coauthVersionLast="47" xr6:coauthVersionMax="47" xr10:uidLastSave="{00000000-0000-0000-0000-000000000000}"/>
  <bookViews>
    <workbookView xWindow="-98" yWindow="-98" windowWidth="20715" windowHeight="13155" activeTab="8" xr2:uid="{00000000-000D-0000-FFFF-FFFF00000000}"/>
  </bookViews>
  <sheets>
    <sheet name="SAO" sheetId="3" r:id="rId1"/>
    <sheet name="Adj" sheetId="16" r:id="rId2"/>
    <sheet name="DeprAdj" sheetId="1" r:id="rId3"/>
    <sheet name="DSch" sheetId="5" r:id="rId4"/>
    <sheet name="Al_Dep" sheetId="20" r:id="rId5"/>
    <sheet name="AlocOM" sheetId="17" r:id="rId6"/>
    <sheet name="AlocSum" sheetId="18" r:id="rId7"/>
    <sheet name="CalcRates" sheetId="19" r:id="rId8"/>
    <sheet name="Rates" sheetId="2" r:id="rId9"/>
    <sheet name="Bills" sheetId="21" r:id="rId10"/>
    <sheet name="ExBA" sheetId="10" r:id="rId11"/>
    <sheet name="PropBA" sheetId="15" r:id="rId12"/>
  </sheets>
  <definedNames>
    <definedName name="_xlnm.Print_Area" localSheetId="4">Al_Dep!$C$1:$H$24</definedName>
    <definedName name="_xlnm.Print_Area" localSheetId="5">AlocOM!$B$2:$I$33</definedName>
    <definedName name="_xlnm.Print_Area" localSheetId="6">AlocSum!$B$1:$H$18</definedName>
    <definedName name="_xlnm.Print_Area" localSheetId="9">Bills!$B$3:$M$25</definedName>
    <definedName name="_xlnm.Print_Area" localSheetId="7">CalcRates!$A$1:$H$30</definedName>
    <definedName name="_xlnm.Print_Area" localSheetId="2">DeprAdj!$B$2:$L$56</definedName>
    <definedName name="_xlnm.Print_Area" localSheetId="3">DSch!#REF!</definedName>
    <definedName name="_xlnm.Print_Area" localSheetId="10">ExBA!#REF!</definedName>
    <definedName name="_xlnm.Print_Area" localSheetId="8">Rates!$B$2:$N$19</definedName>
    <definedName name="_xlnm.Print_Area" localSheetId="0">SAO!$A$1:$G$52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1" l="1"/>
  <c r="D11" i="21"/>
  <c r="O25" i="16"/>
  <c r="Q25" i="16" s="1"/>
  <c r="O23" i="16"/>
  <c r="Q23" i="16" s="1"/>
  <c r="Q27" i="16" l="1"/>
  <c r="E18" i="3" s="1"/>
  <c r="O27" i="16"/>
  <c r="D17" i="15" l="1"/>
  <c r="C17" i="15"/>
  <c r="Q20" i="15"/>
  <c r="P20" i="15"/>
  <c r="L17" i="15"/>
  <c r="U16" i="10"/>
  <c r="T16" i="10"/>
  <c r="B26" i="15"/>
  <c r="B25" i="15"/>
  <c r="E17" i="15"/>
  <c r="I17" i="15" s="1"/>
  <c r="H16" i="15"/>
  <c r="G16" i="15"/>
  <c r="F16" i="15"/>
  <c r="E16" i="15"/>
  <c r="D15" i="18" l="1"/>
  <c r="K30" i="1" l="1"/>
  <c r="F19" i="17"/>
  <c r="E19" i="17"/>
  <c r="E16" i="17"/>
  <c r="D17" i="17"/>
  <c r="E17" i="17" s="1"/>
  <c r="L15" i="5"/>
  <c r="L14" i="5"/>
  <c r="L13" i="5"/>
  <c r="L12" i="5"/>
  <c r="L11" i="5"/>
  <c r="K15" i="5"/>
  <c r="K14" i="5"/>
  <c r="K13" i="5"/>
  <c r="K12" i="5"/>
  <c r="L17" i="5" l="1"/>
  <c r="M14" i="5"/>
  <c r="J17" i="5"/>
  <c r="I17" i="5"/>
  <c r="H17" i="5"/>
  <c r="G17" i="5"/>
  <c r="F15" i="5"/>
  <c r="F14" i="5"/>
  <c r="F13" i="5"/>
  <c r="E15" i="5"/>
  <c r="F12" i="5"/>
  <c r="E12" i="5"/>
  <c r="M12" i="5" s="1"/>
  <c r="F11" i="5"/>
  <c r="E11" i="5"/>
  <c r="D17" i="5"/>
  <c r="C17" i="5"/>
  <c r="P17" i="5" l="1"/>
  <c r="G7" i="15"/>
  <c r="M11" i="5"/>
  <c r="K17" i="5"/>
  <c r="M15" i="5"/>
  <c r="F17" i="5"/>
  <c r="M13" i="5"/>
  <c r="E17" i="5"/>
  <c r="H52" i="1"/>
  <c r="F52" i="1"/>
  <c r="J52" i="1" s="1"/>
  <c r="H49" i="1"/>
  <c r="F49" i="1"/>
  <c r="J49" i="1" s="1"/>
  <c r="D20" i="20" s="1"/>
  <c r="H46" i="1"/>
  <c r="F46" i="1"/>
  <c r="J46" i="1" s="1"/>
  <c r="D19" i="20" s="1"/>
  <c r="H43" i="1"/>
  <c r="F43" i="1"/>
  <c r="H39" i="1"/>
  <c r="H40" i="1" s="1"/>
  <c r="J39" i="1"/>
  <c r="F39" i="1"/>
  <c r="F40" i="1"/>
  <c r="J40" i="1" s="1"/>
  <c r="H36" i="1"/>
  <c r="F36" i="1"/>
  <c r="H33" i="1"/>
  <c r="F33" i="1"/>
  <c r="J33" i="1" s="1"/>
  <c r="D15" i="20" s="1"/>
  <c r="G15" i="20" s="1"/>
  <c r="H29" i="1"/>
  <c r="F29" i="1"/>
  <c r="H26" i="1"/>
  <c r="F23" i="1"/>
  <c r="J23" i="1" s="1"/>
  <c r="H23" i="1"/>
  <c r="J22" i="1"/>
  <c r="H22" i="1"/>
  <c r="H19" i="1"/>
  <c r="H18" i="1"/>
  <c r="F19" i="1"/>
  <c r="J19" i="1" s="1"/>
  <c r="F18" i="1"/>
  <c r="J15" i="1"/>
  <c r="J14" i="1"/>
  <c r="J13" i="1"/>
  <c r="H15" i="1"/>
  <c r="H14" i="1"/>
  <c r="H13" i="1"/>
  <c r="H10" i="1"/>
  <c r="R50" i="10"/>
  <c r="Q50" i="10"/>
  <c r="R46" i="10"/>
  <c r="Q46" i="10"/>
  <c r="R44" i="10"/>
  <c r="Q44" i="10"/>
  <c r="R24" i="10"/>
  <c r="R20" i="10"/>
  <c r="U20" i="10" s="1"/>
  <c r="D19" i="15" s="1"/>
  <c r="R18" i="10"/>
  <c r="Q24" i="10"/>
  <c r="T24" i="10" s="1"/>
  <c r="C20" i="15" s="1"/>
  <c r="Q20" i="10"/>
  <c r="Q18" i="10"/>
  <c r="T18" i="10" s="1"/>
  <c r="I10" i="10"/>
  <c r="T20" i="10" l="1"/>
  <c r="C19" i="15" s="1"/>
  <c r="C18" i="15"/>
  <c r="G20" i="15"/>
  <c r="F20" i="15"/>
  <c r="E20" i="15"/>
  <c r="U18" i="10"/>
  <c r="U24" i="10"/>
  <c r="D20" i="15" s="1"/>
  <c r="G8" i="15"/>
  <c r="J29" i="1"/>
  <c r="D14" i="20" s="1"/>
  <c r="H55" i="1"/>
  <c r="D10" i="20"/>
  <c r="D12" i="20"/>
  <c r="D17" i="20"/>
  <c r="G17" i="20" s="1"/>
  <c r="H17" i="20" s="1"/>
  <c r="H27" i="20" s="1"/>
  <c r="K52" i="1"/>
  <c r="D21" i="20"/>
  <c r="M17" i="5"/>
  <c r="M20" i="5" s="1"/>
  <c r="C26" i="5"/>
  <c r="C27" i="5" s="1"/>
  <c r="C28" i="5" s="1"/>
  <c r="C29" i="5" s="1"/>
  <c r="K39" i="1"/>
  <c r="K49" i="1"/>
  <c r="K40" i="1"/>
  <c r="K29" i="1"/>
  <c r="K46" i="1"/>
  <c r="K33" i="1"/>
  <c r="K14" i="1"/>
  <c r="K23" i="1"/>
  <c r="K19" i="1"/>
  <c r="K22" i="1"/>
  <c r="K13" i="1"/>
  <c r="K15" i="1"/>
  <c r="E10" i="3"/>
  <c r="E18" i="15" l="1"/>
  <c r="C21" i="15"/>
  <c r="C25" i="15" s="1"/>
  <c r="E19" i="15"/>
  <c r="F19" i="15"/>
  <c r="G19" i="15" s="1"/>
  <c r="G21" i="15" s="1"/>
  <c r="H20" i="15"/>
  <c r="H21" i="15" s="1"/>
  <c r="G39" i="3"/>
  <c r="M22" i="5"/>
  <c r="G40" i="3" s="1"/>
  <c r="D18" i="15"/>
  <c r="D21" i="15" s="1"/>
  <c r="U26" i="10"/>
  <c r="C10" i="19" s="1"/>
  <c r="T26" i="10"/>
  <c r="K50" i="10"/>
  <c r="B62" i="10"/>
  <c r="B61" i="10"/>
  <c r="B60" i="10"/>
  <c r="B59" i="10"/>
  <c r="B58" i="10"/>
  <c r="B57" i="10"/>
  <c r="B56" i="10"/>
  <c r="B55" i="10"/>
  <c r="D51" i="10"/>
  <c r="C51" i="10"/>
  <c r="C55" i="10" s="1"/>
  <c r="J49" i="10"/>
  <c r="I49" i="10"/>
  <c r="H47" i="10"/>
  <c r="E43" i="10"/>
  <c r="M43" i="10" s="1"/>
  <c r="L42" i="10"/>
  <c r="K42" i="10"/>
  <c r="J42" i="10"/>
  <c r="I42" i="10"/>
  <c r="H42" i="10"/>
  <c r="G42" i="10"/>
  <c r="F42" i="10"/>
  <c r="E42" i="10"/>
  <c r="B35" i="10"/>
  <c r="B34" i="10"/>
  <c r="B33" i="10"/>
  <c r="B32" i="10"/>
  <c r="K16" i="10"/>
  <c r="K24" i="10" s="1"/>
  <c r="J16" i="10"/>
  <c r="J23" i="10" s="1"/>
  <c r="I16" i="10"/>
  <c r="I24" i="10" s="1"/>
  <c r="H16" i="10"/>
  <c r="H24" i="10" s="1"/>
  <c r="D10" i="18" l="1"/>
  <c r="F18" i="15"/>
  <c r="E21" i="15"/>
  <c r="H48" i="10"/>
  <c r="I20" i="15"/>
  <c r="F10" i="19"/>
  <c r="D27" i="15"/>
  <c r="D28" i="15"/>
  <c r="G10" i="19"/>
  <c r="I19" i="15"/>
  <c r="H49" i="10"/>
  <c r="D22" i="19"/>
  <c r="C29" i="15"/>
  <c r="I48" i="10"/>
  <c r="J50" i="10"/>
  <c r="H50" i="10"/>
  <c r="I50" i="10"/>
  <c r="C63" i="10"/>
  <c r="G8" i="10" s="1"/>
  <c r="F55" i="10"/>
  <c r="J24" i="10"/>
  <c r="H21" i="10"/>
  <c r="H22" i="10"/>
  <c r="H23" i="10"/>
  <c r="I22" i="10"/>
  <c r="I23" i="10"/>
  <c r="O7" i="16"/>
  <c r="D10" i="19" l="1"/>
  <c r="D25" i="15"/>
  <c r="I18" i="15"/>
  <c r="I21" i="15" s="1"/>
  <c r="F21" i="15"/>
  <c r="D22" i="3"/>
  <c r="D27" i="3" s="1"/>
  <c r="D31" i="3" s="1"/>
  <c r="F10" i="18"/>
  <c r="J10" i="18" s="1"/>
  <c r="L21" i="17"/>
  <c r="H15" i="17"/>
  <c r="L15" i="17" s="1"/>
  <c r="F12" i="20"/>
  <c r="J43" i="1"/>
  <c r="J36" i="1"/>
  <c r="D16" i="20" s="1"/>
  <c r="G16" i="20" s="1"/>
  <c r="G27" i="20" s="1"/>
  <c r="J26" i="1"/>
  <c r="J18" i="1"/>
  <c r="J10" i="1"/>
  <c r="Q7" i="16"/>
  <c r="Q9" i="16" s="1"/>
  <c r="E17" i="10"/>
  <c r="M17" i="10" s="1"/>
  <c r="C25" i="10"/>
  <c r="C29" i="10" s="1"/>
  <c r="E16" i="10"/>
  <c r="F16" i="10"/>
  <c r="G16" i="10"/>
  <c r="L16" i="10"/>
  <c r="B29" i="10"/>
  <c r="B30" i="10"/>
  <c r="B31" i="10"/>
  <c r="B36" i="10"/>
  <c r="E24" i="10"/>
  <c r="G16" i="3"/>
  <c r="D11" i="17" s="1"/>
  <c r="H11" i="17" s="1"/>
  <c r="L11" i="17" s="1"/>
  <c r="H15" i="16"/>
  <c r="I15" i="16" s="1"/>
  <c r="I17" i="16" s="1"/>
  <c r="H12" i="16"/>
  <c r="D11" i="3"/>
  <c r="G33" i="3"/>
  <c r="G9" i="3"/>
  <c r="G8" i="3"/>
  <c r="G23" i="3"/>
  <c r="D18" i="17" s="1"/>
  <c r="G10" i="3"/>
  <c r="D14" i="18" s="1"/>
  <c r="G24" i="3"/>
  <c r="D19" i="17" s="1"/>
  <c r="G25" i="3"/>
  <c r="D20" i="17" s="1"/>
  <c r="G20" i="17" s="1"/>
  <c r="L20" i="17" s="1"/>
  <c r="G26" i="3"/>
  <c r="D21" i="17" s="1"/>
  <c r="D26" i="15" l="1"/>
  <c r="E10" i="19"/>
  <c r="J10" i="19" s="1"/>
  <c r="G24" i="10"/>
  <c r="G49" i="10"/>
  <c r="G47" i="10"/>
  <c r="G48" i="10"/>
  <c r="G46" i="10"/>
  <c r="H46" i="10" s="1"/>
  <c r="H51" i="10" s="1"/>
  <c r="D58" i="10" s="1"/>
  <c r="F58" i="10" s="1"/>
  <c r="G50" i="10"/>
  <c r="F19" i="10"/>
  <c r="F48" i="10"/>
  <c r="F47" i="10"/>
  <c r="F46" i="10"/>
  <c r="F49" i="10"/>
  <c r="F45" i="10"/>
  <c r="F50" i="10"/>
  <c r="D29" i="15"/>
  <c r="D11" i="19"/>
  <c r="D14" i="19"/>
  <c r="E47" i="10"/>
  <c r="E49" i="10"/>
  <c r="E46" i="10"/>
  <c r="E44" i="10"/>
  <c r="E45" i="10"/>
  <c r="E48" i="10"/>
  <c r="E50" i="10"/>
  <c r="J21" i="15"/>
  <c r="K43" i="1"/>
  <c r="D18" i="20"/>
  <c r="D9" i="20"/>
  <c r="F9" i="20" s="1"/>
  <c r="J55" i="1"/>
  <c r="F14" i="20"/>
  <c r="D13" i="20"/>
  <c r="E13" i="20" s="1"/>
  <c r="K18" i="1"/>
  <c r="D11" i="20"/>
  <c r="F11" i="20" s="1"/>
  <c r="K26" i="1"/>
  <c r="Q12" i="16"/>
  <c r="Q14" i="16" s="1"/>
  <c r="E17" i="3" s="1"/>
  <c r="G18" i="3" s="1"/>
  <c r="E15" i="3"/>
  <c r="G15" i="3" s="1"/>
  <c r="G16" i="16"/>
  <c r="E20" i="3"/>
  <c r="G20" i="3" s="1"/>
  <c r="D13" i="17" s="1"/>
  <c r="E13" i="17" s="1"/>
  <c r="E19" i="3"/>
  <c r="G21" i="3"/>
  <c r="D14" i="17" s="1"/>
  <c r="F14" i="17" s="1"/>
  <c r="L14" i="17" s="1"/>
  <c r="E23" i="10"/>
  <c r="E22" i="10"/>
  <c r="E21" i="10"/>
  <c r="E20" i="10"/>
  <c r="G23" i="10"/>
  <c r="G22" i="10"/>
  <c r="G21" i="10"/>
  <c r="G20" i="10"/>
  <c r="F24" i="10"/>
  <c r="L24" i="10" s="1"/>
  <c r="L25" i="10" s="1"/>
  <c r="D36" i="10" s="1"/>
  <c r="F36" i="10" s="1"/>
  <c r="F23" i="10"/>
  <c r="F21" i="10"/>
  <c r="F20" i="10"/>
  <c r="F22" i="10"/>
  <c r="E19" i="10"/>
  <c r="G13" i="18"/>
  <c r="D13" i="18" s="1"/>
  <c r="K10" i="1"/>
  <c r="C37" i="10"/>
  <c r="F29" i="10"/>
  <c r="K36" i="1"/>
  <c r="E10" i="20"/>
  <c r="G43" i="3"/>
  <c r="Q17" i="16"/>
  <c r="Q19" i="16" s="1"/>
  <c r="E18" i="10"/>
  <c r="D25" i="10"/>
  <c r="D32" i="3"/>
  <c r="D34" i="3" s="1"/>
  <c r="G22" i="3"/>
  <c r="M46" i="10" l="1"/>
  <c r="G45" i="10"/>
  <c r="G51" i="10" s="1"/>
  <c r="D57" i="10" s="1"/>
  <c r="F57" i="10" s="1"/>
  <c r="K49" i="10"/>
  <c r="K51" i="10" s="1"/>
  <c r="D61" i="10" s="1"/>
  <c r="F61" i="10" s="1"/>
  <c r="M45" i="10"/>
  <c r="K55" i="1"/>
  <c r="E29" i="3" s="1"/>
  <c r="M47" i="10"/>
  <c r="L50" i="10"/>
  <c r="L51" i="10" s="1"/>
  <c r="D62" i="10" s="1"/>
  <c r="F62" i="10" s="1"/>
  <c r="I47" i="10"/>
  <c r="I51" i="10" s="1"/>
  <c r="D59" i="10" s="1"/>
  <c r="F59" i="10" s="1"/>
  <c r="F44" i="10"/>
  <c r="F51" i="10" s="1"/>
  <c r="D56" i="10" s="1"/>
  <c r="F56" i="10" s="1"/>
  <c r="E51" i="10"/>
  <c r="M44" i="10"/>
  <c r="G7" i="10"/>
  <c r="C67" i="10"/>
  <c r="J48" i="10"/>
  <c r="J51" i="10" s="1"/>
  <c r="D60" i="10" s="1"/>
  <c r="F60" i="10" s="1"/>
  <c r="M48" i="10"/>
  <c r="E27" i="20"/>
  <c r="F27" i="20"/>
  <c r="D27" i="20"/>
  <c r="E28" i="20" s="1"/>
  <c r="E18" i="20" s="1"/>
  <c r="D9" i="17"/>
  <c r="K9" i="17"/>
  <c r="G19" i="3"/>
  <c r="D12" i="17" s="1"/>
  <c r="E12" i="17" s="1"/>
  <c r="L12" i="17" s="1"/>
  <c r="E30" i="3"/>
  <c r="G30" i="3" s="1"/>
  <c r="D10" i="17" s="1"/>
  <c r="I21" i="10"/>
  <c r="I25" i="10" s="1"/>
  <c r="D33" i="10" s="1"/>
  <c r="F33" i="10" s="1"/>
  <c r="H20" i="10"/>
  <c r="H25" i="10" s="1"/>
  <c r="D32" i="10" s="1"/>
  <c r="F32" i="10" s="1"/>
  <c r="E25" i="10"/>
  <c r="D29" i="10" s="1"/>
  <c r="M24" i="10"/>
  <c r="J22" i="10"/>
  <c r="J25" i="10" s="1"/>
  <c r="D34" i="10" s="1"/>
  <c r="F34" i="10" s="1"/>
  <c r="M23" i="10"/>
  <c r="K23" i="10"/>
  <c r="K25" i="10" s="1"/>
  <c r="D35" i="10" s="1"/>
  <c r="F35" i="10" s="1"/>
  <c r="G19" i="10"/>
  <c r="G25" i="10" s="1"/>
  <c r="J13" i="18"/>
  <c r="G9" i="10"/>
  <c r="D23" i="20"/>
  <c r="F18" i="10"/>
  <c r="M18" i="10" s="1"/>
  <c r="G29" i="3"/>
  <c r="D55" i="10" l="1"/>
  <c r="D63" i="10" s="1"/>
  <c r="H8" i="10" s="1"/>
  <c r="N51" i="10"/>
  <c r="F63" i="10"/>
  <c r="I8" i="10" s="1"/>
  <c r="M49" i="10"/>
  <c r="M50" i="10"/>
  <c r="M51" i="10" s="1"/>
  <c r="F28" i="20"/>
  <c r="F20" i="20" s="1"/>
  <c r="M22" i="10"/>
  <c r="G27" i="3"/>
  <c r="G31" i="3" s="1"/>
  <c r="E20" i="20"/>
  <c r="E21" i="20"/>
  <c r="E19" i="20"/>
  <c r="H28" i="20"/>
  <c r="G28" i="20"/>
  <c r="F9" i="17"/>
  <c r="F10" i="17" s="1"/>
  <c r="E9" i="17"/>
  <c r="E10" i="17" s="1"/>
  <c r="G9" i="17"/>
  <c r="G10" i="17" s="1"/>
  <c r="H9" i="17"/>
  <c r="H10" i="17" s="1"/>
  <c r="F18" i="17"/>
  <c r="M20" i="10"/>
  <c r="M25" i="10" s="1"/>
  <c r="M21" i="10"/>
  <c r="F25" i="10"/>
  <c r="N25" i="10" s="1"/>
  <c r="M19" i="10"/>
  <c r="D31" i="10"/>
  <c r="F31" i="10" s="1"/>
  <c r="L19" i="17"/>
  <c r="F19" i="20" l="1"/>
  <c r="F23" i="20" s="1"/>
  <c r="F22" i="17" s="1"/>
  <c r="F21" i="20"/>
  <c r="F18" i="20"/>
  <c r="E23" i="20"/>
  <c r="E22" i="17" s="1"/>
  <c r="H18" i="20"/>
  <c r="H19" i="20"/>
  <c r="H20" i="20"/>
  <c r="H21" i="20"/>
  <c r="G20" i="20"/>
  <c r="G19" i="20"/>
  <c r="G21" i="20"/>
  <c r="G18" i="20"/>
  <c r="L9" i="17"/>
  <c r="G18" i="17"/>
  <c r="H18" i="17"/>
  <c r="F24" i="17"/>
  <c r="E18" i="17"/>
  <c r="D30" i="10"/>
  <c r="F30" i="10" s="1"/>
  <c r="F37" i="10" s="1"/>
  <c r="I7" i="10" s="1"/>
  <c r="L10" i="17"/>
  <c r="G38" i="3"/>
  <c r="G42" i="3" s="1"/>
  <c r="G47" i="3" s="1"/>
  <c r="F22" i="19"/>
  <c r="F14" i="19"/>
  <c r="G22" i="19"/>
  <c r="G14" i="19"/>
  <c r="I9" i="10" l="1"/>
  <c r="K7" i="10" s="1"/>
  <c r="E24" i="17"/>
  <c r="L18" i="17"/>
  <c r="G23" i="20"/>
  <c r="G22" i="17" s="1"/>
  <c r="G24" i="17" s="1"/>
  <c r="H23" i="20"/>
  <c r="D37" i="10"/>
  <c r="H7" i="10" l="1"/>
  <c r="H9" i="10" s="1"/>
  <c r="D67" i="10"/>
  <c r="I11" i="10"/>
  <c r="G6" i="3" s="1"/>
  <c r="K8" i="10"/>
  <c r="H22" i="17"/>
  <c r="J23" i="20"/>
  <c r="E11" i="19"/>
  <c r="E14" i="19"/>
  <c r="E22" i="19"/>
  <c r="J22" i="19" s="1"/>
  <c r="G48" i="3" l="1"/>
  <c r="G50" i="3" s="1"/>
  <c r="G52" i="3" s="1"/>
  <c r="G11" i="3"/>
  <c r="G32" i="3" s="1"/>
  <c r="G34" i="3" s="1"/>
  <c r="E6" i="3"/>
  <c r="J14" i="19"/>
  <c r="C14" i="19"/>
  <c r="D15" i="19" s="1"/>
  <c r="D22" i="17"/>
  <c r="D24" i="17" s="1"/>
  <c r="H24" i="17"/>
  <c r="L22" i="17"/>
  <c r="F11" i="19"/>
  <c r="G11" i="19"/>
  <c r="E15" i="19" l="1"/>
  <c r="C11" i="19"/>
  <c r="D25" i="17"/>
  <c r="D26" i="17" s="1"/>
  <c r="L24" i="17"/>
  <c r="F15" i="19"/>
  <c r="G15" i="19"/>
  <c r="J15" i="19" l="1"/>
  <c r="F28" i="17"/>
  <c r="E28" i="17"/>
  <c r="G28" i="17"/>
  <c r="G15" i="18" l="1"/>
  <c r="G14" i="18"/>
  <c r="G30" i="17"/>
  <c r="G32" i="17" s="1"/>
  <c r="G9" i="18" s="1"/>
  <c r="F15" i="18"/>
  <c r="F30" i="17"/>
  <c r="F32" i="17" s="1"/>
  <c r="F9" i="18" s="1"/>
  <c r="F14" i="18"/>
  <c r="E15" i="18"/>
  <c r="E14" i="18"/>
  <c r="D28" i="17"/>
  <c r="E30" i="17"/>
  <c r="F11" i="18" l="1"/>
  <c r="F17" i="18" s="1"/>
  <c r="C18" i="19" s="1"/>
  <c r="D18" i="19" s="1"/>
  <c r="G11" i="18"/>
  <c r="G17" i="18" s="1"/>
  <c r="J15" i="18"/>
  <c r="E32" i="17"/>
  <c r="D30" i="17"/>
  <c r="D32" i="17" s="1"/>
  <c r="D9" i="18" s="1"/>
  <c r="D11" i="18" s="1"/>
  <c r="D17" i="18" s="1"/>
  <c r="J14" i="18"/>
  <c r="C19" i="19" l="1"/>
  <c r="D19" i="19" s="1"/>
  <c r="E18" i="19"/>
  <c r="F18" i="19"/>
  <c r="G18" i="19"/>
  <c r="J32" i="17"/>
  <c r="E9" i="18"/>
  <c r="J18" i="19" l="1"/>
  <c r="J9" i="18"/>
  <c r="E11" i="18"/>
  <c r="E17" i="18" l="1"/>
  <c r="J11" i="18"/>
  <c r="C17" i="19" l="1"/>
  <c r="J17" i="18"/>
  <c r="D17" i="19" l="1"/>
  <c r="D20" i="19" s="1"/>
  <c r="D24" i="19" s="1"/>
  <c r="M11" i="2" s="1"/>
  <c r="C20" i="19"/>
  <c r="E17" i="19"/>
  <c r="F17" i="19"/>
  <c r="F20" i="19" s="1"/>
  <c r="F24" i="19" s="1"/>
  <c r="M13" i="2" s="1"/>
  <c r="G17" i="19"/>
  <c r="G20" i="19" s="1"/>
  <c r="G24" i="19" s="1"/>
  <c r="M14" i="2" s="1"/>
  <c r="E11" i="21" l="1"/>
  <c r="J11" i="21" s="1"/>
  <c r="K11" i="21" s="1"/>
  <c r="L11" i="21" s="1"/>
  <c r="J17" i="19"/>
  <c r="M16" i="19"/>
  <c r="E20" i="19"/>
  <c r="J20" i="19" s="1"/>
  <c r="M18" i="19"/>
  <c r="E27" i="15" s="1"/>
  <c r="F27" i="15" s="1"/>
  <c r="M20" i="19"/>
  <c r="E28" i="15" s="1"/>
  <c r="F28" i="15" s="1"/>
  <c r="F11" i="21" l="1"/>
  <c r="G11" i="21" s="1"/>
  <c r="E24" i="19"/>
  <c r="L22" i="19"/>
  <c r="E12" i="21" l="1"/>
  <c r="E13" i="21" s="1"/>
  <c r="E14" i="21" s="1"/>
  <c r="E15" i="21" s="1"/>
  <c r="E16" i="21" s="1"/>
  <c r="E17" i="21" s="1"/>
  <c r="E18" i="21" s="1"/>
  <c r="E19" i="21" s="1"/>
  <c r="E20" i="21" s="1"/>
  <c r="M12" i="2"/>
  <c r="F12" i="21"/>
  <c r="G12" i="21" s="1"/>
  <c r="J12" i="21"/>
  <c r="K12" i="21" s="1"/>
  <c r="L12" i="21" s="1"/>
  <c r="M17" i="19"/>
  <c r="E26" i="15" s="1"/>
  <c r="F26" i="15" s="1"/>
  <c r="E25" i="15"/>
  <c r="F25" i="15" s="1"/>
  <c r="F29" i="15" l="1"/>
  <c r="F13" i="21" l="1"/>
  <c r="G13" i="21" s="1"/>
  <c r="J13" i="21"/>
  <c r="K13" i="21" s="1"/>
  <c r="L13" i="21" s="1"/>
  <c r="F14" i="21" l="1"/>
  <c r="G14" i="21" s="1"/>
  <c r="J14" i="21"/>
  <c r="K14" i="21" s="1"/>
  <c r="L14" i="21" s="1"/>
  <c r="J15" i="21" l="1"/>
  <c r="K15" i="21" s="1"/>
  <c r="L15" i="21" s="1"/>
  <c r="F15" i="21"/>
  <c r="G15" i="21" s="1"/>
  <c r="F16" i="21" l="1"/>
  <c r="G16" i="21" s="1"/>
  <c r="J16" i="21"/>
  <c r="K16" i="21" s="1"/>
  <c r="L16" i="21" s="1"/>
  <c r="F17" i="21" l="1"/>
  <c r="G17" i="21" s="1"/>
  <c r="J17" i="21"/>
  <c r="K17" i="21" s="1"/>
  <c r="L17" i="21" s="1"/>
  <c r="F18" i="21" l="1"/>
  <c r="G18" i="21" s="1"/>
  <c r="J18" i="21"/>
  <c r="K18" i="21" s="1"/>
  <c r="L18" i="21" s="1"/>
  <c r="F19" i="21" l="1"/>
  <c r="G19" i="21" s="1"/>
  <c r="J19" i="21"/>
  <c r="K19" i="21" s="1"/>
  <c r="L19" i="21" s="1"/>
  <c r="F20" i="21" l="1"/>
  <c r="G20" i="21" s="1"/>
  <c r="J20" i="21"/>
  <c r="K20" i="21" l="1"/>
  <c r="L20" i="21" s="1"/>
  <c r="J21" i="21"/>
  <c r="J22" i="21" l="1"/>
  <c r="K21" i="21"/>
  <c r="L21" i="21" s="1"/>
  <c r="J23" i="21" l="1"/>
  <c r="K22" i="21"/>
  <c r="L22" i="21" s="1"/>
  <c r="J24" i="21" l="1"/>
  <c r="K24" i="21" s="1"/>
  <c r="L24" i="21" s="1"/>
  <c r="K23" i="21"/>
  <c r="L23" i="21" s="1"/>
</calcChain>
</file>

<file path=xl/sharedStrings.xml><?xml version="1.0" encoding="utf-8"?>
<sst xmlns="http://schemas.openxmlformats.org/spreadsheetml/2006/main" count="513" uniqueCount="283">
  <si>
    <t>Table B</t>
  </si>
  <si>
    <t>DEPRECIATION EXPENSE ADJUSTMENTS</t>
  </si>
  <si>
    <t>Asset</t>
  </si>
  <si>
    <t>TOTALS</t>
  </si>
  <si>
    <t>Date in</t>
  </si>
  <si>
    <t>Service</t>
  </si>
  <si>
    <t>various</t>
  </si>
  <si>
    <t>Original</t>
  </si>
  <si>
    <t>Cost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</si>
  <si>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</si>
  <si>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</si>
  <si>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</si>
  <si>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</si>
  <si>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</si>
  <si>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</si>
  <si>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</si>
  <si>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</si>
  <si>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Plus:</t>
  </si>
  <si>
    <t>Less:</t>
  </si>
  <si>
    <t>Revenue Required From Retail Rates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</si>
  <si>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</si>
  <si>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</si>
  <si>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</si>
  <si>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</si>
  <si>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</si>
  <si>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</si>
  <si>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</si>
  <si>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</si>
  <si>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</si>
  <si>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</si>
  <si>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Power</t>
  </si>
  <si>
    <t>Contractual Services</t>
  </si>
  <si>
    <t>Bad Debt Expense</t>
  </si>
  <si>
    <t>Miscellaneous Expenses</t>
  </si>
  <si>
    <t>Additional Working Capital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</si>
  <si>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</si>
  <si>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</si>
  <si>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</si>
  <si>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</si>
  <si>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</si>
  <si>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</si>
  <si>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</si>
  <si>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Other Water Revenues</t>
  </si>
  <si>
    <t>Forfeited Discounts</t>
  </si>
  <si>
    <t>Misc. Service Revenues</t>
  </si>
  <si>
    <t>Other Water Revenues:</t>
  </si>
  <si>
    <t>Depreciation</t>
  </si>
  <si>
    <t>Expense</t>
  </si>
  <si>
    <t>a.</t>
  </si>
  <si>
    <t>DEBT SERVICE SCHDULE</t>
  </si>
  <si>
    <t>Principal</t>
  </si>
  <si>
    <t>Interest</t>
  </si>
  <si>
    <t>Totals</t>
  </si>
  <si>
    <t>REVENUE REQUIREMENTS</t>
  </si>
  <si>
    <t>c.</t>
  </si>
  <si>
    <t>Table A</t>
  </si>
  <si>
    <t>e.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</si>
  <si>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</si>
  <si>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</si>
  <si>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</si>
  <si>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</si>
  <si>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</si>
  <si>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</si>
  <si>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</si>
  <si>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</si>
  <si>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</si>
  <si>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</si>
  <si>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</si>
  <si>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</si>
  <si>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</si>
  <si>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Proposed</t>
  </si>
  <si>
    <t>Increase</t>
  </si>
  <si>
    <t>Total Utility Operating Income</t>
  </si>
  <si>
    <t>Entire Group</t>
  </si>
  <si>
    <t>Reported</t>
  </si>
  <si>
    <t>f.</t>
  </si>
  <si>
    <t>g.</t>
  </si>
  <si>
    <t>Existing</t>
  </si>
  <si>
    <t>h.</t>
  </si>
  <si>
    <t>Change</t>
  </si>
  <si>
    <t>Interest Income</t>
  </si>
  <si>
    <t>CERS Contribution Increase</t>
  </si>
  <si>
    <t>Water Loss Adjustment:</t>
  </si>
  <si>
    <t>Capitalized Expense Adjustments:</t>
  </si>
  <si>
    <t>Produced &amp; Purchased</t>
  </si>
  <si>
    <t>Sold</t>
  </si>
  <si>
    <t>Total Tap Fees Collected</t>
  </si>
  <si>
    <t>Uses:</t>
  </si>
  <si>
    <t xml:space="preserve">  WTP</t>
  </si>
  <si>
    <t>labor</t>
  </si>
  <si>
    <t xml:space="preserve">  Flushing</t>
  </si>
  <si>
    <t>materials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</si>
  <si>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</si>
  <si>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</si>
  <si>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</si>
  <si>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</si>
  <si>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</si>
  <si>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</si>
  <si>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</si>
  <si>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</si>
  <si>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Remainder of Group</t>
  </si>
  <si>
    <t>2018</t>
  </si>
  <si>
    <t>Less Net Billing Adjustments</t>
  </si>
  <si>
    <t>Rate</t>
  </si>
  <si>
    <t>Total Increase in Wages</t>
  </si>
  <si>
    <t>Wage</t>
  </si>
  <si>
    <t>Associated Payroll Tax Increase</t>
  </si>
  <si>
    <t>Tax Increase</t>
  </si>
  <si>
    <t>FICA Rate</t>
  </si>
  <si>
    <t xml:space="preserve"> from BA</t>
  </si>
  <si>
    <t xml:space="preserve"> depr. adj</t>
  </si>
  <si>
    <t>i.</t>
  </si>
  <si>
    <t>Gains (Losses) on Disposition of Property</t>
  </si>
  <si>
    <t>Total Metered Sales</t>
  </si>
  <si>
    <t>Materials and Supplies</t>
  </si>
  <si>
    <t>Nonutility Income</t>
  </si>
  <si>
    <t>NEXT</t>
  </si>
  <si>
    <t xml:space="preserve"> WL</t>
  </si>
  <si>
    <t>New meters installed</t>
  </si>
  <si>
    <t>Tap Fee</t>
  </si>
  <si>
    <t>varies</t>
  </si>
  <si>
    <t>BILLING ANALYSIS WITH 2018 USAGE &amp; EXISTING RATES</t>
  </si>
  <si>
    <t>Pro Forma Metered Sales Revenue</t>
  </si>
  <si>
    <t>b.</t>
  </si>
  <si>
    <t>ALLOCATION OF DEPRECIATION EXPENSE</t>
  </si>
  <si>
    <t>Pro forma</t>
  </si>
  <si>
    <t>Admin. &amp;</t>
  </si>
  <si>
    <t>Commodity</t>
  </si>
  <si>
    <t>Demand</t>
  </si>
  <si>
    <t>Customer</t>
  </si>
  <si>
    <t>General</t>
  </si>
  <si>
    <t xml:space="preserve">     TOTALS</t>
  </si>
  <si>
    <t>Table D</t>
  </si>
  <si>
    <t>Total</t>
  </si>
  <si>
    <t>Values</t>
  </si>
  <si>
    <t>Salaries &amp; Wages</t>
  </si>
  <si>
    <t>Employee Benefits + Taxes</t>
  </si>
  <si>
    <t>Materials &amp; Supplies</t>
  </si>
  <si>
    <t>Contr. Services - Acct. &amp; Legal</t>
  </si>
  <si>
    <t>Contr. Services - Water Testing</t>
  </si>
  <si>
    <t>Transportation Expense</t>
  </si>
  <si>
    <t>Bad Debt</t>
  </si>
  <si>
    <t>Misc. Expense</t>
  </si>
  <si>
    <t xml:space="preserve">     Less Admin. &amp; General</t>
  </si>
  <si>
    <t>Total w/o A &amp; G</t>
  </si>
  <si>
    <t>Percentages w/o A &amp; G</t>
  </si>
  <si>
    <t>Allocation of Admin. &amp; General</t>
  </si>
  <si>
    <t>Total O &amp; M Expense Allocations</t>
  </si>
  <si>
    <t>Table E</t>
  </si>
  <si>
    <t>Operation &amp; Maintenance Expenses</t>
  </si>
  <si>
    <t>Revenue Required from Retail Rates</t>
  </si>
  <si>
    <t>First</t>
  </si>
  <si>
    <t>Next</t>
  </si>
  <si>
    <t>Over</t>
  </si>
  <si>
    <t>Actual Commodity Sales</t>
  </si>
  <si>
    <t>Commodity Percentages</t>
  </si>
  <si>
    <t>Demand Weighting Factor</t>
  </si>
  <si>
    <t>Demand Weighted Sales</t>
  </si>
  <si>
    <t>Demand Percentages</t>
  </si>
  <si>
    <t>Commodity Costs</t>
  </si>
  <si>
    <t>Demand Costs</t>
  </si>
  <si>
    <t xml:space="preserve">     Total Costs</t>
  </si>
  <si>
    <t>(adjusted per Billing Analysis to result in required revenue)</t>
  </si>
  <si>
    <t>Hydrants</t>
  </si>
  <si>
    <t>ALLOCATION OF OPERATION &amp; MAINTENANCE EXPENSE</t>
  </si>
  <si>
    <t xml:space="preserve">    Forfeited Discounts &amp; Service Revenue</t>
  </si>
  <si>
    <t xml:space="preserve">     Other Water Revenue</t>
  </si>
  <si>
    <t xml:space="preserve">     Interest &amp; Nonutility Income</t>
  </si>
  <si>
    <t>No. of Bills</t>
  </si>
  <si>
    <t>CALCULATED USAGE RATES</t>
  </si>
  <si>
    <t>CALCULATION OF USAGE CHARGES:</t>
  </si>
  <si>
    <t>gallons</t>
  </si>
  <si>
    <t>Minimum Bill</t>
  </si>
  <si>
    <t>per 1,000 gallons</t>
  </si>
  <si>
    <t>Gallons</t>
  </si>
  <si>
    <t>per Month</t>
  </si>
  <si>
    <t>Bill</t>
  </si>
  <si>
    <t>Percentage</t>
  </si>
  <si>
    <t>CALCULATION OF CHARGES</t>
  </si>
  <si>
    <t>PROPOSED USAGE RATES</t>
  </si>
  <si>
    <t>Table C</t>
  </si>
  <si>
    <t>SUMMARY OF ALLOCATIONS</t>
  </si>
  <si>
    <t>Total Expenses</t>
  </si>
  <si>
    <t>CURRENT RATE SCHEDULE</t>
  </si>
  <si>
    <t>PROPOSED RATE SCHEDULE</t>
  </si>
  <si>
    <t>CURRENT AND PROPOSED RATES</t>
  </si>
  <si>
    <t>COMPARISION OF EXISTING AND PROPOSED BILLS</t>
  </si>
  <si>
    <t>Pro Forma</t>
  </si>
  <si>
    <t>Test Year 2018</t>
  </si>
  <si>
    <t>Hyden-Leslie County Water District</t>
  </si>
  <si>
    <t>Chemicals</t>
  </si>
  <si>
    <t>Hyden-Leslie not on CERS retirement</t>
  </si>
  <si>
    <t>2019 COLA</t>
  </si>
  <si>
    <t>S &amp; W</t>
  </si>
  <si>
    <t xml:space="preserve">  COLA</t>
  </si>
  <si>
    <t>ALL RESIDENTIAL METERS</t>
  </si>
  <si>
    <t>Customer Classification</t>
  </si>
  <si>
    <t xml:space="preserve">     Residential</t>
  </si>
  <si>
    <t xml:space="preserve">     Commercial</t>
  </si>
  <si>
    <t xml:space="preserve">SUMMARY:  </t>
  </si>
  <si>
    <t>ALL COMMERCIAL METERS</t>
  </si>
  <si>
    <t>Associated Retirement Increase</t>
  </si>
  <si>
    <t>COLA</t>
  </si>
  <si>
    <t>Wage Increase</t>
  </si>
  <si>
    <t>Retirement Contribution</t>
  </si>
  <si>
    <t>Ret. Expense Increase</t>
  </si>
  <si>
    <t xml:space="preserve"> Increase Contrib. from COLA</t>
  </si>
  <si>
    <t>Insurance</t>
  </si>
  <si>
    <t xml:space="preserve">  Change in S &amp; W</t>
  </si>
  <si>
    <t>FIRST 5000</t>
  </si>
  <si>
    <t>NEXT 20</t>
  </si>
  <si>
    <t>ALL OVER 25</t>
  </si>
  <si>
    <t>Structures &amp; Improvements</t>
  </si>
  <si>
    <t>Intake &amp; RW Transmission</t>
  </si>
  <si>
    <t>Dam Structure</t>
  </si>
  <si>
    <t>Raw Water Intake</t>
  </si>
  <si>
    <t>Raw Water Main to Plant</t>
  </si>
  <si>
    <t>Pumping Equipment</t>
  </si>
  <si>
    <t>Pumps &amp; Motors</t>
  </si>
  <si>
    <t>Telemetry &amp; Controls</t>
  </si>
  <si>
    <t>Water Treatment Equipment</t>
  </si>
  <si>
    <t>Distribution Reservoirs</t>
  </si>
  <si>
    <t>Distribution Mains</t>
  </si>
  <si>
    <t>Meters &amp; Meter Installations</t>
  </si>
  <si>
    <t>Office Furniture &amp; Equipment</t>
  </si>
  <si>
    <t>Computers, software, electronics</t>
  </si>
  <si>
    <t>Transportation Equipment</t>
  </si>
  <si>
    <t>Tools &amp; Shop Equipment</t>
  </si>
  <si>
    <t>Power Operated Equipment</t>
  </si>
  <si>
    <t>Other Tangible Equipment</t>
  </si>
  <si>
    <t>Communication Equipment</t>
  </si>
  <si>
    <t>2013</t>
  </si>
  <si>
    <t>2021</t>
  </si>
  <si>
    <t>2022</t>
  </si>
  <si>
    <t>2023</t>
  </si>
  <si>
    <t>Avg. Prin. &amp; Int.</t>
  </si>
  <si>
    <t>Avg. Coverage</t>
  </si>
  <si>
    <t>All RD</t>
  </si>
  <si>
    <t>Avg RD</t>
  </si>
  <si>
    <t>Rd coverage</t>
  </si>
  <si>
    <t>RD P, I &amp; Cov</t>
  </si>
  <si>
    <t>KRWFC Series 2012E</t>
  </si>
  <si>
    <t>2001 RD Series 91-02</t>
  </si>
  <si>
    <t>2012 RD Series 91-05</t>
  </si>
  <si>
    <t>2012 RD Series 91-09</t>
  </si>
  <si>
    <t>KRWFC/Future KIA</t>
  </si>
  <si>
    <t>2024</t>
  </si>
  <si>
    <t>2025</t>
  </si>
  <si>
    <t>CY 2021 - 2025</t>
  </si>
  <si>
    <t>Subtotals thru Office Furniture &amp; Equip</t>
  </si>
  <si>
    <t>Salaries - Officers</t>
  </si>
  <si>
    <t>Contr. Services - Elect. &amp; Comm.</t>
  </si>
  <si>
    <t>adjustment to audit total</t>
  </si>
  <si>
    <t>Debt Service &amp; Coverage</t>
  </si>
  <si>
    <t>20,000</t>
  </si>
  <si>
    <t>25,000</t>
  </si>
  <si>
    <t>FIRST 2000</t>
  </si>
  <si>
    <t>next 20000</t>
  </si>
  <si>
    <t>over 25000</t>
  </si>
  <si>
    <t>first 1000</t>
  </si>
  <si>
    <t>zero bills</t>
  </si>
  <si>
    <t>1 - 1,000</t>
  </si>
  <si>
    <t>1,001 - 2000</t>
  </si>
  <si>
    <t>1,000</t>
  </si>
  <si>
    <t>4,000</t>
  </si>
  <si>
    <t>Customer Costs</t>
  </si>
  <si>
    <t>No. of Bills or Gals Sold (x 1,000)</t>
  </si>
  <si>
    <t>next 4000</t>
  </si>
  <si>
    <t>EXISTING RESIDENTIAL CUSTOMERS</t>
  </si>
  <si>
    <t>EXISTING COMMERCIAL CUSTOMERS</t>
  </si>
  <si>
    <t>Health Insurance Adjustment</t>
  </si>
  <si>
    <t>Plan Type</t>
  </si>
  <si>
    <t>EMP</t>
  </si>
  <si>
    <t>ESP</t>
  </si>
  <si>
    <t>FAM</t>
  </si>
  <si>
    <t>ECH</t>
  </si>
  <si>
    <t>total</t>
  </si>
  <si>
    <t>All Meter Sizes</t>
  </si>
  <si>
    <t>Residential</t>
  </si>
  <si>
    <t>Commercial</t>
  </si>
  <si>
    <t>All Customers</t>
  </si>
  <si>
    <t>Alternative B</t>
  </si>
  <si>
    <t>meter expenses were capitalized :. no adj.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</si>
</sst>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69" formatCode="&quot;$&quot;#,##0.00"/>
    <numFmt numFmtId="170" formatCode="0.0%"/>
    <numFmt numFmtId="171" formatCode="_(* #,##0.0_);_(* \(#,##0.0\);_(* &quot;-&quot;??_);_(@_)"/>
    <numFmt numFmtId="172" formatCode="_(* #,##0.0000_);_(* \(#,##0.0000\);_(* &quot;-&quot;??_);_(@_)"/>
    <numFmt numFmtId="173" formatCode="0.000%"/>
    <numFmt numFmtId="174" formatCode="_(* #,##0.00000_);_(* \(#,##0.00000\);_(* &quot;-&quot;??_);_(@_)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i/>
      <u/>
      <sz val="11"/>
      <color theme="5"/>
      <name val="Calibri"/>
      <family val="2"/>
      <scheme val="minor"/>
    </font>
    <font>
      <b/>
      <sz val="12"/>
      <name val="Arial"/>
      <family val="2"/>
    </font>
    <font>
      <b/>
      <u val="singleAccounting"/>
      <sz val="12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165" fontId="4" fillId="0" borderId="0" xfId="2" applyNumberFormat="1" applyFont="1" applyBorder="1"/>
    <xf numFmtId="168" fontId="4" fillId="0" borderId="0" xfId="1" applyNumberFormat="1" applyFont="1" applyBorder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65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5" applyNumberFormat="1" applyFont="1"/>
    <xf numFmtId="37" fontId="4" fillId="0" borderId="1" xfId="0" applyNumberFormat="1" applyFont="1" applyBorder="1"/>
    <xf numFmtId="168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8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4" fillId="0" borderId="0" xfId="1" applyNumberFormat="1" applyFont="1" applyAlignment="1"/>
    <xf numFmtId="3" fontId="10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72" fontId="4" fillId="0" borderId="0" xfId="5" applyNumberFormat="1" applyFont="1"/>
    <xf numFmtId="0" fontId="13" fillId="0" borderId="0" xfId="0" applyFont="1" applyAlignment="1">
      <alignment horizontal="center"/>
    </xf>
    <xf numFmtId="43" fontId="4" fillId="0" borderId="0" xfId="5" applyFont="1"/>
    <xf numFmtId="0" fontId="4" fillId="0" borderId="0" xfId="5" applyNumberFormat="1" applyFont="1"/>
    <xf numFmtId="3" fontId="4" fillId="0" borderId="1" xfId="0" applyNumberFormat="1" applyFont="1" applyBorder="1"/>
    <xf numFmtId="173" fontId="4" fillId="0" borderId="0" xfId="6" applyNumberFormat="1" applyFont="1"/>
    <xf numFmtId="168" fontId="4" fillId="0" borderId="0" xfId="5" applyNumberFormat="1" applyFont="1" applyAlignment="1">
      <alignment vertical="center"/>
    </xf>
    <xf numFmtId="168" fontId="7" fillId="0" borderId="0" xfId="5" applyNumberFormat="1" applyFont="1"/>
    <xf numFmtId="3" fontId="5" fillId="0" borderId="0" xfId="0" applyNumberFormat="1" applyFont="1"/>
    <xf numFmtId="166" fontId="4" fillId="0" borderId="0" xfId="0" applyNumberFormat="1" applyFont="1" applyAlignment="1">
      <alignment horizontal="center"/>
    </xf>
    <xf numFmtId="168" fontId="4" fillId="0" borderId="0" xfId="0" applyNumberFormat="1" applyFont="1"/>
    <xf numFmtId="166" fontId="4" fillId="0" borderId="0" xfId="0" quotePrefix="1" applyNumberFormat="1" applyFont="1" applyAlignment="1">
      <alignment horizontal="center"/>
    </xf>
    <xf numFmtId="3" fontId="3" fillId="0" borderId="0" xfId="0" applyNumberFormat="1" applyFont="1"/>
    <xf numFmtId="164" fontId="4" fillId="0" borderId="0" xfId="0" applyNumberFormat="1" applyFont="1"/>
    <xf numFmtId="167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4" fontId="4" fillId="0" borderId="0" xfId="0" applyNumberFormat="1" applyFont="1"/>
    <xf numFmtId="171" fontId="4" fillId="0" borderId="0" xfId="1" applyNumberFormat="1" applyFont="1" applyBorder="1"/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 applyAlignment="1"/>
    <xf numFmtId="171" fontId="4" fillId="0" borderId="4" xfId="1" applyNumberFormat="1" applyFont="1" applyBorder="1"/>
    <xf numFmtId="171" fontId="4" fillId="0" borderId="0" xfId="1" applyNumberFormat="1" applyFont="1" applyBorder="1" applyAlignment="1"/>
    <xf numFmtId="171" fontId="5" fillId="0" borderId="0" xfId="1" applyNumberFormat="1" applyFont="1" applyBorder="1" applyAlignment="1">
      <alignment horizontal="centerContinuous"/>
    </xf>
    <xf numFmtId="171" fontId="5" fillId="0" borderId="0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center"/>
    </xf>
    <xf numFmtId="171" fontId="9" fillId="0" borderId="0" xfId="1" applyNumberFormat="1" applyFont="1" applyBorder="1" applyAlignment="1"/>
    <xf numFmtId="171" fontId="4" fillId="0" borderId="1" xfId="1" applyNumberFormat="1" applyFont="1" applyBorder="1" applyAlignment="1"/>
    <xf numFmtId="3" fontId="8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168" fontId="7" fillId="0" borderId="0" xfId="1" applyNumberFormat="1" applyFont="1"/>
    <xf numFmtId="10" fontId="4" fillId="0" borderId="0" xfId="3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43" fontId="4" fillId="0" borderId="0" xfId="1" applyFont="1"/>
    <xf numFmtId="168" fontId="4" fillId="0" borderId="0" xfId="1" applyNumberFormat="1" applyFont="1" applyAlignment="1">
      <alignment horizontal="left"/>
    </xf>
    <xf numFmtId="43" fontId="4" fillId="0" borderId="0" xfId="0" applyNumberFormat="1" applyFont="1"/>
    <xf numFmtId="165" fontId="4" fillId="0" borderId="0" xfId="2" applyNumberFormat="1" applyFont="1"/>
    <xf numFmtId="172" fontId="4" fillId="0" borderId="0" xfId="1" applyNumberFormat="1" applyFont="1"/>
    <xf numFmtId="168" fontId="15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10" fillId="0" borderId="0" xfId="1" applyFont="1" applyAlignment="1">
      <alignment horizontal="center"/>
    </xf>
    <xf numFmtId="0" fontId="8" fillId="0" borderId="0" xfId="0" applyFont="1" applyAlignment="1">
      <alignment horizontal="centerContinuous"/>
    </xf>
    <xf numFmtId="165" fontId="4" fillId="0" borderId="0" xfId="0" applyNumberFormat="1" applyFont="1"/>
    <xf numFmtId="168" fontId="4" fillId="0" borderId="0" xfId="5" applyNumberFormat="1" applyFont="1" applyFill="1"/>
    <xf numFmtId="168" fontId="4" fillId="0" borderId="1" xfId="5" applyNumberFormat="1" applyFont="1" applyFill="1" applyBorder="1"/>
    <xf numFmtId="168" fontId="4" fillId="0" borderId="0" xfId="5" applyNumberFormat="1" applyFont="1" applyBorder="1"/>
    <xf numFmtId="168" fontId="13" fillId="0" borderId="0" xfId="1" applyNumberFormat="1" applyFont="1" applyAlignment="1">
      <alignment horizontal="right"/>
    </xf>
    <xf numFmtId="168" fontId="13" fillId="0" borderId="0" xfId="1" applyNumberFormat="1" applyFont="1"/>
    <xf numFmtId="10" fontId="4" fillId="0" borderId="0" xfId="3" applyNumberFormat="1" applyFont="1"/>
    <xf numFmtId="173" fontId="13" fillId="0" borderId="0" xfId="6" applyNumberFormat="1" applyFont="1"/>
    <xf numFmtId="168" fontId="16" fillId="0" borderId="0" xfId="1" applyNumberFormat="1" applyFont="1" applyAlignment="1">
      <alignment vertical="center"/>
    </xf>
    <xf numFmtId="0" fontId="17" fillId="0" borderId="0" xfId="0" applyFont="1"/>
    <xf numFmtId="37" fontId="17" fillId="0" borderId="0" xfId="0" applyNumberFormat="1" applyFont="1"/>
    <xf numFmtId="168" fontId="17" fillId="0" borderId="0" xfId="0" applyNumberFormat="1" applyFont="1"/>
    <xf numFmtId="168" fontId="4" fillId="0" borderId="1" xfId="1" applyNumberFormat="1" applyFont="1" applyBorder="1"/>
    <xf numFmtId="3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8" fillId="0" borderId="0" xfId="0" applyNumberFormat="1" applyFont="1"/>
    <xf numFmtId="168" fontId="4" fillId="0" borderId="3" xfId="5" applyNumberFormat="1" applyFont="1" applyBorder="1"/>
    <xf numFmtId="168" fontId="4" fillId="0" borderId="4" xfId="5" applyNumberFormat="1" applyFont="1" applyBorder="1"/>
    <xf numFmtId="168" fontId="4" fillId="0" borderId="5" xfId="5" applyNumberFormat="1" applyFont="1" applyBorder="1"/>
    <xf numFmtId="0" fontId="4" fillId="0" borderId="6" xfId="0" applyFont="1" applyBorder="1" applyAlignment="1">
      <alignment horizontal="centerContinuous"/>
    </xf>
    <xf numFmtId="168" fontId="4" fillId="0" borderId="2" xfId="5" applyNumberFormat="1" applyFont="1" applyBorder="1"/>
    <xf numFmtId="168" fontId="6" fillId="0" borderId="0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4" fillId="0" borderId="6" xfId="5" applyNumberFormat="1" applyFont="1" applyBorder="1"/>
    <xf numFmtId="168" fontId="3" fillId="0" borderId="2" xfId="5" applyNumberFormat="1" applyFont="1" applyBorder="1"/>
    <xf numFmtId="168" fontId="3" fillId="0" borderId="0" xfId="5" applyNumberFormat="1" applyFont="1" applyBorder="1"/>
    <xf numFmtId="168" fontId="3" fillId="0" borderId="6" xfId="5" applyNumberFormat="1" applyFont="1" applyBorder="1"/>
    <xf numFmtId="168" fontId="4" fillId="0" borderId="7" xfId="5" applyNumberFormat="1" applyFont="1" applyBorder="1"/>
    <xf numFmtId="168" fontId="4" fillId="0" borderId="8" xfId="5" applyNumberFormat="1" applyFont="1" applyBorder="1"/>
    <xf numFmtId="168" fontId="13" fillId="0" borderId="0" xfId="5" applyNumberFormat="1" applyFont="1" applyBorder="1" applyAlignment="1">
      <alignment horizontal="center"/>
    </xf>
    <xf numFmtId="168" fontId="4" fillId="0" borderId="0" xfId="5" applyNumberFormat="1" applyFont="1" applyBorder="1" applyAlignment="1"/>
    <xf numFmtId="168" fontId="7" fillId="0" borderId="0" xfId="5" applyNumberFormat="1" applyFont="1" applyBorder="1"/>
    <xf numFmtId="10" fontId="4" fillId="0" borderId="0" xfId="6" applyNumberFormat="1" applyFont="1" applyBorder="1"/>
    <xf numFmtId="3" fontId="8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6" xfId="0" applyNumberFormat="1" applyFont="1" applyBorder="1" applyAlignment="1">
      <alignment horizontal="center" vertical="center"/>
    </xf>
    <xf numFmtId="168" fontId="8" fillId="0" borderId="0" xfId="5" applyNumberFormat="1" applyFont="1" applyBorder="1" applyAlignment="1">
      <alignment horizontal="center" vertical="center"/>
    </xf>
    <xf numFmtId="168" fontId="8" fillId="0" borderId="6" xfId="5" applyNumberFormat="1" applyFont="1" applyBorder="1" applyAlignment="1">
      <alignment horizontal="center" vertical="center"/>
    </xf>
    <xf numFmtId="168" fontId="13" fillId="0" borderId="6" xfId="5" applyNumberFormat="1" applyFont="1" applyBorder="1" applyAlignment="1">
      <alignment horizontal="center"/>
    </xf>
    <xf numFmtId="165" fontId="4" fillId="0" borderId="0" xfId="4" applyNumberFormat="1" applyFont="1" applyBorder="1"/>
    <xf numFmtId="168" fontId="7" fillId="0" borderId="6" xfId="5" applyNumberFormat="1" applyFont="1" applyBorder="1"/>
    <xf numFmtId="168" fontId="4" fillId="0" borderId="0" xfId="5" applyNumberFormat="1" applyFont="1" applyBorder="1" applyAlignment="1">
      <alignment horizontal="center"/>
    </xf>
    <xf numFmtId="168" fontId="4" fillId="0" borderId="6" xfId="5" applyNumberFormat="1" applyFont="1" applyBorder="1" applyAlignment="1">
      <alignment horizontal="center"/>
    </xf>
    <xf numFmtId="168" fontId="7" fillId="0" borderId="0" xfId="5" applyNumberFormat="1" applyFont="1" applyBorder="1" applyAlignment="1">
      <alignment horizontal="center"/>
    </xf>
    <xf numFmtId="168" fontId="7" fillId="0" borderId="0" xfId="5" quotePrefix="1" applyNumberFormat="1" applyFont="1" applyBorder="1" applyAlignment="1">
      <alignment horizontal="center"/>
    </xf>
    <xf numFmtId="168" fontId="7" fillId="0" borderId="6" xfId="5" quotePrefix="1" applyNumberFormat="1" applyFont="1" applyBorder="1" applyAlignment="1">
      <alignment horizontal="center"/>
    </xf>
    <xf numFmtId="10" fontId="4" fillId="0" borderId="6" xfId="6" applyNumberFormat="1" applyFont="1" applyBorder="1"/>
    <xf numFmtId="43" fontId="4" fillId="0" borderId="0" xfId="5" applyFont="1" applyBorder="1"/>
    <xf numFmtId="43" fontId="4" fillId="0" borderId="6" xfId="5" applyFont="1" applyBorder="1"/>
    <xf numFmtId="169" fontId="4" fillId="0" borderId="0" xfId="5" applyNumberFormat="1" applyFont="1" applyBorder="1"/>
    <xf numFmtId="169" fontId="4" fillId="0" borderId="6" xfId="5" applyNumberFormat="1" applyFont="1" applyBorder="1"/>
    <xf numFmtId="169" fontId="3" fillId="0" borderId="0" xfId="5" applyNumberFormat="1" applyFont="1" applyBorder="1"/>
    <xf numFmtId="169" fontId="4" fillId="0" borderId="8" xfId="5" applyNumberFormat="1" applyFont="1" applyBorder="1"/>
    <xf numFmtId="168" fontId="4" fillId="0" borderId="0" xfId="5" applyNumberFormat="1" applyFont="1" applyFill="1" applyBorder="1"/>
    <xf numFmtId="0" fontId="0" fillId="0" borderId="8" xfId="0" applyBorder="1"/>
    <xf numFmtId="168" fontId="8" fillId="0" borderId="4" xfId="5" applyNumberFormat="1" applyFont="1" applyBorder="1" applyAlignment="1">
      <alignment horizontal="center" vertical="center"/>
    </xf>
    <xf numFmtId="168" fontId="8" fillId="0" borderId="5" xfId="5" applyNumberFormat="1" applyFont="1" applyBorder="1" applyAlignment="1">
      <alignment horizontal="center" vertical="center"/>
    </xf>
    <xf numFmtId="168" fontId="7" fillId="0" borderId="6" xfId="5" applyNumberFormat="1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43" fontId="4" fillId="0" borderId="2" xfId="5" applyFont="1" applyBorder="1"/>
    <xf numFmtId="170" fontId="4" fillId="0" borderId="0" xfId="6" applyNumberFormat="1" applyFont="1" applyBorder="1"/>
    <xf numFmtId="170" fontId="4" fillId="0" borderId="6" xfId="6" applyNumberFormat="1" applyFont="1" applyBorder="1"/>
    <xf numFmtId="43" fontId="4" fillId="2" borderId="2" xfId="5" applyFont="1" applyFill="1" applyBorder="1"/>
    <xf numFmtId="43" fontId="4" fillId="2" borderId="0" xfId="5" applyFont="1" applyFill="1" applyBorder="1"/>
    <xf numFmtId="170" fontId="4" fillId="2" borderId="0" xfId="6" applyNumberFormat="1" applyFont="1" applyFill="1" applyBorder="1"/>
    <xf numFmtId="43" fontId="4" fillId="0" borderId="7" xfId="5" applyFont="1" applyBorder="1"/>
    <xf numFmtId="10" fontId="13" fillId="0" borderId="0" xfId="3" applyNumberFormat="1" applyFont="1"/>
    <xf numFmtId="168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4" fillId="0" borderId="4" xfId="0" applyFont="1" applyBorder="1"/>
    <xf numFmtId="168" fontId="4" fillId="0" borderId="0" xfId="1" applyNumberFormat="1" applyFont="1" applyBorder="1" applyAlignment="1"/>
    <xf numFmtId="168" fontId="4" fillId="0" borderId="0" xfId="1" quotePrefix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168" fontId="21" fillId="0" borderId="0" xfId="1" applyNumberFormat="1" applyFont="1" applyAlignment="1">
      <alignment vertical="center"/>
    </xf>
    <xf numFmtId="168" fontId="22" fillId="0" borderId="0" xfId="1" applyNumberFormat="1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170" fontId="4" fillId="0" borderId="0" xfId="3" applyNumberFormat="1" applyFont="1"/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23" fillId="0" borderId="0" xfId="0" applyNumberFormat="1" applyFont="1"/>
    <xf numFmtId="3" fontId="23" fillId="0" borderId="1" xfId="0" applyNumberFormat="1" applyFont="1" applyBorder="1"/>
    <xf numFmtId="3" fontId="3" fillId="0" borderId="0" xfId="0" applyNumberFormat="1" applyFont="1" applyAlignment="1">
      <alignment horizontal="right"/>
    </xf>
    <xf numFmtId="168" fontId="24" fillId="0" borderId="0" xfId="1" applyNumberFormat="1" applyFont="1" applyAlignment="1">
      <alignment vertical="center"/>
    </xf>
    <xf numFmtId="9" fontId="4" fillId="0" borderId="0" xfId="3" applyFont="1"/>
    <xf numFmtId="9" fontId="13" fillId="0" borderId="0" xfId="3" applyFont="1"/>
    <xf numFmtId="168" fontId="20" fillId="0" borderId="0" xfId="5" applyNumberFormat="1" applyFont="1" applyBorder="1" applyAlignment="1">
      <alignment horizontal="left" vertical="center"/>
    </xf>
    <xf numFmtId="168" fontId="25" fillId="0" borderId="0" xfId="1" applyNumberFormat="1" applyFont="1"/>
    <xf numFmtId="43" fontId="25" fillId="0" borderId="0" xfId="5" applyFont="1"/>
    <xf numFmtId="0" fontId="9" fillId="0" borderId="0" xfId="0" applyFont="1"/>
    <xf numFmtId="168" fontId="26" fillId="0" borderId="0" xfId="1" applyNumberFormat="1" applyFont="1" applyAlignment="1">
      <alignment vertical="center"/>
    </xf>
    <xf numFmtId="168" fontId="8" fillId="0" borderId="2" xfId="5" applyNumberFormat="1" applyFont="1" applyBorder="1" applyAlignment="1">
      <alignment horizontal="centerContinuous"/>
    </xf>
    <xf numFmtId="168" fontId="14" fillId="0" borderId="2" xfId="5" applyNumberFormat="1" applyFont="1" applyBorder="1" applyAlignment="1">
      <alignment horizontal="centerContinuous"/>
    </xf>
    <xf numFmtId="168" fontId="10" fillId="0" borderId="2" xfId="5" applyNumberFormat="1" applyFont="1" applyBorder="1" applyAlignment="1">
      <alignment horizontal="centerContinuous"/>
    </xf>
    <xf numFmtId="168" fontId="4" fillId="0" borderId="3" xfId="5" applyNumberFormat="1" applyFont="1" applyBorder="1" applyAlignment="1">
      <alignment horizontal="left"/>
    </xf>
    <xf numFmtId="168" fontId="4" fillId="0" borderId="10" xfId="5" applyNumberFormat="1" applyFont="1" applyBorder="1" applyAlignment="1">
      <alignment horizontal="left"/>
    </xf>
    <xf numFmtId="168" fontId="4" fillId="0" borderId="2" xfId="5" applyNumberFormat="1" applyFont="1" applyBorder="1" applyAlignment="1">
      <alignment horizontal="left"/>
    </xf>
    <xf numFmtId="168" fontId="4" fillId="0" borderId="0" xfId="5" applyNumberFormat="1" applyFont="1" applyBorder="1" applyAlignment="1">
      <alignment horizontal="left"/>
    </xf>
    <xf numFmtId="168" fontId="4" fillId="0" borderId="6" xfId="5" applyNumberFormat="1" applyFont="1" applyBorder="1" applyAlignment="1">
      <alignment horizontal="left"/>
    </xf>
    <xf numFmtId="168" fontId="4" fillId="0" borderId="10" xfId="5" applyNumberFormat="1" applyFont="1" applyBorder="1"/>
    <xf numFmtId="168" fontId="5" fillId="0" borderId="2" xfId="5" quotePrefix="1" applyNumberFormat="1" applyFont="1" applyBorder="1" applyAlignment="1">
      <alignment horizontal="centerContinuous"/>
    </xf>
    <xf numFmtId="168" fontId="6" fillId="0" borderId="2" xfId="5" applyNumberFormat="1" applyFont="1" applyBorder="1" applyAlignment="1">
      <alignment horizontal="center" vertical="center"/>
    </xf>
    <xf numFmtId="168" fontId="6" fillId="0" borderId="6" xfId="5" applyNumberFormat="1" applyFont="1" applyBorder="1" applyAlignment="1">
      <alignment horizontal="center" vertical="center"/>
    </xf>
    <xf numFmtId="168" fontId="4" fillId="0" borderId="2" xfId="5" quotePrefix="1" applyNumberFormat="1" applyFont="1" applyBorder="1" applyAlignment="1">
      <alignment horizontal="center"/>
    </xf>
    <xf numFmtId="165" fontId="4" fillId="0" borderId="2" xfId="4" quotePrefix="1" applyNumberFormat="1" applyFont="1" applyBorder="1" applyAlignment="1">
      <alignment horizontal="center"/>
    </xf>
    <xf numFmtId="165" fontId="4" fillId="0" borderId="6" xfId="4" quotePrefix="1" applyNumberFormat="1" applyFont="1" applyBorder="1" applyAlignment="1">
      <alignment horizontal="center"/>
    </xf>
    <xf numFmtId="168" fontId="4" fillId="0" borderId="2" xfId="5" applyNumberFormat="1" applyFont="1" applyBorder="1" applyAlignment="1">
      <alignment horizontal="center"/>
    </xf>
    <xf numFmtId="168" fontId="4" fillId="0" borderId="0" xfId="5" applyNumberFormat="1" applyFont="1" applyAlignment="1">
      <alignment horizontal="center"/>
    </xf>
    <xf numFmtId="168" fontId="4" fillId="0" borderId="2" xfId="5" quotePrefix="1" applyNumberFormat="1" applyFont="1" applyBorder="1" applyAlignment="1">
      <alignment horizontal="left"/>
    </xf>
    <xf numFmtId="168" fontId="4" fillId="0" borderId="6" xfId="5" quotePrefix="1" applyNumberFormat="1" applyFont="1" applyBorder="1" applyAlignment="1">
      <alignment horizontal="left"/>
    </xf>
    <xf numFmtId="168" fontId="3" fillId="0" borderId="2" xfId="5" applyNumberFormat="1" applyFont="1" applyBorder="1" applyAlignment="1">
      <alignment horizontal="center"/>
    </xf>
    <xf numFmtId="168" fontId="3" fillId="0" borderId="2" xfId="5" quotePrefix="1" applyNumberFormat="1" applyFont="1" applyBorder="1" applyAlignment="1">
      <alignment horizontal="left"/>
    </xf>
    <xf numFmtId="168" fontId="3" fillId="0" borderId="9" xfId="5" applyNumberFormat="1" applyFont="1" applyBorder="1" applyAlignment="1">
      <alignment horizontal="right"/>
    </xf>
    <xf numFmtId="168" fontId="3" fillId="0" borderId="7" xfId="5" applyNumberFormat="1" applyFont="1" applyBorder="1" applyAlignment="1">
      <alignment horizontal="right"/>
    </xf>
    <xf numFmtId="168" fontId="3" fillId="0" borderId="1" xfId="5" applyNumberFormat="1" applyFont="1" applyBorder="1" applyAlignment="1">
      <alignment horizontal="right"/>
    </xf>
    <xf numFmtId="168" fontId="3" fillId="0" borderId="8" xfId="5" applyNumberFormat="1" applyFont="1" applyBorder="1" applyAlignment="1">
      <alignment horizontal="right"/>
    </xf>
    <xf numFmtId="168" fontId="3" fillId="0" borderId="2" xfId="5" applyNumberFormat="1" applyFont="1" applyBorder="1" applyAlignment="1">
      <alignment horizontal="right"/>
    </xf>
    <xf numFmtId="168" fontId="3" fillId="0" borderId="3" xfId="5" applyNumberFormat="1" applyFont="1" applyBorder="1" applyAlignment="1">
      <alignment horizontal="right"/>
    </xf>
    <xf numFmtId="168" fontId="3" fillId="0" borderId="4" xfId="5" applyNumberFormat="1" applyFont="1" applyBorder="1" applyAlignment="1">
      <alignment horizontal="right"/>
    </xf>
    <xf numFmtId="165" fontId="3" fillId="0" borderId="2" xfId="4" applyNumberFormat="1" applyFont="1" applyBorder="1"/>
    <xf numFmtId="165" fontId="3" fillId="0" borderId="0" xfId="4" applyNumberFormat="1" applyFont="1" applyBorder="1"/>
    <xf numFmtId="168" fontId="4" fillId="0" borderId="7" xfId="5" applyNumberFormat="1" applyFont="1" applyBorder="1" applyAlignment="1">
      <alignment horizontal="center"/>
    </xf>
    <xf numFmtId="168" fontId="4" fillId="0" borderId="1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Continuous"/>
    </xf>
    <xf numFmtId="168" fontId="6" fillId="0" borderId="0" xfId="5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8" fontId="4" fillId="0" borderId="0" xfId="5" quotePrefix="1" applyNumberFormat="1" applyFont="1" applyBorder="1" applyAlignment="1">
      <alignment horizontal="left"/>
    </xf>
    <xf numFmtId="0" fontId="4" fillId="0" borderId="10" xfId="0" quotePrefix="1" applyFont="1" applyBorder="1" applyAlignment="1">
      <alignment horizontal="center"/>
    </xf>
    <xf numFmtId="168" fontId="3" fillId="0" borderId="0" xfId="5" applyNumberFormat="1" applyFont="1" applyBorder="1" applyAlignment="1">
      <alignment horizontal="centerContinuous"/>
    </xf>
    <xf numFmtId="168" fontId="4" fillId="0" borderId="0" xfId="5" applyNumberFormat="1" applyFont="1" applyBorder="1" applyAlignment="1">
      <alignment horizontal="centerContinuous"/>
    </xf>
    <xf numFmtId="168" fontId="4" fillId="0" borderId="7" xfId="5" applyNumberFormat="1" applyFont="1" applyBorder="1" applyAlignment="1">
      <alignment horizontal="centerContinuous"/>
    </xf>
    <xf numFmtId="168" fontId="4" fillId="0" borderId="1" xfId="5" applyNumberFormat="1" applyFont="1" applyBorder="1" applyAlignment="1">
      <alignment horizontal="centerContinuous"/>
    </xf>
    <xf numFmtId="165" fontId="3" fillId="0" borderId="2" xfId="2" quotePrefix="1" applyNumberFormat="1" applyFont="1" applyBorder="1" applyAlignment="1">
      <alignment horizontal="left"/>
    </xf>
    <xf numFmtId="165" fontId="3" fillId="0" borderId="0" xfId="2" quotePrefix="1" applyNumberFormat="1" applyFont="1" applyBorder="1" applyAlignment="1">
      <alignment horizontal="left"/>
    </xf>
    <xf numFmtId="165" fontId="3" fillId="0" borderId="6" xfId="2" quotePrefix="1" applyNumberFormat="1" applyFont="1" applyBorder="1" applyAlignment="1">
      <alignment horizontal="left"/>
    </xf>
    <xf numFmtId="0" fontId="14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"/>
    </xf>
    <xf numFmtId="174" fontId="4" fillId="0" borderId="0" xfId="5" applyNumberFormat="1" applyFont="1"/>
    <xf numFmtId="43" fontId="4" fillId="0" borderId="0" xfId="1" applyFont="1" applyAlignment="1"/>
    <xf numFmtId="168" fontId="0" fillId="0" borderId="0" xfId="0" applyNumberFormat="1"/>
    <xf numFmtId="169" fontId="4" fillId="0" borderId="0" xfId="0" applyNumberFormat="1" applyFont="1"/>
    <xf numFmtId="0" fontId="0" fillId="0" borderId="5" xfId="0" applyBorder="1"/>
    <xf numFmtId="0" fontId="0" fillId="0" borderId="6" xfId="0" applyBorder="1"/>
    <xf numFmtId="168" fontId="7" fillId="0" borderId="0" xfId="5" applyNumberFormat="1" applyFont="1" applyFill="1" applyBorder="1" applyAlignment="1">
      <alignment horizontal="center"/>
    </xf>
    <xf numFmtId="44" fontId="4" fillId="0" borderId="2" xfId="4" applyFont="1" applyBorder="1"/>
    <xf numFmtId="44" fontId="4" fillId="0" borderId="0" xfId="4" applyFont="1" applyBorder="1"/>
    <xf numFmtId="43" fontId="4" fillId="0" borderId="0" xfId="5" applyFont="1" applyFill="1" applyBorder="1"/>
    <xf numFmtId="170" fontId="4" fillId="0" borderId="0" xfId="6" applyNumberFormat="1" applyFont="1" applyFill="1" applyBorder="1"/>
    <xf numFmtId="0" fontId="0" fillId="0" borderId="1" xfId="0" applyBorder="1"/>
    <xf numFmtId="168" fontId="6" fillId="0" borderId="0" xfId="5" applyNumberFormat="1" applyFont="1" applyAlignment="1">
      <alignment horizontal="center"/>
    </xf>
    <xf numFmtId="9" fontId="4" fillId="0" borderId="0" xfId="6" applyFont="1"/>
    <xf numFmtId="44" fontId="4" fillId="0" borderId="0" xfId="4" applyFont="1" applyBorder="1" applyAlignment="1"/>
    <xf numFmtId="43" fontId="4" fillId="0" borderId="0" xfId="5" applyFont="1" applyBorder="1" applyAlignment="1"/>
    <xf numFmtId="168" fontId="4" fillId="0" borderId="1" xfId="5" applyNumberFormat="1" applyFont="1" applyBorder="1" applyAlignment="1"/>
    <xf numFmtId="168" fontId="10" fillId="0" borderId="0" xfId="5" applyNumberFormat="1" applyFont="1" applyAlignment="1"/>
    <xf numFmtId="168" fontId="4" fillId="0" borderId="0" xfId="4" applyNumberFormat="1" applyFont="1" applyBorder="1"/>
    <xf numFmtId="170" fontId="4" fillId="0" borderId="1" xfId="6" applyNumberFormat="1" applyFont="1" applyBorder="1"/>
    <xf numFmtId="170" fontId="4" fillId="0" borderId="8" xfId="6" applyNumberFormat="1" applyFont="1" applyBorder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8" fontId="6" fillId="0" borderId="0" xfId="5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8" fontId="5" fillId="0" borderId="2" xfId="5" quotePrefix="1" applyNumberFormat="1" applyFont="1" applyBorder="1" applyAlignment="1">
      <alignment horizontal="center"/>
    </xf>
    <xf numFmtId="168" fontId="5" fillId="0" borderId="6" xfId="5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8" fontId="5" fillId="0" borderId="2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8" fontId="11" fillId="0" borderId="0" xfId="5" applyNumberFormat="1" applyFont="1" applyBorder="1" applyAlignment="1">
      <alignment horizontal="center" vertical="center"/>
    </xf>
    <xf numFmtId="168" fontId="20" fillId="0" borderId="0" xfId="5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6" fillId="0" borderId="3" xfId="5" applyNumberFormat="1" applyFont="1" applyBorder="1" applyAlignment="1">
      <alignment horizontal="center"/>
    </xf>
    <xf numFmtId="168" fontId="6" fillId="0" borderId="4" xfId="5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99"/>
      <color rgb="FFFFFFCC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2"/>
  <sheetViews>
    <sheetView workbookViewId="0"/>
  </sheetViews>
  <sheetFormatPr defaultColWidth="8.88671875" defaultRowHeight="15.75" x14ac:dyDescent="0.5"/>
  <cols>
    <col min="1" max="1" width="3.6640625" style="26" customWidth="1"/>
    <col min="2" max="2" width="2.6640625" style="26" customWidth="1"/>
    <col min="3" max="3" width="27.33203125" style="26" customWidth="1"/>
    <col min="4" max="4" width="12.6640625" style="26" customWidth="1"/>
    <col min="5" max="5" width="11.5546875" style="26" customWidth="1"/>
    <col min="6" max="6" width="6.33203125" style="26" customWidth="1"/>
    <col min="7" max="7" width="10.44140625" style="26" customWidth="1"/>
    <col min="8" max="8" width="9.6640625" style="26" customWidth="1"/>
    <col min="9" max="9" width="11.33203125" style="26" customWidth="1"/>
    <col min="10" max="253" width="9.6640625" style="26" customWidth="1"/>
    <col min="254" max="255" width="9.6640625" style="27" customWidth="1"/>
    <col min="256" max="16384" width="8.88671875" style="27"/>
  </cols>
  <sheetData>
    <row r="1" spans="1:14" ht="18" x14ac:dyDescent="0.5">
      <c r="A1" s="23" t="s">
        <v>37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</row>
    <row r="2" spans="1:14" ht="18.75" customHeight="1" x14ac:dyDescent="0.5">
      <c r="A2" s="266" t="s">
        <v>189</v>
      </c>
      <c r="B2" s="266"/>
      <c r="C2" s="266"/>
      <c r="D2" s="266"/>
      <c r="E2" s="266"/>
      <c r="F2" s="266"/>
      <c r="G2" s="266"/>
      <c r="H2" s="25"/>
      <c r="I2" s="25"/>
      <c r="J2" s="25"/>
      <c r="K2" s="25"/>
      <c r="L2" s="25"/>
      <c r="M2" s="25"/>
      <c r="N2" s="25"/>
    </row>
    <row r="3" spans="1:14" x14ac:dyDescent="0.5">
      <c r="A3" s="25"/>
      <c r="B3" s="25"/>
      <c r="C3" s="25"/>
      <c r="D3" s="28"/>
      <c r="E3" s="28"/>
      <c r="F3" s="28"/>
      <c r="G3" s="28"/>
      <c r="H3" s="25"/>
      <c r="I3" s="25"/>
      <c r="J3" s="25"/>
      <c r="K3" s="25"/>
      <c r="L3" s="25"/>
      <c r="M3" s="25"/>
      <c r="N3" s="25"/>
    </row>
    <row r="4" spans="1:14" x14ac:dyDescent="0.5">
      <c r="A4" s="29"/>
      <c r="B4" s="29"/>
      <c r="C4" s="29"/>
      <c r="D4" s="30" t="s">
        <v>188</v>
      </c>
      <c r="E4" s="30" t="s">
        <v>35</v>
      </c>
      <c r="F4" s="30" t="s">
        <v>57</v>
      </c>
      <c r="G4" s="30" t="s">
        <v>187</v>
      </c>
      <c r="H4" s="31"/>
      <c r="I4" s="31"/>
      <c r="J4" s="31"/>
      <c r="K4" s="31"/>
      <c r="L4" s="25"/>
      <c r="M4" s="25"/>
      <c r="N4" s="25"/>
    </row>
    <row r="5" spans="1:14" x14ac:dyDescent="0.5">
      <c r="A5" s="32" t="s">
        <v>12</v>
      </c>
      <c r="B5" s="29"/>
      <c r="C5" s="29"/>
      <c r="D5" s="29"/>
      <c r="E5" s="29"/>
      <c r="F5" s="29"/>
      <c r="G5" s="29"/>
      <c r="H5" s="31"/>
      <c r="I5" s="31"/>
      <c r="J5" s="31"/>
      <c r="K5" s="31"/>
      <c r="L5" s="25"/>
      <c r="M5" s="25"/>
      <c r="N5" s="25"/>
    </row>
    <row r="6" spans="1:14" x14ac:dyDescent="0.5">
      <c r="A6" s="29"/>
      <c r="B6" s="29" t="s">
        <v>113</v>
      </c>
      <c r="C6" s="29"/>
      <c r="D6" s="33">
        <v>1472606</v>
      </c>
      <c r="E6" s="33">
        <f>G6-D6</f>
        <v>6461.0809999997728</v>
      </c>
      <c r="F6" s="34" t="s">
        <v>48</v>
      </c>
      <c r="G6" s="33">
        <f>ExBA!I11</f>
        <v>1479067.0809999998</v>
      </c>
      <c r="H6" s="180" t="s">
        <v>109</v>
      </c>
      <c r="I6" s="31"/>
      <c r="J6" s="31"/>
      <c r="K6" s="31"/>
      <c r="L6" s="25"/>
      <c r="M6" s="25"/>
      <c r="N6" s="25"/>
    </row>
    <row r="7" spans="1:14" x14ac:dyDescent="0.5">
      <c r="A7" s="29"/>
      <c r="B7" s="29" t="s">
        <v>45</v>
      </c>
      <c r="C7" s="29"/>
      <c r="D7" s="31"/>
      <c r="E7" s="29"/>
      <c r="F7" s="34"/>
      <c r="G7" s="33"/>
      <c r="H7" s="181"/>
      <c r="I7" s="31"/>
      <c r="J7" s="31"/>
      <c r="K7" s="31"/>
      <c r="L7" s="25"/>
      <c r="M7" s="25"/>
      <c r="N7" s="25"/>
    </row>
    <row r="8" spans="1:14" x14ac:dyDescent="0.5">
      <c r="A8" s="29"/>
      <c r="B8" s="29"/>
      <c r="C8" s="29" t="s">
        <v>43</v>
      </c>
      <c r="D8" s="31"/>
      <c r="E8" s="31">
        <v>50458</v>
      </c>
      <c r="F8" s="34" t="s">
        <v>123</v>
      </c>
      <c r="G8" s="31">
        <f>D8+E8</f>
        <v>50458</v>
      </c>
      <c r="H8" s="181"/>
      <c r="I8" s="31"/>
      <c r="J8" s="31"/>
      <c r="K8" s="87"/>
      <c r="L8" s="25"/>
      <c r="M8" s="25"/>
      <c r="N8" s="25"/>
    </row>
    <row r="9" spans="1:14" x14ac:dyDescent="0.5">
      <c r="A9" s="29"/>
      <c r="B9" s="29"/>
      <c r="C9" s="29" t="s">
        <v>44</v>
      </c>
      <c r="D9" s="31"/>
      <c r="E9" s="31">
        <v>4075</v>
      </c>
      <c r="F9" s="34" t="s">
        <v>123</v>
      </c>
      <c r="G9" s="31">
        <f>D9+E9</f>
        <v>4075</v>
      </c>
      <c r="H9" s="181"/>
      <c r="I9" s="31"/>
      <c r="J9" s="31"/>
      <c r="K9" s="31"/>
      <c r="L9" s="25"/>
      <c r="M9" s="25"/>
      <c r="N9" s="25"/>
    </row>
    <row r="10" spans="1:14" x14ac:dyDescent="0.5">
      <c r="A10" s="29"/>
      <c r="B10" s="22"/>
      <c r="C10" s="29" t="s">
        <v>42</v>
      </c>
      <c r="D10" s="31">
        <v>54811</v>
      </c>
      <c r="E10" s="31">
        <f>-E8-E9</f>
        <v>-54533</v>
      </c>
      <c r="F10" s="34" t="s">
        <v>123</v>
      </c>
      <c r="G10" s="31">
        <f>D10+E10</f>
        <v>278</v>
      </c>
      <c r="H10" s="181"/>
      <c r="I10" s="31"/>
      <c r="J10" s="31"/>
      <c r="K10" s="31"/>
      <c r="L10" s="25"/>
      <c r="M10" s="25"/>
      <c r="N10" s="25"/>
    </row>
    <row r="11" spans="1:14" x14ac:dyDescent="0.5">
      <c r="A11" s="36" t="s">
        <v>13</v>
      </c>
      <c r="B11" s="29"/>
      <c r="C11" s="29"/>
      <c r="D11" s="31">
        <f>SUM(D6:D10)</f>
        <v>1527417</v>
      </c>
      <c r="E11" s="33"/>
      <c r="F11" s="34"/>
      <c r="G11" s="33">
        <f>SUM(G6:G10)</f>
        <v>1533878.0809999998</v>
      </c>
      <c r="H11" s="181"/>
      <c r="I11" s="31"/>
      <c r="J11" s="31"/>
      <c r="K11" s="31"/>
      <c r="L11" s="25"/>
      <c r="M11" s="25"/>
      <c r="N11" s="25"/>
    </row>
    <row r="12" spans="1:14" x14ac:dyDescent="0.5">
      <c r="A12" s="29"/>
      <c r="B12" s="29"/>
      <c r="C12" s="29"/>
      <c r="D12" s="31"/>
      <c r="E12" s="29"/>
      <c r="F12" s="34"/>
      <c r="G12" s="35"/>
      <c r="H12" s="181"/>
      <c r="I12" s="31"/>
      <c r="J12" s="31"/>
      <c r="K12" s="31"/>
      <c r="M12" s="25"/>
      <c r="N12" s="25"/>
    </row>
    <row r="13" spans="1:14" x14ac:dyDescent="0.5">
      <c r="A13" s="32" t="s">
        <v>14</v>
      </c>
      <c r="B13" s="29"/>
      <c r="C13" s="29"/>
      <c r="D13" s="31"/>
      <c r="E13" s="29"/>
      <c r="F13" s="34"/>
      <c r="G13" s="35"/>
      <c r="H13" s="181"/>
      <c r="I13" s="31"/>
      <c r="J13" s="31"/>
      <c r="K13" s="31"/>
      <c r="M13" s="25"/>
      <c r="N13" s="25"/>
    </row>
    <row r="14" spans="1:14" x14ac:dyDescent="0.5">
      <c r="A14" s="29"/>
      <c r="B14" s="29" t="s">
        <v>23</v>
      </c>
      <c r="C14" s="29"/>
      <c r="D14" s="31"/>
      <c r="E14" s="29"/>
      <c r="F14" s="34"/>
      <c r="G14" s="31"/>
      <c r="H14" s="181"/>
      <c r="I14" s="31"/>
      <c r="J14" s="31"/>
      <c r="K14" s="25"/>
      <c r="L14" s="25"/>
      <c r="M14" s="25"/>
      <c r="N14" s="25"/>
    </row>
    <row r="15" spans="1:14" x14ac:dyDescent="0.5">
      <c r="A15" s="29"/>
      <c r="B15" s="29"/>
      <c r="C15" s="29" t="s">
        <v>27</v>
      </c>
      <c r="D15" s="31">
        <v>546881</v>
      </c>
      <c r="E15" s="31">
        <f>Adj!Q9</f>
        <v>15312.668</v>
      </c>
      <c r="F15" s="34" t="s">
        <v>54</v>
      </c>
      <c r="G15" s="31">
        <f>D15+E15</f>
        <v>562193.66799999995</v>
      </c>
      <c r="H15" s="180" t="s">
        <v>194</v>
      </c>
      <c r="J15" s="31"/>
      <c r="K15" s="25"/>
      <c r="L15" s="25"/>
      <c r="M15" s="25"/>
      <c r="N15" s="25"/>
    </row>
    <row r="16" spans="1:14" x14ac:dyDescent="0.5">
      <c r="A16" s="29"/>
      <c r="B16" s="29"/>
      <c r="C16" s="29" t="s">
        <v>28</v>
      </c>
      <c r="D16" s="31">
        <v>27600</v>
      </c>
      <c r="E16" s="107"/>
      <c r="F16" s="34"/>
      <c r="G16" s="31">
        <f t="shared" ref="G16:G25" si="0">D16+E16</f>
        <v>27600</v>
      </c>
      <c r="H16" s="181"/>
      <c r="J16" s="31"/>
      <c r="K16" s="31"/>
      <c r="L16" s="25"/>
      <c r="M16" s="25"/>
      <c r="N16" s="25"/>
    </row>
    <row r="17" spans="1:14" x14ac:dyDescent="0.5">
      <c r="A17" s="29"/>
      <c r="B17" s="29"/>
      <c r="C17" s="29" t="s">
        <v>29</v>
      </c>
      <c r="D17" s="31">
        <v>232337</v>
      </c>
      <c r="E17" s="31">
        <f>Adj!Q14</f>
        <v>765.63340000000005</v>
      </c>
      <c r="F17" s="34" t="s">
        <v>56</v>
      </c>
      <c r="G17" s="31"/>
      <c r="H17" s="180" t="s">
        <v>206</v>
      </c>
      <c r="I17" s="31"/>
      <c r="J17" s="31"/>
      <c r="K17" s="31"/>
      <c r="L17" s="25"/>
      <c r="M17" s="25"/>
      <c r="N17" s="25"/>
    </row>
    <row r="18" spans="1:14" x14ac:dyDescent="0.5">
      <c r="A18" s="29"/>
      <c r="B18" s="29"/>
      <c r="C18" s="29"/>
      <c r="D18" s="31"/>
      <c r="E18" s="31">
        <f>-Adj!Q27</f>
        <v>-79039.440199999997</v>
      </c>
      <c r="F18" s="38"/>
      <c r="G18" s="31">
        <f>D17+E17+E18</f>
        <v>154063.19319999998</v>
      </c>
      <c r="H18" s="180"/>
      <c r="I18" s="37"/>
      <c r="J18" s="31"/>
      <c r="K18" s="31"/>
      <c r="L18" s="25"/>
      <c r="M18" s="25"/>
      <c r="N18" s="25"/>
    </row>
    <row r="19" spans="1:14" x14ac:dyDescent="0.5">
      <c r="A19" s="29"/>
      <c r="B19" s="29"/>
      <c r="C19" s="29" t="s">
        <v>30</v>
      </c>
      <c r="D19" s="31">
        <v>271646</v>
      </c>
      <c r="E19" s="31">
        <f>D19*-Adj!$I$17</f>
        <v>-48531.22185976561</v>
      </c>
      <c r="F19" s="34" t="s">
        <v>75</v>
      </c>
      <c r="G19" s="31">
        <f t="shared" si="0"/>
        <v>223114.77814023438</v>
      </c>
      <c r="H19" s="180" t="s">
        <v>117</v>
      </c>
      <c r="I19" s="31"/>
      <c r="J19" s="31"/>
      <c r="K19" s="31"/>
      <c r="L19" s="25"/>
      <c r="M19" s="25"/>
      <c r="N19" s="25"/>
    </row>
    <row r="20" spans="1:14" x14ac:dyDescent="0.5">
      <c r="A20" s="29"/>
      <c r="B20" s="29"/>
      <c r="C20" s="29" t="s">
        <v>190</v>
      </c>
      <c r="D20" s="31">
        <v>96555</v>
      </c>
      <c r="E20" s="31">
        <f>D20*-Adj!$I$17</f>
        <v>-17250.142194877408</v>
      </c>
      <c r="F20" s="34" t="s">
        <v>75</v>
      </c>
      <c r="G20" s="31">
        <f t="shared" si="0"/>
        <v>79304.857805122592</v>
      </c>
      <c r="H20" s="180"/>
      <c r="I20" s="31"/>
      <c r="J20" s="31"/>
      <c r="K20" s="31"/>
      <c r="L20" s="25"/>
      <c r="M20" s="25"/>
      <c r="N20" s="25"/>
    </row>
    <row r="21" spans="1:14" x14ac:dyDescent="0.5">
      <c r="A21" s="29"/>
      <c r="B21" s="29"/>
      <c r="C21" s="29" t="s">
        <v>114</v>
      </c>
      <c r="D21" s="31">
        <v>130293</v>
      </c>
      <c r="E21" s="107"/>
      <c r="F21" s="34"/>
      <c r="G21" s="31">
        <f t="shared" si="0"/>
        <v>130293</v>
      </c>
      <c r="H21" s="189"/>
      <c r="I21" s="31"/>
      <c r="J21" s="95"/>
      <c r="K21" s="31"/>
      <c r="L21" s="25"/>
      <c r="M21" s="25"/>
      <c r="N21" s="25"/>
    </row>
    <row r="22" spans="1:14" x14ac:dyDescent="0.5">
      <c r="A22" s="29"/>
      <c r="B22" s="29"/>
      <c r="C22" s="29" t="s">
        <v>31</v>
      </c>
      <c r="D22" s="31">
        <f>13350+9247+2341</f>
        <v>24938</v>
      </c>
      <c r="E22" s="31"/>
      <c r="G22" s="31">
        <f t="shared" si="0"/>
        <v>24938</v>
      </c>
      <c r="H22" s="181"/>
      <c r="I22" s="31"/>
      <c r="J22" s="31"/>
      <c r="K22" s="31"/>
      <c r="L22" s="25"/>
      <c r="M22" s="25"/>
      <c r="N22" s="25"/>
    </row>
    <row r="23" spans="1:14" x14ac:dyDescent="0.5">
      <c r="A23" s="29"/>
      <c r="B23" s="29"/>
      <c r="C23" s="29" t="s">
        <v>38</v>
      </c>
      <c r="D23" s="31">
        <v>44455</v>
      </c>
      <c r="E23" s="31"/>
      <c r="F23" s="34"/>
      <c r="G23" s="31">
        <f t="shared" si="0"/>
        <v>44455</v>
      </c>
      <c r="H23" s="181"/>
      <c r="I23" s="31"/>
      <c r="J23" s="31"/>
      <c r="K23" s="31"/>
      <c r="L23" s="25"/>
      <c r="M23" s="25"/>
      <c r="N23" s="25"/>
    </row>
    <row r="24" spans="1:14" x14ac:dyDescent="0.5">
      <c r="A24" s="29"/>
      <c r="B24" s="29"/>
      <c r="C24" s="29" t="s">
        <v>207</v>
      </c>
      <c r="D24" s="31">
        <v>51209</v>
      </c>
      <c r="E24" s="31"/>
      <c r="F24" s="34"/>
      <c r="G24" s="31">
        <f t="shared" si="0"/>
        <v>51209</v>
      </c>
      <c r="H24" s="181"/>
      <c r="I24" s="31"/>
      <c r="J24" s="31"/>
      <c r="K24" s="31"/>
      <c r="L24" s="25"/>
      <c r="M24" s="25"/>
      <c r="N24" s="25"/>
    </row>
    <row r="25" spans="1:14" x14ac:dyDescent="0.5">
      <c r="A25" s="29"/>
      <c r="B25" s="29"/>
      <c r="C25" s="29" t="s">
        <v>32</v>
      </c>
      <c r="D25" s="31">
        <v>18672</v>
      </c>
      <c r="E25" s="31"/>
      <c r="F25" s="34"/>
      <c r="G25" s="31">
        <f t="shared" si="0"/>
        <v>18672</v>
      </c>
      <c r="H25" s="181"/>
      <c r="I25" s="31"/>
      <c r="J25" s="31"/>
      <c r="K25" s="31"/>
      <c r="L25" s="25"/>
      <c r="M25" s="25"/>
      <c r="N25" s="25"/>
    </row>
    <row r="26" spans="1:14" x14ac:dyDescent="0.5">
      <c r="A26" s="29"/>
      <c r="B26" s="29"/>
      <c r="C26" s="29" t="s">
        <v>33</v>
      </c>
      <c r="D26" s="31">
        <v>60417</v>
      </c>
      <c r="G26" s="31">
        <f>D26+E27</f>
        <v>60417</v>
      </c>
      <c r="H26" s="180"/>
      <c r="I26" s="31"/>
      <c r="J26" s="31"/>
      <c r="K26" s="31"/>
      <c r="L26" s="25"/>
      <c r="M26" s="25"/>
      <c r="N26" s="25"/>
    </row>
    <row r="27" spans="1:14" x14ac:dyDescent="0.5">
      <c r="A27" s="29"/>
      <c r="B27" s="36" t="s">
        <v>24</v>
      </c>
      <c r="C27" s="29"/>
      <c r="D27" s="31">
        <f>SUM(D15:D26)</f>
        <v>1505003</v>
      </c>
      <c r="E27" s="31"/>
      <c r="F27" s="34"/>
      <c r="G27" s="31">
        <f>SUM(G15:G26)</f>
        <v>1376260.4971453571</v>
      </c>
      <c r="H27" s="181"/>
      <c r="I27" s="31"/>
      <c r="J27" s="31"/>
      <c r="K27" s="31"/>
      <c r="L27" s="25"/>
      <c r="M27" s="25"/>
      <c r="N27" s="25"/>
    </row>
    <row r="28" spans="1:14" ht="6.95" customHeight="1" x14ac:dyDescent="0.5">
      <c r="A28" s="29"/>
      <c r="B28" s="29"/>
      <c r="C28" s="29"/>
      <c r="D28" s="31"/>
      <c r="E28" s="29"/>
      <c r="F28" s="34"/>
      <c r="G28" s="31"/>
      <c r="H28" s="181"/>
      <c r="I28" s="31"/>
      <c r="J28" s="31"/>
      <c r="K28" s="31"/>
      <c r="L28" s="25"/>
      <c r="M28" s="25"/>
      <c r="N28" s="25"/>
    </row>
    <row r="29" spans="1:14" x14ac:dyDescent="0.5">
      <c r="A29" s="29"/>
      <c r="B29" s="29" t="s">
        <v>25</v>
      </c>
      <c r="C29" s="29"/>
      <c r="D29" s="31">
        <v>855250</v>
      </c>
      <c r="E29" s="35">
        <f>DeprAdj!K55</f>
        <v>-50676.952499387153</v>
      </c>
      <c r="F29" s="38" t="s">
        <v>76</v>
      </c>
      <c r="G29" s="31">
        <f>D29+E29</f>
        <v>804573.0475006128</v>
      </c>
      <c r="H29" s="196" t="s">
        <v>110</v>
      </c>
      <c r="I29" s="31"/>
      <c r="J29" s="31"/>
      <c r="K29" s="31"/>
      <c r="L29" s="25"/>
      <c r="M29" s="25"/>
      <c r="N29" s="25"/>
    </row>
    <row r="30" spans="1:14" x14ac:dyDescent="0.5">
      <c r="A30" s="29"/>
      <c r="B30" s="29" t="s">
        <v>26</v>
      </c>
      <c r="C30" s="29"/>
      <c r="D30" s="31">
        <v>40119</v>
      </c>
      <c r="E30" s="35">
        <f>Adj!Q19</f>
        <v>1171.4191019999998</v>
      </c>
      <c r="F30" s="38" t="s">
        <v>78</v>
      </c>
      <c r="G30" s="31">
        <f>D30+E30</f>
        <v>41290.419102</v>
      </c>
      <c r="H30" s="180" t="s">
        <v>208</v>
      </c>
      <c r="I30" s="31"/>
      <c r="J30" s="31"/>
      <c r="K30" s="31"/>
      <c r="L30" s="25"/>
      <c r="M30" s="25"/>
      <c r="N30" s="25"/>
    </row>
    <row r="31" spans="1:14" x14ac:dyDescent="0.5">
      <c r="A31" s="36" t="s">
        <v>15</v>
      </c>
      <c r="B31" s="29"/>
      <c r="C31" s="29"/>
      <c r="D31" s="33">
        <f>SUM(D27:D30)</f>
        <v>2400372</v>
      </c>
      <c r="E31" s="33"/>
      <c r="F31" s="34"/>
      <c r="G31" s="33">
        <f>SUM(G27:G30)</f>
        <v>2222123.9637479698</v>
      </c>
      <c r="H31" s="31"/>
      <c r="I31" s="31"/>
      <c r="J31" s="31"/>
      <c r="K31" s="31">
        <v>2301163.4039479699</v>
      </c>
      <c r="L31" s="25"/>
      <c r="M31" s="25"/>
      <c r="N31" s="25"/>
    </row>
    <row r="32" spans="1:14" x14ac:dyDescent="0.5">
      <c r="A32" s="36" t="s">
        <v>39</v>
      </c>
      <c r="B32" s="29"/>
      <c r="C32" s="29"/>
      <c r="D32" s="33">
        <f>D11-D31</f>
        <v>-872955</v>
      </c>
      <c r="E32" s="33"/>
      <c r="F32" s="34"/>
      <c r="G32" s="33">
        <f>G11-G31</f>
        <v>-688245.88274797006</v>
      </c>
      <c r="H32" s="31"/>
      <c r="I32" s="31"/>
      <c r="J32" s="31"/>
      <c r="K32" s="31"/>
      <c r="L32" s="25"/>
      <c r="M32" s="25"/>
      <c r="N32" s="25"/>
    </row>
    <row r="33" spans="1:14" x14ac:dyDescent="0.5">
      <c r="A33" s="29"/>
      <c r="B33" s="29" t="s">
        <v>112</v>
      </c>
      <c r="C33" s="29"/>
      <c r="D33" s="96">
        <v>0</v>
      </c>
      <c r="E33" s="96"/>
      <c r="F33" s="97"/>
      <c r="G33" s="96">
        <f>D33+E33</f>
        <v>0</v>
      </c>
      <c r="H33" s="31"/>
      <c r="I33" s="31"/>
      <c r="J33" s="31"/>
      <c r="K33" s="31"/>
      <c r="L33" s="25"/>
      <c r="M33" s="25"/>
      <c r="N33" s="25"/>
    </row>
    <row r="34" spans="1:14" x14ac:dyDescent="0.5">
      <c r="A34" s="36" t="s">
        <v>72</v>
      </c>
      <c r="B34" s="29"/>
      <c r="C34" s="29"/>
      <c r="D34" s="33">
        <f>D32+D33</f>
        <v>-872955</v>
      </c>
      <c r="E34" s="29"/>
      <c r="F34" s="34"/>
      <c r="G34" s="33">
        <f>G32+G33</f>
        <v>-688245.88274797006</v>
      </c>
      <c r="H34" s="31"/>
      <c r="I34" s="31"/>
      <c r="J34" s="31"/>
      <c r="K34" s="31"/>
      <c r="L34" s="25"/>
      <c r="M34" s="25"/>
      <c r="N34" s="25"/>
    </row>
    <row r="35" spans="1:14" x14ac:dyDescent="0.5">
      <c r="A35" s="29"/>
      <c r="B35" s="29"/>
      <c r="C35" s="29"/>
      <c r="D35" s="35"/>
      <c r="E35" s="29"/>
      <c r="F35" s="34"/>
      <c r="G35" s="35"/>
      <c r="H35" s="31"/>
      <c r="I35" s="31"/>
      <c r="J35" s="31"/>
      <c r="K35" s="31"/>
      <c r="L35" s="25"/>
      <c r="M35" s="25"/>
      <c r="N35" s="25"/>
    </row>
    <row r="36" spans="1:14" ht="18" x14ac:dyDescent="0.5">
      <c r="A36" s="265" t="s">
        <v>53</v>
      </c>
      <c r="B36" s="265"/>
      <c r="C36" s="265"/>
      <c r="D36" s="265"/>
      <c r="E36" s="265"/>
      <c r="F36" s="265"/>
      <c r="G36" s="265"/>
      <c r="H36" s="31"/>
      <c r="I36" s="31"/>
      <c r="J36" s="31"/>
      <c r="K36" s="31"/>
      <c r="L36" s="25"/>
      <c r="M36" s="25"/>
      <c r="N36" s="25"/>
    </row>
    <row r="37" spans="1:14" ht="8.1" customHeight="1" x14ac:dyDescent="0.5">
      <c r="A37" s="112"/>
      <c r="B37" s="112"/>
      <c r="C37" s="112"/>
      <c r="D37" s="112"/>
      <c r="E37" s="112"/>
      <c r="F37" s="112"/>
      <c r="G37" s="112"/>
      <c r="H37" s="31"/>
      <c r="I37" s="31"/>
      <c r="J37" s="31"/>
      <c r="K37" s="31"/>
      <c r="L37" s="25"/>
      <c r="M37" s="25"/>
      <c r="N37" s="25"/>
    </row>
    <row r="38" spans="1:14" x14ac:dyDescent="0.5">
      <c r="A38" s="36" t="s">
        <v>16</v>
      </c>
      <c r="B38" s="29"/>
      <c r="C38" s="29"/>
      <c r="D38" s="22"/>
      <c r="E38" s="29"/>
      <c r="F38" s="34"/>
      <c r="G38" s="179">
        <f>G31</f>
        <v>2222123.9637479698</v>
      </c>
      <c r="H38" s="31"/>
      <c r="I38" s="31"/>
      <c r="J38" s="31"/>
      <c r="K38" s="31"/>
      <c r="L38" s="25"/>
      <c r="M38" s="25"/>
      <c r="N38" s="25"/>
    </row>
    <row r="39" spans="1:14" x14ac:dyDescent="0.5">
      <c r="A39" s="29" t="s">
        <v>17</v>
      </c>
      <c r="B39" s="29"/>
      <c r="C39" s="29" t="s">
        <v>59</v>
      </c>
      <c r="D39" s="22"/>
      <c r="E39" s="29"/>
      <c r="F39" s="38" t="s">
        <v>78</v>
      </c>
      <c r="G39" s="31">
        <f>DSch!M20</f>
        <v>290619.93599999993</v>
      </c>
      <c r="H39" s="31"/>
      <c r="I39" s="31"/>
      <c r="J39" s="31"/>
      <c r="K39" s="31"/>
      <c r="L39" s="25"/>
      <c r="M39" s="25"/>
      <c r="N39" s="25"/>
    </row>
    <row r="40" spans="1:14" x14ac:dyDescent="0.5">
      <c r="A40" s="29"/>
      <c r="B40" s="29"/>
      <c r="C40" s="29" t="s">
        <v>34</v>
      </c>
      <c r="D40" s="22"/>
      <c r="E40" s="29"/>
      <c r="F40" s="38" t="s">
        <v>111</v>
      </c>
      <c r="G40" s="31">
        <f>DSch!M22</f>
        <v>58123.987199999989</v>
      </c>
      <c r="H40" s="31"/>
      <c r="I40" s="27"/>
      <c r="J40" s="31"/>
      <c r="K40" s="31"/>
      <c r="L40" s="25"/>
      <c r="M40" s="25"/>
      <c r="N40" s="25"/>
    </row>
    <row r="41" spans="1:14" ht="6.95" customHeight="1" x14ac:dyDescent="0.5">
      <c r="A41" s="29"/>
      <c r="B41" s="29"/>
      <c r="C41" s="29"/>
      <c r="D41" s="22"/>
      <c r="E41" s="29"/>
      <c r="F41" s="34"/>
      <c r="G41" s="31"/>
      <c r="H41" s="31"/>
      <c r="I41" s="27"/>
      <c r="J41" s="31"/>
      <c r="K41" s="31"/>
      <c r="L41" s="25"/>
      <c r="M41" s="25"/>
      <c r="N41" s="25"/>
    </row>
    <row r="42" spans="1:14" x14ac:dyDescent="0.5">
      <c r="A42" s="36" t="s">
        <v>40</v>
      </c>
      <c r="B42" s="29"/>
      <c r="C42" s="29"/>
      <c r="D42" s="22"/>
      <c r="E42" s="29"/>
      <c r="F42" s="34"/>
      <c r="G42" s="31">
        <f>SUM(G38:G40)</f>
        <v>2570867.8869479694</v>
      </c>
      <c r="H42" s="31"/>
      <c r="I42" s="27"/>
      <c r="J42" s="31"/>
      <c r="K42" s="31"/>
      <c r="L42" s="25"/>
      <c r="M42" s="25"/>
      <c r="N42" s="25"/>
    </row>
    <row r="43" spans="1:14" x14ac:dyDescent="0.5">
      <c r="A43" s="29" t="s">
        <v>18</v>
      </c>
      <c r="B43" s="29"/>
      <c r="C43" s="29" t="s">
        <v>22</v>
      </c>
      <c r="D43" s="22"/>
      <c r="E43" s="29"/>
      <c r="F43" s="34"/>
      <c r="G43" s="178">
        <f>SUM(G8:G10)</f>
        <v>54811</v>
      </c>
      <c r="H43" s="31"/>
      <c r="I43" s="27"/>
      <c r="J43" s="31"/>
      <c r="K43" s="31"/>
      <c r="L43" s="25"/>
      <c r="M43" s="25"/>
      <c r="N43" s="25"/>
    </row>
    <row r="44" spans="1:14" x14ac:dyDescent="0.5">
      <c r="A44" s="29"/>
      <c r="B44" s="29"/>
      <c r="C44" s="29" t="s">
        <v>80</v>
      </c>
      <c r="D44" s="22"/>
      <c r="E44" s="29"/>
      <c r="F44" s="34"/>
      <c r="G44" s="31">
        <v>2972</v>
      </c>
      <c r="H44" s="31"/>
      <c r="I44" s="27"/>
      <c r="J44" s="31"/>
      <c r="K44" s="31"/>
      <c r="L44" s="25"/>
      <c r="M44" s="25"/>
      <c r="N44" s="25"/>
    </row>
    <row r="45" spans="1:14" x14ac:dyDescent="0.5">
      <c r="A45" s="29"/>
      <c r="B45" s="29"/>
      <c r="C45" s="27" t="s">
        <v>115</v>
      </c>
      <c r="D45" s="22"/>
      <c r="E45" s="29"/>
      <c r="F45" s="34"/>
      <c r="G45" s="31">
        <v>0</v>
      </c>
      <c r="H45" s="31"/>
      <c r="I45" s="92"/>
      <c r="J45" s="31"/>
      <c r="K45" s="31"/>
      <c r="L45" s="29"/>
      <c r="M45" s="29"/>
      <c r="N45" s="29"/>
    </row>
    <row r="46" spans="1:14" ht="6.95" customHeight="1" x14ac:dyDescent="0.5">
      <c r="A46" s="29"/>
      <c r="B46" s="29"/>
      <c r="C46" s="29"/>
      <c r="D46" s="22"/>
      <c r="E46" s="29"/>
      <c r="F46" s="34"/>
      <c r="G46" s="31"/>
      <c r="H46" s="31"/>
      <c r="I46" s="1"/>
      <c r="J46" s="31"/>
      <c r="K46" s="31"/>
      <c r="L46" s="29"/>
      <c r="M46" s="29"/>
      <c r="N46" s="29"/>
    </row>
    <row r="47" spans="1:14" x14ac:dyDescent="0.5">
      <c r="A47" s="36" t="s">
        <v>19</v>
      </c>
      <c r="B47" s="29"/>
      <c r="C47" s="29"/>
      <c r="D47" s="22"/>
      <c r="E47" s="29"/>
      <c r="F47" s="34"/>
      <c r="G47" s="31">
        <f>G42-G43-G44-G45</f>
        <v>2513084.8869479694</v>
      </c>
      <c r="I47" s="3"/>
      <c r="J47" s="88"/>
      <c r="K47" s="31"/>
      <c r="L47" s="29"/>
      <c r="M47" s="29"/>
      <c r="N47" s="29"/>
    </row>
    <row r="48" spans="1:14" x14ac:dyDescent="0.5">
      <c r="A48" s="29" t="s">
        <v>18</v>
      </c>
      <c r="B48" s="29"/>
      <c r="C48" s="29" t="s">
        <v>41</v>
      </c>
      <c r="D48" s="22"/>
      <c r="E48" s="29"/>
      <c r="F48" s="34"/>
      <c r="G48" s="31">
        <f>-G6</f>
        <v>-1479067.0809999998</v>
      </c>
      <c r="H48" s="31"/>
      <c r="I48" s="1"/>
      <c r="J48" s="31"/>
      <c r="K48" s="31"/>
      <c r="L48" s="29"/>
      <c r="M48" s="29"/>
      <c r="N48" s="29"/>
    </row>
    <row r="49" spans="1:14" ht="6.95" customHeight="1" x14ac:dyDescent="0.5">
      <c r="A49" s="29"/>
      <c r="B49" s="29"/>
      <c r="C49" s="29"/>
      <c r="D49" s="22"/>
      <c r="E49" s="29"/>
      <c r="F49" s="34"/>
      <c r="G49" s="35"/>
      <c r="H49" s="31"/>
      <c r="I49" s="1"/>
      <c r="J49" s="31"/>
      <c r="K49" s="31"/>
      <c r="L49" s="29"/>
      <c r="M49" s="29"/>
      <c r="N49" s="29"/>
    </row>
    <row r="50" spans="1:14" x14ac:dyDescent="0.5">
      <c r="A50" s="36" t="s">
        <v>20</v>
      </c>
      <c r="B50" s="29"/>
      <c r="C50" s="29"/>
      <c r="D50" s="22"/>
      <c r="E50" s="29"/>
      <c r="F50" s="34"/>
      <c r="G50" s="33">
        <f>G47+G48</f>
        <v>1034017.8059479697</v>
      </c>
      <c r="H50" s="31"/>
      <c r="I50" s="1"/>
      <c r="J50" s="31"/>
      <c r="K50" s="31"/>
      <c r="L50" s="29"/>
      <c r="M50" s="29"/>
      <c r="N50" s="29"/>
    </row>
    <row r="51" spans="1:14" ht="6.95" customHeight="1" x14ac:dyDescent="0.5">
      <c r="A51" s="29"/>
      <c r="B51" s="29"/>
      <c r="C51" s="29"/>
      <c r="D51" s="22"/>
      <c r="E51" s="29"/>
      <c r="F51" s="34"/>
      <c r="G51" s="29"/>
      <c r="H51" s="25"/>
      <c r="I51" s="1"/>
      <c r="J51" s="29"/>
      <c r="K51" s="29"/>
      <c r="L51" s="29"/>
      <c r="M51" s="29"/>
      <c r="N51" s="29"/>
    </row>
    <row r="52" spans="1:14" x14ac:dyDescent="0.5">
      <c r="A52" s="36" t="s">
        <v>21</v>
      </c>
      <c r="B52" s="29"/>
      <c r="C52" s="29"/>
      <c r="D52" s="22"/>
      <c r="E52" s="29"/>
      <c r="F52" s="34"/>
      <c r="G52" s="39">
        <f>ROUND(G50/-G48,3)</f>
        <v>0.69899999999999995</v>
      </c>
      <c r="H52" s="25"/>
      <c r="I52" s="1"/>
      <c r="J52" s="39"/>
      <c r="K52" s="39"/>
      <c r="L52" s="29"/>
      <c r="M52" s="29"/>
      <c r="N52" s="29"/>
    </row>
  </sheetData>
  <mergeCells count="2">
    <mergeCell ref="A36:G36"/>
    <mergeCell ref="A2:G2"/>
  </mergeCells>
  <printOptions horizontalCentered="1"/>
  <pageMargins left="1.1000000000000001" right="1" top="0.6" bottom="0.5" header="0" footer="0"/>
  <pageSetup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5"/>
  <sheetViews>
    <sheetView workbookViewId="0"/>
  </sheetViews>
  <sheetFormatPr defaultRowHeight="15" x14ac:dyDescent="0.4"/>
  <cols>
    <col min="2" max="2" width="1.77734375" customWidth="1"/>
    <col min="3" max="3" width="9.77734375" customWidth="1"/>
    <col min="4" max="4" width="9" bestFit="1" customWidth="1"/>
    <col min="7" max="7" width="9.33203125" customWidth="1"/>
    <col min="8" max="8" width="1.77734375" customWidth="1"/>
    <col min="9" max="9" width="9" bestFit="1" customWidth="1"/>
    <col min="12" max="12" width="9.33203125" customWidth="1"/>
    <col min="13" max="13" width="1.88671875" customWidth="1"/>
  </cols>
  <sheetData>
    <row r="1" spans="1:13" ht="15.75" x14ac:dyDescent="0.5">
      <c r="A1" s="27"/>
      <c r="B1" s="27"/>
      <c r="C1" s="27"/>
    </row>
    <row r="2" spans="1:13" ht="15.75" x14ac:dyDescent="0.5">
      <c r="A2" s="27"/>
      <c r="B2" s="27"/>
      <c r="C2" s="27"/>
    </row>
    <row r="3" spans="1:13" ht="15.75" x14ac:dyDescent="0.5">
      <c r="A3" s="27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ht="18" x14ac:dyDescent="0.55000000000000004">
      <c r="A4" s="27"/>
      <c r="B4" s="169"/>
      <c r="C4" s="283" t="s">
        <v>281</v>
      </c>
      <c r="D4" s="283"/>
      <c r="E4" s="283"/>
      <c r="F4" s="283"/>
      <c r="G4" s="283"/>
      <c r="H4" s="283"/>
      <c r="I4" s="283"/>
      <c r="J4" s="283"/>
      <c r="K4" s="283"/>
      <c r="L4" s="283"/>
      <c r="M4" s="173"/>
    </row>
    <row r="5" spans="1:13" ht="18" x14ac:dyDescent="0.55000000000000004">
      <c r="A5" s="27"/>
      <c r="B5" s="169"/>
      <c r="C5" s="283" t="s">
        <v>186</v>
      </c>
      <c r="D5" s="283"/>
      <c r="E5" s="283"/>
      <c r="F5" s="283"/>
      <c r="G5" s="283"/>
      <c r="H5" s="283"/>
      <c r="I5" s="283"/>
      <c r="J5" s="283"/>
      <c r="K5" s="283"/>
      <c r="L5" s="283"/>
      <c r="M5" s="173"/>
    </row>
    <row r="6" spans="1:13" ht="15.75" x14ac:dyDescent="0.5">
      <c r="A6" s="27"/>
      <c r="B6" s="169"/>
      <c r="C6" s="285" t="s">
        <v>189</v>
      </c>
      <c r="D6" s="285"/>
      <c r="E6" s="285"/>
      <c r="F6" s="285"/>
      <c r="G6" s="285"/>
      <c r="H6" s="285"/>
      <c r="I6" s="285"/>
      <c r="J6" s="285"/>
      <c r="K6" s="285"/>
      <c r="L6" s="285"/>
      <c r="M6" s="173"/>
    </row>
    <row r="7" spans="1:13" ht="15.75" x14ac:dyDescent="0.5">
      <c r="A7" s="27"/>
      <c r="B7" s="174"/>
      <c r="C7" s="175"/>
      <c r="D7" s="175"/>
      <c r="E7" s="175"/>
      <c r="F7" s="175"/>
      <c r="G7" s="175"/>
      <c r="H7" s="27"/>
      <c r="I7" s="27"/>
      <c r="J7" s="27"/>
      <c r="K7" s="27"/>
      <c r="L7" s="27"/>
      <c r="M7" s="173"/>
    </row>
    <row r="8" spans="1:13" ht="17.649999999999999" x14ac:dyDescent="0.75">
      <c r="B8" s="115"/>
      <c r="C8" s="116"/>
      <c r="D8" s="288" t="s">
        <v>268</v>
      </c>
      <c r="E8" s="289"/>
      <c r="F8" s="289"/>
      <c r="G8" s="289"/>
      <c r="H8" s="117"/>
      <c r="I8" s="288" t="s">
        <v>269</v>
      </c>
      <c r="J8" s="289"/>
      <c r="K8" s="289"/>
      <c r="L8" s="289"/>
      <c r="M8" s="248"/>
    </row>
    <row r="9" spans="1:13" ht="17.649999999999999" x14ac:dyDescent="0.75">
      <c r="B9" s="119"/>
      <c r="C9" s="144" t="s">
        <v>174</v>
      </c>
      <c r="D9" s="159" t="s">
        <v>77</v>
      </c>
      <c r="E9" s="144" t="s">
        <v>70</v>
      </c>
      <c r="F9" s="144"/>
      <c r="G9" s="144"/>
      <c r="H9" s="158"/>
      <c r="I9" s="159" t="s">
        <v>77</v>
      </c>
      <c r="J9" s="144" t="s">
        <v>70</v>
      </c>
      <c r="K9" s="144"/>
      <c r="L9" s="144"/>
      <c r="M9" s="249"/>
    </row>
    <row r="10" spans="1:13" ht="17.649999999999999" x14ac:dyDescent="0.75">
      <c r="B10" s="119"/>
      <c r="C10" s="144" t="s">
        <v>175</v>
      </c>
      <c r="D10" s="159" t="s">
        <v>176</v>
      </c>
      <c r="E10" s="144" t="s">
        <v>176</v>
      </c>
      <c r="F10" s="144" t="s">
        <v>79</v>
      </c>
      <c r="G10" s="144" t="s">
        <v>177</v>
      </c>
      <c r="H10" s="158"/>
      <c r="I10" s="159" t="s">
        <v>176</v>
      </c>
      <c r="J10" s="144" t="s">
        <v>176</v>
      </c>
      <c r="K10" s="144" t="s">
        <v>79</v>
      </c>
      <c r="L10" s="250" t="s">
        <v>177</v>
      </c>
      <c r="M10" s="249"/>
    </row>
    <row r="11" spans="1:13" ht="17.649999999999999" x14ac:dyDescent="0.75">
      <c r="B11" s="119"/>
      <c r="C11" s="142">
        <v>1000</v>
      </c>
      <c r="D11" s="251">
        <f>D12</f>
        <v>20.239999999999998</v>
      </c>
      <c r="E11" s="252">
        <f>CalcRates!D24</f>
        <v>24.65</v>
      </c>
      <c r="F11" s="252">
        <f t="shared" ref="F11:F16" si="0">E11-D11</f>
        <v>4.41</v>
      </c>
      <c r="G11" s="161">
        <f t="shared" ref="G11:G16" si="1">F11/D11</f>
        <v>0.21788537549407117</v>
      </c>
      <c r="H11" s="158"/>
      <c r="I11" s="251">
        <f>I12</f>
        <v>30.36</v>
      </c>
      <c r="J11" s="252">
        <f>E11</f>
        <v>24.65</v>
      </c>
      <c r="K11" s="252">
        <f t="shared" ref="K11:K16" si="2">J11-I11</f>
        <v>-5.7100000000000009</v>
      </c>
      <c r="L11" s="161">
        <f t="shared" ref="L11:L16" si="3">K11/I11</f>
        <v>-0.18807641633728595</v>
      </c>
      <c r="M11" s="249"/>
    </row>
    <row r="12" spans="1:13" ht="15.4" x14ac:dyDescent="0.45">
      <c r="B12" s="119"/>
      <c r="C12" s="102">
        <v>2000</v>
      </c>
      <c r="D12" s="160">
        <v>20.239999999999998</v>
      </c>
      <c r="E12" s="148">
        <f>E11+CalcRates!E24</f>
        <v>36.08</v>
      </c>
      <c r="F12" s="148">
        <f t="shared" si="0"/>
        <v>15.84</v>
      </c>
      <c r="G12" s="161">
        <f t="shared" si="1"/>
        <v>0.78260869565217395</v>
      </c>
      <c r="H12" s="162"/>
      <c r="I12" s="160">
        <v>30.36</v>
      </c>
      <c r="J12" s="148">
        <f>E12</f>
        <v>36.08</v>
      </c>
      <c r="K12" s="253">
        <f t="shared" si="2"/>
        <v>5.7199999999999989</v>
      </c>
      <c r="L12" s="254">
        <f t="shared" si="3"/>
        <v>0.18840579710144925</v>
      </c>
      <c r="M12" s="249"/>
    </row>
    <row r="13" spans="1:13" ht="15.4" x14ac:dyDescent="0.45">
      <c r="B13" s="119"/>
      <c r="C13" s="154">
        <v>4000</v>
      </c>
      <c r="D13" s="163">
        <v>31.479999999999997</v>
      </c>
      <c r="E13" s="164">
        <f>E12+2*CalcRates!E24</f>
        <v>58.94</v>
      </c>
      <c r="F13" s="164">
        <f t="shared" si="0"/>
        <v>27.46</v>
      </c>
      <c r="G13" s="165">
        <f t="shared" si="1"/>
        <v>0.87229987293519706</v>
      </c>
      <c r="H13" s="162"/>
      <c r="I13" s="160">
        <v>47.22</v>
      </c>
      <c r="J13" s="148">
        <f t="shared" ref="J13:J20" si="4">E13</f>
        <v>58.94</v>
      </c>
      <c r="K13" s="253">
        <f t="shared" si="2"/>
        <v>11.719999999999999</v>
      </c>
      <c r="L13" s="254">
        <f t="shared" si="3"/>
        <v>0.24819991529013127</v>
      </c>
      <c r="M13" s="249"/>
    </row>
    <row r="14" spans="1:13" ht="15.4" x14ac:dyDescent="0.45">
      <c r="B14" s="119"/>
      <c r="C14" s="102">
        <v>7000</v>
      </c>
      <c r="D14" s="160">
        <v>45.999999999999993</v>
      </c>
      <c r="E14" s="148">
        <f>E13+CalcRates!E24+2*CalcRates!F24</f>
        <v>86.45</v>
      </c>
      <c r="F14" s="148">
        <f t="shared" si="0"/>
        <v>40.45000000000001</v>
      </c>
      <c r="G14" s="161">
        <f t="shared" si="1"/>
        <v>0.87934782608695683</v>
      </c>
      <c r="H14" s="162"/>
      <c r="I14" s="160">
        <v>69.009999999999991</v>
      </c>
      <c r="J14" s="148">
        <f t="shared" si="4"/>
        <v>86.45</v>
      </c>
      <c r="K14" s="148">
        <f t="shared" si="2"/>
        <v>17.440000000000012</v>
      </c>
      <c r="L14" s="161">
        <f t="shared" si="3"/>
        <v>0.25271699753658911</v>
      </c>
      <c r="M14" s="249"/>
    </row>
    <row r="15" spans="1:13" ht="15.4" x14ac:dyDescent="0.45">
      <c r="B15" s="119"/>
      <c r="C15" s="102">
        <v>10000</v>
      </c>
      <c r="D15" s="160">
        <v>59.349999999999994</v>
      </c>
      <c r="E15" s="148">
        <f>E14+3*CalcRates!F24</f>
        <v>110.57</v>
      </c>
      <c r="F15" s="148">
        <f t="shared" si="0"/>
        <v>51.22</v>
      </c>
      <c r="G15" s="161">
        <f t="shared" si="1"/>
        <v>0.86301600673967993</v>
      </c>
      <c r="H15" s="162"/>
      <c r="I15" s="163">
        <v>89.049999999999983</v>
      </c>
      <c r="J15" s="164">
        <f t="shared" si="4"/>
        <v>110.57</v>
      </c>
      <c r="K15" s="164">
        <f t="shared" si="2"/>
        <v>21.52000000000001</v>
      </c>
      <c r="L15" s="165">
        <f t="shared" si="3"/>
        <v>0.24166198764738928</v>
      </c>
      <c r="M15" s="249"/>
    </row>
    <row r="16" spans="1:13" ht="15.4" x14ac:dyDescent="0.45">
      <c r="B16" s="119"/>
      <c r="C16" s="102">
        <v>20000</v>
      </c>
      <c r="D16" s="160">
        <v>95.649999999999991</v>
      </c>
      <c r="E16" s="148">
        <f>E15+10*CalcRates!F24</f>
        <v>190.96999999999997</v>
      </c>
      <c r="F16" s="148">
        <f t="shared" si="0"/>
        <v>95.319999999999979</v>
      </c>
      <c r="G16" s="161">
        <f t="shared" si="1"/>
        <v>0.99654992158912692</v>
      </c>
      <c r="H16" s="162"/>
      <c r="I16" s="160">
        <v>143.54999999999998</v>
      </c>
      <c r="J16" s="148">
        <f t="shared" si="4"/>
        <v>190.96999999999997</v>
      </c>
      <c r="K16" s="148">
        <f t="shared" si="2"/>
        <v>47.419999999999987</v>
      </c>
      <c r="L16" s="161">
        <f t="shared" si="3"/>
        <v>0.33033786137234411</v>
      </c>
      <c r="M16" s="249"/>
    </row>
    <row r="17" spans="2:13" ht="15.4" x14ac:dyDescent="0.45">
      <c r="B17" s="119"/>
      <c r="C17" s="102">
        <v>40000</v>
      </c>
      <c r="D17" s="160">
        <v>161.19999999999999</v>
      </c>
      <c r="E17" s="148">
        <f>E16+5*CalcRates!F24+15*CalcRates!G24</f>
        <v>326.41999999999996</v>
      </c>
      <c r="F17" s="148">
        <f t="shared" ref="F17:F20" si="5">E17-D17</f>
        <v>165.21999999999997</v>
      </c>
      <c r="G17" s="161">
        <f t="shared" ref="G17:G20" si="6">F17/D17</f>
        <v>1.0249379652605457</v>
      </c>
      <c r="H17" s="162"/>
      <c r="I17" s="160">
        <v>241.89999999999998</v>
      </c>
      <c r="J17" s="148">
        <f t="shared" si="4"/>
        <v>326.41999999999996</v>
      </c>
      <c r="K17" s="148">
        <f t="shared" ref="K17:K24" si="7">J17-I17</f>
        <v>84.519999999999982</v>
      </c>
      <c r="L17" s="161">
        <f t="shared" ref="L17:L24" si="8">K17/I17</f>
        <v>0.34940057875155017</v>
      </c>
      <c r="M17" s="249"/>
    </row>
    <row r="18" spans="2:13" ht="15.4" x14ac:dyDescent="0.45">
      <c r="B18" s="119"/>
      <c r="C18" s="102">
        <v>70000</v>
      </c>
      <c r="D18" s="160">
        <v>273.5</v>
      </c>
      <c r="E18" s="148">
        <f>E17+30*CalcRates!G24</f>
        <v>516.91999999999996</v>
      </c>
      <c r="F18" s="148">
        <f t="shared" si="5"/>
        <v>243.41999999999996</v>
      </c>
      <c r="G18" s="161">
        <f t="shared" si="6"/>
        <v>0.89001828153564888</v>
      </c>
      <c r="H18" s="162"/>
      <c r="I18" s="160">
        <v>410.49999999999994</v>
      </c>
      <c r="J18" s="148">
        <f t="shared" si="4"/>
        <v>516.91999999999996</v>
      </c>
      <c r="K18" s="148">
        <f t="shared" si="7"/>
        <v>106.42000000000002</v>
      </c>
      <c r="L18" s="161">
        <f t="shared" si="8"/>
        <v>0.25924482338611454</v>
      </c>
      <c r="M18" s="249"/>
    </row>
    <row r="19" spans="2:13" ht="15.4" x14ac:dyDescent="0.45">
      <c r="B19" s="119"/>
      <c r="C19" s="102">
        <v>100000</v>
      </c>
      <c r="D19" s="160">
        <v>354.2</v>
      </c>
      <c r="E19" s="148">
        <f>E18+30*CalcRates!G24</f>
        <v>707.42</v>
      </c>
      <c r="F19" s="148">
        <f t="shared" si="5"/>
        <v>353.21999999999997</v>
      </c>
      <c r="G19" s="161">
        <f t="shared" si="6"/>
        <v>0.99723320158102757</v>
      </c>
      <c r="H19" s="162"/>
      <c r="I19" s="160">
        <v>531.69999999999993</v>
      </c>
      <c r="J19" s="148">
        <f t="shared" si="4"/>
        <v>707.42</v>
      </c>
      <c r="K19" s="148">
        <f t="shared" si="7"/>
        <v>175.72000000000003</v>
      </c>
      <c r="L19" s="161">
        <f t="shared" si="8"/>
        <v>0.33048711679518533</v>
      </c>
      <c r="M19" s="249"/>
    </row>
    <row r="20" spans="2:13" ht="15.4" x14ac:dyDescent="0.45">
      <c r="B20" s="119"/>
      <c r="C20" s="102">
        <v>150000</v>
      </c>
      <c r="D20" s="160">
        <v>465.2</v>
      </c>
      <c r="E20" s="148">
        <f>E19+50*CalcRates!G24</f>
        <v>1024.92</v>
      </c>
      <c r="F20" s="148">
        <f t="shared" si="5"/>
        <v>559.72</v>
      </c>
      <c r="G20" s="161">
        <f t="shared" si="6"/>
        <v>1.2031814273430783</v>
      </c>
      <c r="H20" s="162"/>
      <c r="I20" s="160">
        <v>698.19999999999993</v>
      </c>
      <c r="J20" s="148">
        <f t="shared" si="4"/>
        <v>1024.92</v>
      </c>
      <c r="K20" s="148">
        <f t="shared" si="7"/>
        <v>326.72000000000014</v>
      </c>
      <c r="L20" s="161">
        <f t="shared" si="8"/>
        <v>0.46794614723574934</v>
      </c>
      <c r="M20" s="249"/>
    </row>
    <row r="21" spans="2:13" ht="15.4" x14ac:dyDescent="0.45">
      <c r="B21" s="119"/>
      <c r="C21" s="102">
        <v>200000</v>
      </c>
      <c r="D21" s="160"/>
      <c r="E21" s="148"/>
      <c r="F21" s="148"/>
      <c r="G21" s="161"/>
      <c r="H21" s="162"/>
      <c r="I21" s="160">
        <v>864.69999999999993</v>
      </c>
      <c r="J21" s="148">
        <f>J20+50*CalcRates!G24</f>
        <v>1342.42</v>
      </c>
      <c r="K21" s="148">
        <f t="shared" si="7"/>
        <v>477.72000000000014</v>
      </c>
      <c r="L21" s="161">
        <f t="shared" si="8"/>
        <v>0.55246906441540444</v>
      </c>
      <c r="M21" s="249"/>
    </row>
    <row r="22" spans="2:13" ht="15.4" x14ac:dyDescent="0.45">
      <c r="B22" s="119"/>
      <c r="C22" s="102">
        <v>300000</v>
      </c>
      <c r="D22" s="160"/>
      <c r="F22" s="148"/>
      <c r="G22" s="161"/>
      <c r="H22" s="162"/>
      <c r="I22" s="160">
        <v>1128.6999999999998</v>
      </c>
      <c r="J22" s="148">
        <f>J21+100*CalcRates!G24</f>
        <v>1977.42</v>
      </c>
      <c r="K22" s="148">
        <f t="shared" si="7"/>
        <v>848.72000000000025</v>
      </c>
      <c r="L22" s="161">
        <f t="shared" si="8"/>
        <v>0.75194471515903283</v>
      </c>
      <c r="M22" s="249"/>
    </row>
    <row r="23" spans="2:13" ht="15.4" x14ac:dyDescent="0.45">
      <c r="B23" s="119"/>
      <c r="C23" s="102">
        <v>500000</v>
      </c>
      <c r="D23" s="160"/>
      <c r="F23" s="148"/>
      <c r="G23" s="161"/>
      <c r="H23" s="162"/>
      <c r="I23" s="160">
        <v>1656.6999999999998</v>
      </c>
      <c r="J23" s="148">
        <f>J22+200*CalcRates!G24</f>
        <v>3247.42</v>
      </c>
      <c r="K23" s="148">
        <f t="shared" si="7"/>
        <v>1590.7200000000003</v>
      </c>
      <c r="L23" s="161">
        <f t="shared" si="8"/>
        <v>0.96017383956057245</v>
      </c>
      <c r="M23" s="249"/>
    </row>
    <row r="24" spans="2:13" ht="15.4" x14ac:dyDescent="0.45">
      <c r="B24" s="119"/>
      <c r="C24" s="102">
        <v>700000</v>
      </c>
      <c r="D24" s="251"/>
      <c r="F24" s="252"/>
      <c r="G24" s="161"/>
      <c r="H24" s="162"/>
      <c r="I24" s="160">
        <v>2184.6999999999998</v>
      </c>
      <c r="J24" s="148">
        <f>J23+200*CalcRates!G24</f>
        <v>4517.42</v>
      </c>
      <c r="K24" s="148">
        <f t="shared" si="7"/>
        <v>2332.7200000000003</v>
      </c>
      <c r="L24" s="161">
        <f t="shared" si="8"/>
        <v>1.0677530095665311</v>
      </c>
      <c r="M24" s="249"/>
    </row>
    <row r="25" spans="2:13" ht="15.4" x14ac:dyDescent="0.45">
      <c r="B25" s="127"/>
      <c r="C25" s="17"/>
      <c r="D25" s="166"/>
      <c r="E25" s="21"/>
      <c r="F25" s="21"/>
      <c r="G25" s="263"/>
      <c r="H25" s="264"/>
      <c r="I25" s="255"/>
      <c r="J25" s="255"/>
      <c r="K25" s="255"/>
      <c r="L25" s="255"/>
      <c r="M25" s="155"/>
    </row>
  </sheetData>
  <mergeCells count="5">
    <mergeCell ref="D8:G8"/>
    <mergeCell ref="I8:L8"/>
    <mergeCell ref="C4:L4"/>
    <mergeCell ref="C5:L5"/>
    <mergeCell ref="C6:L6"/>
  </mergeCells>
  <printOptions horizontalCentered="1"/>
  <pageMargins left="0.45" right="0.45" top="0.75" bottom="1.2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7"/>
  <sheetViews>
    <sheetView workbookViewId="0">
      <selection activeCell="P17" sqref="P17"/>
    </sheetView>
  </sheetViews>
  <sheetFormatPr defaultColWidth="8.88671875" defaultRowHeight="14.25" x14ac:dyDescent="0.45"/>
  <cols>
    <col min="1" max="1" width="9.33203125" style="1" customWidth="1"/>
    <col min="2" max="2" width="8.6640625" style="1" customWidth="1"/>
    <col min="3" max="3" width="9.77734375" style="1" customWidth="1"/>
    <col min="4" max="7" width="10.109375" style="1" customWidth="1"/>
    <col min="8" max="9" width="11.109375" style="1" customWidth="1"/>
    <col min="10" max="12" width="10.109375" style="1" customWidth="1"/>
    <col min="13" max="13" width="11.109375" style="1" customWidth="1"/>
    <col min="14" max="14" width="10.21875" style="1" bestFit="1" customWidth="1"/>
    <col min="15" max="15" width="8.88671875" style="1"/>
    <col min="16" max="16" width="10" style="3" customWidth="1"/>
    <col min="17" max="17" width="7" style="1" customWidth="1"/>
    <col min="18" max="18" width="9" style="1" bestFit="1" customWidth="1"/>
    <col min="19" max="19" width="5.33203125" style="1" customWidth="1"/>
    <col min="20" max="20" width="9" style="1" bestFit="1" customWidth="1"/>
    <col min="21" max="21" width="10.44140625" style="1" customWidth="1"/>
    <col min="22" max="16384" width="8.88671875" style="1"/>
  </cols>
  <sheetData>
    <row r="1" spans="1:21" ht="18" x14ac:dyDescent="0.55000000000000004">
      <c r="A1" s="98" t="s">
        <v>121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1" ht="18" x14ac:dyDescent="0.45">
      <c r="A2" s="265" t="s">
        <v>189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2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21" ht="20.100000000000001" customHeight="1" x14ac:dyDescent="0.5">
      <c r="E5" s="185" t="s">
        <v>199</v>
      </c>
    </row>
    <row r="6" spans="1:21" ht="20.100000000000001" customHeight="1" x14ac:dyDescent="0.45">
      <c r="E6" s="184" t="s">
        <v>196</v>
      </c>
      <c r="F6" s="20"/>
      <c r="G6" s="11" t="s">
        <v>168</v>
      </c>
      <c r="H6" s="11" t="s">
        <v>60</v>
      </c>
      <c r="I6" s="11" t="s">
        <v>58</v>
      </c>
      <c r="J6" s="2"/>
      <c r="K6" s="2"/>
      <c r="L6" s="3"/>
      <c r="P6" s="1"/>
      <c r="Q6" s="3"/>
    </row>
    <row r="7" spans="1:21" ht="20.100000000000001" customHeight="1" x14ac:dyDescent="0.45">
      <c r="E7" s="1" t="s">
        <v>197</v>
      </c>
      <c r="G7" s="3">
        <f>C37</f>
        <v>40849</v>
      </c>
      <c r="H7" s="89">
        <f>D37</f>
        <v>151181700</v>
      </c>
      <c r="I7" s="93">
        <f>F37</f>
        <v>1238493.7229999998</v>
      </c>
      <c r="J7" s="93"/>
      <c r="K7" s="190">
        <f>I7/I9</f>
        <v>0.83487249987374212</v>
      </c>
      <c r="L7" s="3"/>
      <c r="M7" s="105"/>
      <c r="P7" s="1"/>
      <c r="Q7" s="3"/>
    </row>
    <row r="8" spans="1:21" ht="20.100000000000001" customHeight="1" x14ac:dyDescent="0.75">
      <c r="E8" s="1" t="s">
        <v>198</v>
      </c>
      <c r="G8" s="86">
        <f>C63</f>
        <v>3234</v>
      </c>
      <c r="H8" s="103">
        <f>D63</f>
        <v>34121600</v>
      </c>
      <c r="I8" s="104">
        <f>F63</f>
        <v>244958.80800000002</v>
      </c>
      <c r="J8" s="104"/>
      <c r="K8" s="191">
        <f>I8/I9</f>
        <v>0.16512750012625788</v>
      </c>
      <c r="L8" s="3"/>
      <c r="M8" s="105"/>
      <c r="P8" s="1"/>
      <c r="Q8" s="3"/>
    </row>
    <row r="9" spans="1:21" ht="20.100000000000001" customHeight="1" x14ac:dyDescent="0.45">
      <c r="E9" s="1" t="s">
        <v>52</v>
      </c>
      <c r="G9" s="51">
        <f>SUM(G7:G8)</f>
        <v>44083</v>
      </c>
      <c r="H9" s="5">
        <f>SUM(H7:H8)</f>
        <v>185303300</v>
      </c>
      <c r="I9" s="4">
        <f>SUM(I7:I8)</f>
        <v>1483452.5309999997</v>
      </c>
      <c r="J9" s="4"/>
      <c r="K9" s="4"/>
      <c r="L9" s="4"/>
      <c r="P9" s="1"/>
      <c r="Q9" s="3"/>
      <c r="R9" s="99"/>
    </row>
    <row r="10" spans="1:21" ht="20.100000000000001" customHeight="1" x14ac:dyDescent="0.75">
      <c r="H10" s="8" t="s">
        <v>102</v>
      </c>
      <c r="I10" s="86">
        <f>4145.08+240.37</f>
        <v>4385.45</v>
      </c>
      <c r="J10" s="86"/>
      <c r="K10" s="86"/>
      <c r="O10" s="92"/>
    </row>
    <row r="11" spans="1:21" ht="20.100000000000001" customHeight="1" x14ac:dyDescent="0.45">
      <c r="H11" s="188" t="s">
        <v>122</v>
      </c>
      <c r="I11" s="99">
        <f>I9-I10</f>
        <v>1479067.0809999998</v>
      </c>
      <c r="J11" s="99"/>
      <c r="K11" s="99"/>
    </row>
    <row r="13" spans="1:21" x14ac:dyDescent="0.45">
      <c r="F13" s="99"/>
    </row>
    <row r="14" spans="1:21" x14ac:dyDescent="0.45">
      <c r="A14" s="10" t="s">
        <v>195</v>
      </c>
    </row>
    <row r="15" spans="1:21" x14ac:dyDescent="0.45">
      <c r="E15" s="2" t="s">
        <v>61</v>
      </c>
      <c r="F15" s="2" t="s">
        <v>116</v>
      </c>
      <c r="G15" s="2" t="s">
        <v>116</v>
      </c>
      <c r="H15" s="2" t="s">
        <v>116</v>
      </c>
      <c r="I15" s="2" t="s">
        <v>116</v>
      </c>
      <c r="J15" s="2" t="s">
        <v>116</v>
      </c>
      <c r="K15" s="2" t="s">
        <v>116</v>
      </c>
      <c r="L15" s="2" t="s">
        <v>62</v>
      </c>
    </row>
    <row r="16" spans="1:21" x14ac:dyDescent="0.45">
      <c r="B16" s="11" t="s">
        <v>63</v>
      </c>
      <c r="C16" s="12" t="s">
        <v>64</v>
      </c>
      <c r="D16" s="12" t="s">
        <v>65</v>
      </c>
      <c r="E16" s="12">
        <f>B17</f>
        <v>2000</v>
      </c>
      <c r="F16" s="12">
        <f>B18</f>
        <v>3000</v>
      </c>
      <c r="G16" s="12">
        <f>B19</f>
        <v>5000</v>
      </c>
      <c r="H16" s="12">
        <f>B20</f>
        <v>15000</v>
      </c>
      <c r="I16" s="12">
        <f>B21</f>
        <v>25000</v>
      </c>
      <c r="J16" s="12">
        <f>B22</f>
        <v>50000</v>
      </c>
      <c r="K16" s="12">
        <f>B23</f>
        <v>100000</v>
      </c>
      <c r="L16" s="12">
        <f>B24</f>
        <v>200000</v>
      </c>
      <c r="M16" s="11" t="s">
        <v>66</v>
      </c>
      <c r="P16" s="89" t="s">
        <v>256</v>
      </c>
      <c r="T16" s="51">
        <f>C17+C43</f>
        <v>14765</v>
      </c>
      <c r="U16" s="51">
        <f>D17+D43</f>
        <v>14058500</v>
      </c>
    </row>
    <row r="17" spans="1:21" x14ac:dyDescent="0.45">
      <c r="A17" s="13" t="s">
        <v>61</v>
      </c>
      <c r="B17" s="14">
        <v>2000</v>
      </c>
      <c r="C17" s="100">
        <v>13172</v>
      </c>
      <c r="D17" s="100">
        <v>13142900</v>
      </c>
      <c r="E17" s="100">
        <f>D17</f>
        <v>13142900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f>SUM(E17:L17)</f>
        <v>13142900</v>
      </c>
    </row>
    <row r="18" spans="1:21" x14ac:dyDescent="0.45">
      <c r="A18" s="13" t="s">
        <v>116</v>
      </c>
      <c r="B18" s="14">
        <v>3000</v>
      </c>
      <c r="C18" s="100">
        <v>19005</v>
      </c>
      <c r="D18" s="100">
        <v>61140600</v>
      </c>
      <c r="E18" s="100">
        <f>$C18*E$16</f>
        <v>38010000</v>
      </c>
      <c r="F18" s="100">
        <f>D18-E18</f>
        <v>23130600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f t="shared" ref="M18:M24" si="0">SUM(E18:L18)</f>
        <v>61140600</v>
      </c>
      <c r="P18" s="89" t="s">
        <v>209</v>
      </c>
      <c r="Q18" s="51">
        <f>C17+C18</f>
        <v>32177</v>
      </c>
      <c r="R18" s="51">
        <f>D17+D18</f>
        <v>74283500</v>
      </c>
      <c r="T18" s="51">
        <f>Q18+Q44</f>
        <v>34370</v>
      </c>
      <c r="U18" s="51">
        <f>R18+R44</f>
        <v>77173600</v>
      </c>
    </row>
    <row r="19" spans="1:21" x14ac:dyDescent="0.45">
      <c r="A19" s="13" t="s">
        <v>116</v>
      </c>
      <c r="B19" s="14">
        <v>5000</v>
      </c>
      <c r="C19" s="100">
        <v>6849</v>
      </c>
      <c r="D19" s="100">
        <v>45387400</v>
      </c>
      <c r="E19" s="100">
        <f>$C19*E$16</f>
        <v>13698000</v>
      </c>
      <c r="F19" s="100">
        <f>$C19*F$16</f>
        <v>20547000</v>
      </c>
      <c r="G19" s="100">
        <f>$D19-($F19+$E19)</f>
        <v>11142400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f t="shared" si="0"/>
        <v>45387400</v>
      </c>
      <c r="P19" s="13"/>
    </row>
    <row r="20" spans="1:21" x14ac:dyDescent="0.45">
      <c r="A20" s="13" t="s">
        <v>116</v>
      </c>
      <c r="B20" s="14">
        <v>15000</v>
      </c>
      <c r="C20" s="100">
        <v>1615</v>
      </c>
      <c r="D20" s="100">
        <v>22291600</v>
      </c>
      <c r="E20" s="100">
        <f t="shared" ref="E20:K24" si="1">$C20*E$16</f>
        <v>3230000</v>
      </c>
      <c r="F20" s="100">
        <f t="shared" si="1"/>
        <v>4845000</v>
      </c>
      <c r="G20" s="100">
        <f t="shared" si="1"/>
        <v>8075000</v>
      </c>
      <c r="H20" s="100">
        <f>$D20-($F20+$E20+$G20)</f>
        <v>6141600</v>
      </c>
      <c r="I20" s="100">
        <v>0</v>
      </c>
      <c r="J20" s="100">
        <v>0</v>
      </c>
      <c r="K20" s="100">
        <v>0</v>
      </c>
      <c r="L20" s="100">
        <v>0</v>
      </c>
      <c r="M20" s="100">
        <f t="shared" si="0"/>
        <v>22291600</v>
      </c>
      <c r="P20" s="13" t="s">
        <v>210</v>
      </c>
      <c r="Q20" s="51">
        <f>C19+C20</f>
        <v>8464</v>
      </c>
      <c r="R20" s="51">
        <f>D19+D20</f>
        <v>67679000</v>
      </c>
      <c r="T20" s="51">
        <f>Q20+Q46</f>
        <v>9287</v>
      </c>
      <c r="U20" s="51">
        <f>R20+R46</f>
        <v>76237800</v>
      </c>
    </row>
    <row r="21" spans="1:21" x14ac:dyDescent="0.45">
      <c r="A21" s="13" t="s">
        <v>116</v>
      </c>
      <c r="B21" s="14">
        <v>25000</v>
      </c>
      <c r="C21" s="100">
        <v>160</v>
      </c>
      <c r="D21" s="100">
        <v>5312300</v>
      </c>
      <c r="E21" s="100">
        <f t="shared" si="1"/>
        <v>320000</v>
      </c>
      <c r="F21" s="100">
        <f t="shared" si="1"/>
        <v>480000</v>
      </c>
      <c r="G21" s="100">
        <f t="shared" si="1"/>
        <v>800000</v>
      </c>
      <c r="H21" s="100">
        <f t="shared" si="1"/>
        <v>2400000</v>
      </c>
      <c r="I21" s="100">
        <f>$D21-($F21+$E21+$G21+$H21)</f>
        <v>1312300</v>
      </c>
      <c r="J21" s="100">
        <v>0</v>
      </c>
      <c r="K21" s="100">
        <v>0</v>
      </c>
      <c r="L21" s="100">
        <v>0</v>
      </c>
      <c r="M21" s="100">
        <f t="shared" si="0"/>
        <v>5312300</v>
      </c>
      <c r="P21" s="13"/>
    </row>
    <row r="22" spans="1:21" x14ac:dyDescent="0.45">
      <c r="A22" s="13" t="s">
        <v>116</v>
      </c>
      <c r="B22" s="14">
        <v>50000</v>
      </c>
      <c r="C22" s="100">
        <v>39</v>
      </c>
      <c r="D22" s="100">
        <v>2610700</v>
      </c>
      <c r="E22" s="100">
        <f t="shared" si="1"/>
        <v>78000</v>
      </c>
      <c r="F22" s="100">
        <f t="shared" si="1"/>
        <v>117000</v>
      </c>
      <c r="G22" s="100">
        <f t="shared" si="1"/>
        <v>195000</v>
      </c>
      <c r="H22" s="100">
        <f t="shared" si="1"/>
        <v>585000</v>
      </c>
      <c r="I22" s="100">
        <f t="shared" si="1"/>
        <v>975000</v>
      </c>
      <c r="J22" s="100">
        <f>$D22-($F22+$E22+$G22+$H22+$I22)</f>
        <v>660700</v>
      </c>
      <c r="K22" s="100">
        <v>0</v>
      </c>
      <c r="L22" s="100">
        <v>0</v>
      </c>
      <c r="M22" s="100">
        <f t="shared" si="0"/>
        <v>2610700</v>
      </c>
      <c r="P22" s="13"/>
    </row>
    <row r="23" spans="1:21" x14ac:dyDescent="0.45">
      <c r="A23" s="13" t="s">
        <v>116</v>
      </c>
      <c r="B23" s="14">
        <v>100000</v>
      </c>
      <c r="C23" s="100">
        <v>8</v>
      </c>
      <c r="D23" s="100">
        <v>954500</v>
      </c>
      <c r="E23" s="100">
        <f t="shared" si="1"/>
        <v>16000</v>
      </c>
      <c r="F23" s="100">
        <f t="shared" si="1"/>
        <v>24000</v>
      </c>
      <c r="G23" s="100">
        <f t="shared" si="1"/>
        <v>40000</v>
      </c>
      <c r="H23" s="100">
        <f t="shared" si="1"/>
        <v>120000</v>
      </c>
      <c r="I23" s="100">
        <f t="shared" si="1"/>
        <v>200000</v>
      </c>
      <c r="J23" s="100">
        <f t="shared" si="1"/>
        <v>400000</v>
      </c>
      <c r="K23" s="100">
        <f>$D23-($F23+$E23+$G23+$H23+$I23+$J23)</f>
        <v>154500</v>
      </c>
      <c r="L23" s="100">
        <v>0</v>
      </c>
      <c r="M23" s="100">
        <f t="shared" si="0"/>
        <v>954500</v>
      </c>
      <c r="P23" s="13"/>
    </row>
    <row r="24" spans="1:21" x14ac:dyDescent="0.45">
      <c r="A24" s="13" t="s">
        <v>62</v>
      </c>
      <c r="B24" s="16">
        <v>200000</v>
      </c>
      <c r="C24" s="101">
        <v>1</v>
      </c>
      <c r="D24" s="101">
        <v>341700</v>
      </c>
      <c r="E24" s="101">
        <f>$C24*E$16</f>
        <v>2000</v>
      </c>
      <c r="F24" s="101">
        <f>$C24*F$16</f>
        <v>3000</v>
      </c>
      <c r="G24" s="101">
        <f>$C24*G$16</f>
        <v>5000</v>
      </c>
      <c r="H24" s="101">
        <f t="shared" si="1"/>
        <v>15000</v>
      </c>
      <c r="I24" s="101">
        <f t="shared" si="1"/>
        <v>25000</v>
      </c>
      <c r="J24" s="101">
        <f t="shared" si="1"/>
        <v>50000</v>
      </c>
      <c r="K24" s="101">
        <f t="shared" si="1"/>
        <v>100000</v>
      </c>
      <c r="L24" s="101">
        <f>$D24-($F24+$E24+$G24+$H24+$I24+$J24+K24)</f>
        <v>141700</v>
      </c>
      <c r="M24" s="101">
        <f t="shared" si="0"/>
        <v>341700</v>
      </c>
      <c r="O24" s="3"/>
      <c r="P24" s="13" t="s">
        <v>211</v>
      </c>
      <c r="Q24" s="51">
        <f>SUM(C21:C24)</f>
        <v>208</v>
      </c>
      <c r="R24" s="51">
        <f>SUM(D21:D24)</f>
        <v>9219200</v>
      </c>
      <c r="T24" s="51">
        <f>Q24+Q50</f>
        <v>426</v>
      </c>
      <c r="U24" s="51">
        <f>R24+R50</f>
        <v>31891900</v>
      </c>
    </row>
    <row r="25" spans="1:21" x14ac:dyDescent="0.45">
      <c r="A25" s="13"/>
      <c r="B25" s="14"/>
      <c r="C25" s="102">
        <f t="shared" ref="C25:M25" si="2">SUM(C17:C24)</f>
        <v>40849</v>
      </c>
      <c r="D25" s="102">
        <f t="shared" si="2"/>
        <v>151181700</v>
      </c>
      <c r="E25" s="102">
        <f t="shared" si="2"/>
        <v>68496900</v>
      </c>
      <c r="F25" s="102">
        <f t="shared" si="2"/>
        <v>49146600</v>
      </c>
      <c r="G25" s="102">
        <f t="shared" si="2"/>
        <v>20257400</v>
      </c>
      <c r="H25" s="102">
        <f t="shared" si="2"/>
        <v>9261600</v>
      </c>
      <c r="I25" s="102">
        <f t="shared" si="2"/>
        <v>2512300</v>
      </c>
      <c r="J25" s="102">
        <f t="shared" si="2"/>
        <v>1110700</v>
      </c>
      <c r="K25" s="102">
        <f t="shared" si="2"/>
        <v>254500</v>
      </c>
      <c r="L25" s="102">
        <f t="shared" si="2"/>
        <v>141700</v>
      </c>
      <c r="M25" s="102">
        <f t="shared" si="2"/>
        <v>151181700</v>
      </c>
      <c r="N25" s="51">
        <f>SUM(E25:L25)</f>
        <v>151181700</v>
      </c>
      <c r="P25" s="1"/>
    </row>
    <row r="26" spans="1:21" x14ac:dyDescent="0.45">
      <c r="A26" s="13"/>
      <c r="B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P26" s="1"/>
      <c r="T26" s="51">
        <f>SUM(T18:T24)</f>
        <v>44083</v>
      </c>
      <c r="U26" s="51">
        <f>SUM(U18:U24)</f>
        <v>185303300</v>
      </c>
    </row>
    <row r="27" spans="1:21" x14ac:dyDescent="0.45">
      <c r="A27" s="18" t="s">
        <v>67</v>
      </c>
      <c r="B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P27" s="1"/>
    </row>
    <row r="28" spans="1:21" x14ac:dyDescent="0.45">
      <c r="A28" s="13"/>
      <c r="B28" s="11"/>
      <c r="C28" s="12" t="s">
        <v>64</v>
      </c>
      <c r="D28" s="11" t="s">
        <v>65</v>
      </c>
      <c r="E28" s="12" t="s">
        <v>68</v>
      </c>
      <c r="F28" s="12" t="s">
        <v>69</v>
      </c>
      <c r="G28" s="14"/>
      <c r="H28" s="14"/>
      <c r="I28" s="14"/>
      <c r="J28" s="14"/>
      <c r="K28" s="14"/>
      <c r="L28" s="14"/>
      <c r="M28" s="14"/>
      <c r="P28" s="1"/>
    </row>
    <row r="29" spans="1:21" x14ac:dyDescent="0.45">
      <c r="A29" s="13" t="s">
        <v>61</v>
      </c>
      <c r="B29" s="14">
        <f>B17</f>
        <v>2000</v>
      </c>
      <c r="C29" s="15">
        <f>C25</f>
        <v>40849</v>
      </c>
      <c r="D29" s="100">
        <f>E25</f>
        <v>68496900</v>
      </c>
      <c r="E29" s="19">
        <v>20.239999999999998</v>
      </c>
      <c r="F29" s="9">
        <f>E29*C29</f>
        <v>826783.75999999989</v>
      </c>
      <c r="G29" s="14"/>
      <c r="H29" s="14"/>
      <c r="I29" s="14"/>
      <c r="J29" s="14"/>
      <c r="K29" s="14"/>
      <c r="L29" s="14"/>
      <c r="M29" s="14"/>
      <c r="P29" s="1"/>
    </row>
    <row r="30" spans="1:21" x14ac:dyDescent="0.45">
      <c r="A30" s="13" t="s">
        <v>116</v>
      </c>
      <c r="B30" s="14">
        <f>B18</f>
        <v>3000</v>
      </c>
      <c r="D30" s="100">
        <f>F25</f>
        <v>49146600</v>
      </c>
      <c r="E30" s="43">
        <v>5.62</v>
      </c>
      <c r="F30" s="3">
        <f>E30*(D30/1000)</f>
        <v>276203.89199999999</v>
      </c>
      <c r="G30" s="14"/>
      <c r="H30" s="14"/>
      <c r="I30" s="14"/>
      <c r="J30" s="14"/>
      <c r="K30" s="14"/>
      <c r="L30" s="14"/>
      <c r="M30" s="14"/>
      <c r="P30" s="1"/>
    </row>
    <row r="31" spans="1:21" x14ac:dyDescent="0.45">
      <c r="A31" s="13" t="s">
        <v>116</v>
      </c>
      <c r="B31" s="14">
        <f>B19</f>
        <v>5000</v>
      </c>
      <c r="D31" s="100">
        <f>G25</f>
        <v>20257400</v>
      </c>
      <c r="E31" s="43">
        <v>4.45</v>
      </c>
      <c r="F31" s="3">
        <f>E31*(D31/1000)</f>
        <v>90145.430000000008</v>
      </c>
      <c r="G31" s="14"/>
      <c r="H31" s="14"/>
      <c r="I31" s="14"/>
      <c r="J31" s="14"/>
      <c r="K31" s="14"/>
      <c r="L31" s="14"/>
      <c r="M31" s="14"/>
      <c r="P31" s="1"/>
    </row>
    <row r="32" spans="1:21" x14ac:dyDescent="0.45">
      <c r="A32" s="13" t="s">
        <v>116</v>
      </c>
      <c r="B32" s="14">
        <f t="shared" ref="B32:B35" si="3">B20</f>
        <v>15000</v>
      </c>
      <c r="D32" s="100">
        <f>H25</f>
        <v>9261600</v>
      </c>
      <c r="E32" s="43">
        <v>3.63</v>
      </c>
      <c r="F32" s="3">
        <f t="shared" ref="F32:F35" si="4">E32*(D32/1000)</f>
        <v>33619.608</v>
      </c>
      <c r="G32" s="14"/>
      <c r="H32" s="14"/>
      <c r="I32" s="14"/>
      <c r="J32" s="14"/>
      <c r="K32" s="14"/>
      <c r="L32" s="14"/>
      <c r="M32" s="14"/>
      <c r="P32" s="1"/>
    </row>
    <row r="33" spans="1:18" x14ac:dyDescent="0.45">
      <c r="A33" s="13" t="s">
        <v>116</v>
      </c>
      <c r="B33" s="14">
        <f t="shared" si="3"/>
        <v>25000</v>
      </c>
      <c r="D33" s="100">
        <f>I25</f>
        <v>2512300</v>
      </c>
      <c r="E33" s="43">
        <v>3.16</v>
      </c>
      <c r="F33" s="3">
        <f t="shared" si="4"/>
        <v>7938.8680000000013</v>
      </c>
      <c r="G33" s="14"/>
      <c r="H33" s="14"/>
      <c r="I33" s="14"/>
      <c r="J33" s="14"/>
      <c r="K33" s="14"/>
      <c r="L33" s="14"/>
      <c r="M33" s="14"/>
      <c r="P33" s="1"/>
    </row>
    <row r="34" spans="1:18" x14ac:dyDescent="0.45">
      <c r="A34" s="13" t="s">
        <v>116</v>
      </c>
      <c r="B34" s="14">
        <f t="shared" si="3"/>
        <v>50000</v>
      </c>
      <c r="D34" s="100">
        <f>J25</f>
        <v>1110700</v>
      </c>
      <c r="E34" s="43">
        <v>2.69</v>
      </c>
      <c r="F34" s="3">
        <f t="shared" si="4"/>
        <v>2987.7829999999999</v>
      </c>
      <c r="G34" s="14"/>
      <c r="H34" s="14"/>
      <c r="I34" s="14"/>
      <c r="J34" s="14"/>
      <c r="K34" s="14"/>
      <c r="L34" s="14"/>
      <c r="M34" s="14"/>
      <c r="P34" s="1"/>
    </row>
    <row r="35" spans="1:18" x14ac:dyDescent="0.45">
      <c r="A35" s="13" t="s">
        <v>116</v>
      </c>
      <c r="B35" s="14">
        <f t="shared" si="3"/>
        <v>100000</v>
      </c>
      <c r="D35" s="100">
        <f>K25</f>
        <v>254500</v>
      </c>
      <c r="E35" s="43">
        <v>2.2200000000000002</v>
      </c>
      <c r="F35" s="3">
        <f t="shared" si="4"/>
        <v>564.99</v>
      </c>
      <c r="G35" s="14"/>
      <c r="H35" s="14"/>
      <c r="I35" s="14"/>
      <c r="J35" s="14"/>
      <c r="K35" s="14"/>
      <c r="L35" s="14"/>
      <c r="M35" s="14"/>
      <c r="P35" s="1"/>
    </row>
    <row r="36" spans="1:18" x14ac:dyDescent="0.45">
      <c r="A36" s="13" t="s">
        <v>62</v>
      </c>
      <c r="B36" s="16">
        <f>B24</f>
        <v>200000</v>
      </c>
      <c r="C36" s="20"/>
      <c r="D36" s="101">
        <f>L25</f>
        <v>141700</v>
      </c>
      <c r="E36" s="21">
        <v>1.76</v>
      </c>
      <c r="F36" s="111">
        <f>E36*(D36/1000)</f>
        <v>249.39199999999997</v>
      </c>
      <c r="G36" s="14"/>
      <c r="H36" s="14"/>
      <c r="I36" s="14"/>
      <c r="J36" s="14"/>
      <c r="K36" s="14"/>
      <c r="L36" s="14"/>
      <c r="M36" s="14"/>
      <c r="P36" s="1"/>
    </row>
    <row r="37" spans="1:18" x14ac:dyDescent="0.45">
      <c r="A37" s="13"/>
      <c r="B37" s="14" t="s">
        <v>66</v>
      </c>
      <c r="C37" s="3">
        <f>SUM(C29:C36)</f>
        <v>40849</v>
      </c>
      <c r="D37" s="102">
        <f>SUM(D29:D36)</f>
        <v>151181700</v>
      </c>
      <c r="F37" s="9">
        <f>SUM(F29:F36)</f>
        <v>1238493.7229999998</v>
      </c>
      <c r="G37" s="14"/>
      <c r="H37" s="14"/>
      <c r="I37" s="14"/>
      <c r="J37" s="14"/>
      <c r="K37" s="14"/>
      <c r="L37" s="14"/>
      <c r="M37" s="14"/>
      <c r="P37" s="1"/>
    </row>
    <row r="38" spans="1:18" x14ac:dyDescent="0.45">
      <c r="A38" s="13"/>
      <c r="B38" s="14"/>
      <c r="C38" s="22"/>
      <c r="D38" s="102"/>
      <c r="F38" s="19"/>
      <c r="G38" s="14"/>
      <c r="H38" s="14"/>
      <c r="I38" s="14"/>
      <c r="J38" s="14"/>
      <c r="K38" s="14"/>
      <c r="L38" s="14"/>
      <c r="M38" s="14"/>
      <c r="P38" s="1"/>
    </row>
    <row r="40" spans="1:18" x14ac:dyDescent="0.45">
      <c r="A40" s="10" t="s">
        <v>200</v>
      </c>
    </row>
    <row r="41" spans="1:18" x14ac:dyDescent="0.45">
      <c r="E41" s="2" t="s">
        <v>61</v>
      </c>
      <c r="F41" s="2" t="s">
        <v>116</v>
      </c>
      <c r="G41" s="2" t="s">
        <v>116</v>
      </c>
      <c r="H41" s="2" t="s">
        <v>116</v>
      </c>
      <c r="I41" s="2" t="s">
        <v>116</v>
      </c>
      <c r="J41" s="2" t="s">
        <v>116</v>
      </c>
      <c r="K41" s="2" t="s">
        <v>116</v>
      </c>
      <c r="L41" s="2" t="s">
        <v>62</v>
      </c>
    </row>
    <row r="42" spans="1:18" x14ac:dyDescent="0.45">
      <c r="B42" s="11" t="s">
        <v>63</v>
      </c>
      <c r="C42" s="12" t="s">
        <v>64</v>
      </c>
      <c r="D42" s="12" t="s">
        <v>65</v>
      </c>
      <c r="E42" s="12">
        <f>B43</f>
        <v>2000</v>
      </c>
      <c r="F42" s="12">
        <f>B44</f>
        <v>3000</v>
      </c>
      <c r="G42" s="12">
        <f>B45</f>
        <v>5000</v>
      </c>
      <c r="H42" s="12">
        <f>B46</f>
        <v>15000</v>
      </c>
      <c r="I42" s="12">
        <f>B47</f>
        <v>25000</v>
      </c>
      <c r="J42" s="12">
        <f>B48</f>
        <v>50000</v>
      </c>
      <c r="K42" s="12">
        <f>B49</f>
        <v>100000</v>
      </c>
      <c r="L42" s="12">
        <f>B50</f>
        <v>200000</v>
      </c>
      <c r="M42" s="11" t="s">
        <v>66</v>
      </c>
    </row>
    <row r="43" spans="1:18" x14ac:dyDescent="0.45">
      <c r="A43" s="13" t="s">
        <v>61</v>
      </c>
      <c r="B43" s="14">
        <v>2000</v>
      </c>
      <c r="C43" s="186">
        <v>1593</v>
      </c>
      <c r="D43" s="186">
        <v>915600</v>
      </c>
      <c r="E43" s="100">
        <f>D43</f>
        <v>915600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f>SUM(E43:L43)</f>
        <v>915600</v>
      </c>
    </row>
    <row r="44" spans="1:18" x14ac:dyDescent="0.45">
      <c r="A44" s="13" t="s">
        <v>116</v>
      </c>
      <c r="B44" s="14">
        <v>3000</v>
      </c>
      <c r="C44" s="186">
        <v>600</v>
      </c>
      <c r="D44" s="186">
        <v>1974500</v>
      </c>
      <c r="E44" s="100">
        <f>$C44*E$16</f>
        <v>1200000</v>
      </c>
      <c r="F44" s="100">
        <f>D44-E44</f>
        <v>774500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f t="shared" ref="M44:M50" si="5">SUM(E44:L44)</f>
        <v>1974500</v>
      </c>
      <c r="P44" s="3" t="s">
        <v>209</v>
      </c>
      <c r="Q44" s="51">
        <f>C43+C44</f>
        <v>2193</v>
      </c>
      <c r="R44" s="51">
        <f>D43+D44</f>
        <v>2890100</v>
      </c>
    </row>
    <row r="45" spans="1:18" x14ac:dyDescent="0.45">
      <c r="A45" s="13" t="s">
        <v>116</v>
      </c>
      <c r="B45" s="14">
        <v>5000</v>
      </c>
      <c r="C45" s="186">
        <v>489</v>
      </c>
      <c r="D45" s="186">
        <v>3380800</v>
      </c>
      <c r="E45" s="100">
        <f>$C45*E$16</f>
        <v>978000</v>
      </c>
      <c r="F45" s="100">
        <f>$C45*F$16</f>
        <v>1467000</v>
      </c>
      <c r="G45" s="100">
        <f>$D45-($F45+$E45)</f>
        <v>935800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f t="shared" si="5"/>
        <v>3380800</v>
      </c>
      <c r="P45" s="1"/>
    </row>
    <row r="46" spans="1:18" x14ac:dyDescent="0.45">
      <c r="A46" s="13" t="s">
        <v>116</v>
      </c>
      <c r="B46" s="14">
        <v>15000</v>
      </c>
      <c r="C46" s="186">
        <v>334</v>
      </c>
      <c r="D46" s="186">
        <v>5178000</v>
      </c>
      <c r="E46" s="100">
        <f t="shared" ref="E46:K50" si="6">$C46*E$16</f>
        <v>668000</v>
      </c>
      <c r="F46" s="100">
        <f t="shared" si="6"/>
        <v>1002000</v>
      </c>
      <c r="G46" s="100">
        <f t="shared" si="6"/>
        <v>1670000</v>
      </c>
      <c r="H46" s="100">
        <f>$D46-($F46+$E46+$G46)</f>
        <v>1838000</v>
      </c>
      <c r="I46" s="100">
        <v>0</v>
      </c>
      <c r="J46" s="100">
        <v>0</v>
      </c>
      <c r="K46" s="100">
        <v>0</v>
      </c>
      <c r="L46" s="100">
        <v>0</v>
      </c>
      <c r="M46" s="100">
        <f t="shared" si="5"/>
        <v>5178000</v>
      </c>
      <c r="P46" s="1" t="s">
        <v>210</v>
      </c>
      <c r="Q46" s="51">
        <f>C45+C46</f>
        <v>823</v>
      </c>
      <c r="R46" s="51">
        <f>D45+D46</f>
        <v>8558800</v>
      </c>
    </row>
    <row r="47" spans="1:18" x14ac:dyDescent="0.45">
      <c r="A47" s="13" t="s">
        <v>116</v>
      </c>
      <c r="B47" s="14">
        <v>25000</v>
      </c>
      <c r="C47" s="186">
        <v>106</v>
      </c>
      <c r="D47" s="186">
        <v>3523200</v>
      </c>
      <c r="E47" s="100">
        <f t="shared" si="6"/>
        <v>212000</v>
      </c>
      <c r="F47" s="100">
        <f t="shared" si="6"/>
        <v>318000</v>
      </c>
      <c r="G47" s="100">
        <f t="shared" si="6"/>
        <v>530000</v>
      </c>
      <c r="H47" s="100">
        <f t="shared" si="6"/>
        <v>1590000</v>
      </c>
      <c r="I47" s="100">
        <f>$D47-($F47+$E47+$G47+$H47)</f>
        <v>873200</v>
      </c>
      <c r="J47" s="100">
        <v>0</v>
      </c>
      <c r="K47" s="100">
        <v>0</v>
      </c>
      <c r="L47" s="100">
        <v>0</v>
      </c>
      <c r="M47" s="100">
        <f t="shared" si="5"/>
        <v>3523200</v>
      </c>
      <c r="P47" s="1"/>
    </row>
    <row r="48" spans="1:18" x14ac:dyDescent="0.45">
      <c r="A48" s="13" t="s">
        <v>116</v>
      </c>
      <c r="B48" s="14">
        <v>50000</v>
      </c>
      <c r="C48" s="186">
        <v>52</v>
      </c>
      <c r="D48" s="186">
        <v>3695300</v>
      </c>
      <c r="E48" s="100">
        <f t="shared" si="6"/>
        <v>104000</v>
      </c>
      <c r="F48" s="100">
        <f t="shared" si="6"/>
        <v>156000</v>
      </c>
      <c r="G48" s="100">
        <f t="shared" si="6"/>
        <v>260000</v>
      </c>
      <c r="H48" s="100">
        <f t="shared" si="6"/>
        <v>780000</v>
      </c>
      <c r="I48" s="100">
        <f t="shared" si="6"/>
        <v>1300000</v>
      </c>
      <c r="J48" s="100">
        <f>$D48-($F48+$E48+$G48+$H48+$I48)</f>
        <v>1095300</v>
      </c>
      <c r="K48" s="100">
        <v>0</v>
      </c>
      <c r="L48" s="100">
        <v>0</v>
      </c>
      <c r="M48" s="100">
        <f t="shared" si="5"/>
        <v>3695300</v>
      </c>
      <c r="P48" s="1"/>
    </row>
    <row r="49" spans="1:18" x14ac:dyDescent="0.45">
      <c r="A49" s="13" t="s">
        <v>116</v>
      </c>
      <c r="B49" s="14">
        <v>100000</v>
      </c>
      <c r="C49" s="186">
        <v>33</v>
      </c>
      <c r="D49" s="186">
        <v>4189900</v>
      </c>
      <c r="E49" s="100">
        <f t="shared" si="6"/>
        <v>66000</v>
      </c>
      <c r="F49" s="100">
        <f t="shared" si="6"/>
        <v>99000</v>
      </c>
      <c r="G49" s="100">
        <f t="shared" si="6"/>
        <v>165000</v>
      </c>
      <c r="H49" s="100">
        <f t="shared" si="6"/>
        <v>495000</v>
      </c>
      <c r="I49" s="100">
        <f t="shared" si="6"/>
        <v>825000</v>
      </c>
      <c r="J49" s="100">
        <f t="shared" si="6"/>
        <v>1650000</v>
      </c>
      <c r="K49" s="100">
        <f>$D49-($F49+$E49+$G49+$H49+$I49+$J49)</f>
        <v>889900</v>
      </c>
      <c r="L49" s="100">
        <v>0</v>
      </c>
      <c r="M49" s="100">
        <f t="shared" si="5"/>
        <v>4189900</v>
      </c>
      <c r="P49" s="1"/>
    </row>
    <row r="50" spans="1:18" x14ac:dyDescent="0.45">
      <c r="A50" s="13" t="s">
        <v>62</v>
      </c>
      <c r="B50" s="16">
        <v>200000</v>
      </c>
      <c r="C50" s="187">
        <v>27</v>
      </c>
      <c r="D50" s="187">
        <v>11264300</v>
      </c>
      <c r="E50" s="101">
        <f>$C50*E$16</f>
        <v>54000</v>
      </c>
      <c r="F50" s="101">
        <f>$C50*F$16</f>
        <v>81000</v>
      </c>
      <c r="G50" s="101">
        <f>$C50*G$16</f>
        <v>135000</v>
      </c>
      <c r="H50" s="101">
        <f t="shared" si="6"/>
        <v>405000</v>
      </c>
      <c r="I50" s="101">
        <f t="shared" si="6"/>
        <v>675000</v>
      </c>
      <c r="J50" s="101">
        <f t="shared" si="6"/>
        <v>1350000</v>
      </c>
      <c r="K50" s="101">
        <f t="shared" si="6"/>
        <v>2700000</v>
      </c>
      <c r="L50" s="101">
        <f>$D50-($F50+$E50+$G50+$H50+$I50+$J50+K50)</f>
        <v>5864300</v>
      </c>
      <c r="M50" s="101">
        <f t="shared" si="5"/>
        <v>11264300</v>
      </c>
      <c r="P50" s="1" t="s">
        <v>211</v>
      </c>
      <c r="Q50" s="51">
        <f>SUM(C47:C50)</f>
        <v>218</v>
      </c>
      <c r="R50" s="51">
        <f>SUM(D47:D50)</f>
        <v>22672700</v>
      </c>
    </row>
    <row r="51" spans="1:18" x14ac:dyDescent="0.45">
      <c r="A51" s="13"/>
      <c r="B51" s="14"/>
      <c r="C51" s="102">
        <f t="shared" ref="C51:M51" si="7">SUM(C43:C50)</f>
        <v>3234</v>
      </c>
      <c r="D51" s="102">
        <f t="shared" si="7"/>
        <v>34121600</v>
      </c>
      <c r="E51" s="102">
        <f t="shared" si="7"/>
        <v>4197600</v>
      </c>
      <c r="F51" s="102">
        <f t="shared" si="7"/>
        <v>3897500</v>
      </c>
      <c r="G51" s="102">
        <f t="shared" si="7"/>
        <v>3695800</v>
      </c>
      <c r="H51" s="102">
        <f t="shared" si="7"/>
        <v>5108000</v>
      </c>
      <c r="I51" s="102">
        <f t="shared" si="7"/>
        <v>3673200</v>
      </c>
      <c r="J51" s="102">
        <f t="shared" si="7"/>
        <v>4095300</v>
      </c>
      <c r="K51" s="102">
        <f t="shared" si="7"/>
        <v>3589900</v>
      </c>
      <c r="L51" s="102">
        <f t="shared" si="7"/>
        <v>5864300</v>
      </c>
      <c r="M51" s="102">
        <f t="shared" si="7"/>
        <v>34121600</v>
      </c>
      <c r="N51" s="51">
        <f>SUM(E51:L51)</f>
        <v>34121600</v>
      </c>
    </row>
    <row r="52" spans="1:18" x14ac:dyDescent="0.45">
      <c r="A52" s="13"/>
      <c r="B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8" x14ac:dyDescent="0.45">
      <c r="A53" s="18" t="s">
        <v>67</v>
      </c>
      <c r="B53" s="18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8" x14ac:dyDescent="0.45">
      <c r="A54" s="13"/>
      <c r="B54" s="11"/>
      <c r="C54" s="12" t="s">
        <v>64</v>
      </c>
      <c r="D54" s="11" t="s">
        <v>65</v>
      </c>
      <c r="E54" s="12" t="s">
        <v>68</v>
      </c>
      <c r="F54" s="12" t="s">
        <v>69</v>
      </c>
      <c r="G54" s="14"/>
      <c r="H54" s="14"/>
      <c r="I54" s="14"/>
      <c r="J54" s="14"/>
      <c r="K54" s="14"/>
      <c r="L54" s="14"/>
      <c r="M54" s="14"/>
    </row>
    <row r="55" spans="1:18" x14ac:dyDescent="0.45">
      <c r="A55" s="13" t="s">
        <v>61</v>
      </c>
      <c r="B55" s="14">
        <f>B43</f>
        <v>2000</v>
      </c>
      <c r="C55" s="15">
        <f>C51</f>
        <v>3234</v>
      </c>
      <c r="D55" s="100">
        <f>E51</f>
        <v>4197600</v>
      </c>
      <c r="E55" s="19">
        <v>30.36</v>
      </c>
      <c r="F55" s="9">
        <f>E55*C55</f>
        <v>98184.24</v>
      </c>
      <c r="G55" s="14"/>
      <c r="H55" s="14"/>
      <c r="I55" s="14"/>
      <c r="J55" s="14"/>
      <c r="K55" s="14"/>
      <c r="L55" s="14"/>
      <c r="M55" s="14"/>
    </row>
    <row r="56" spans="1:18" x14ac:dyDescent="0.45">
      <c r="A56" s="13" t="s">
        <v>116</v>
      </c>
      <c r="B56" s="14">
        <f>B44</f>
        <v>3000</v>
      </c>
      <c r="D56" s="100">
        <f>F51</f>
        <v>3897500</v>
      </c>
      <c r="E56" s="43">
        <v>8.43</v>
      </c>
      <c r="F56" s="3">
        <f>E56*(D56/1000)</f>
        <v>32855.924999999996</v>
      </c>
      <c r="G56" s="14"/>
      <c r="H56" s="14"/>
      <c r="I56" s="14"/>
      <c r="J56" s="14"/>
      <c r="K56" s="14"/>
      <c r="L56" s="14"/>
      <c r="M56" s="14"/>
    </row>
    <row r="57" spans="1:18" x14ac:dyDescent="0.45">
      <c r="A57" s="13" t="s">
        <v>116</v>
      </c>
      <c r="B57" s="14">
        <f>B45</f>
        <v>5000</v>
      </c>
      <c r="D57" s="100">
        <f>G51</f>
        <v>3695800</v>
      </c>
      <c r="E57" s="43">
        <v>6.68</v>
      </c>
      <c r="F57" s="3">
        <f>E57*(D57/1000)</f>
        <v>24687.944</v>
      </c>
      <c r="G57" s="14"/>
      <c r="H57" s="14"/>
      <c r="I57" s="14"/>
      <c r="J57" s="14"/>
      <c r="K57" s="14"/>
      <c r="L57" s="14"/>
      <c r="M57" s="14"/>
    </row>
    <row r="58" spans="1:18" x14ac:dyDescent="0.45">
      <c r="A58" s="13" t="s">
        <v>116</v>
      </c>
      <c r="B58" s="14">
        <f t="shared" ref="B58:B61" si="8">B46</f>
        <v>15000</v>
      </c>
      <c r="D58" s="100">
        <f>H51</f>
        <v>5108000</v>
      </c>
      <c r="E58" s="43">
        <v>5.45</v>
      </c>
      <c r="F58" s="3">
        <f t="shared" ref="F58:F61" si="9">E58*(D58/1000)</f>
        <v>27838.600000000002</v>
      </c>
      <c r="G58" s="14"/>
      <c r="H58" s="14"/>
      <c r="I58" s="14"/>
      <c r="J58" s="14"/>
      <c r="K58" s="14"/>
      <c r="L58" s="14"/>
      <c r="M58" s="14"/>
    </row>
    <row r="59" spans="1:18" x14ac:dyDescent="0.45">
      <c r="A59" s="13" t="s">
        <v>116</v>
      </c>
      <c r="B59" s="14">
        <f t="shared" si="8"/>
        <v>25000</v>
      </c>
      <c r="D59" s="100">
        <f>I51</f>
        <v>3673200</v>
      </c>
      <c r="E59" s="43">
        <v>4.74</v>
      </c>
      <c r="F59" s="3">
        <f t="shared" si="9"/>
        <v>17410.968000000001</v>
      </c>
      <c r="G59" s="14"/>
      <c r="H59" s="14"/>
      <c r="I59" s="14"/>
      <c r="J59" s="14"/>
      <c r="K59" s="14"/>
      <c r="L59" s="14"/>
      <c r="M59" s="14"/>
    </row>
    <row r="60" spans="1:18" x14ac:dyDescent="0.45">
      <c r="A60" s="13" t="s">
        <v>116</v>
      </c>
      <c r="B60" s="14">
        <f t="shared" si="8"/>
        <v>50000</v>
      </c>
      <c r="D60" s="100">
        <f>J51</f>
        <v>4095300</v>
      </c>
      <c r="E60" s="43">
        <v>4.04</v>
      </c>
      <c r="F60" s="3">
        <f t="shared" si="9"/>
        <v>16545.012000000002</v>
      </c>
      <c r="G60" s="14"/>
      <c r="H60" s="14"/>
      <c r="I60" s="14"/>
      <c r="J60" s="14"/>
      <c r="K60" s="14"/>
      <c r="L60" s="14"/>
      <c r="M60" s="14"/>
    </row>
    <row r="61" spans="1:18" x14ac:dyDescent="0.45">
      <c r="A61" s="13" t="s">
        <v>116</v>
      </c>
      <c r="B61" s="14">
        <f t="shared" si="8"/>
        <v>100000</v>
      </c>
      <c r="D61" s="100">
        <f>K51</f>
        <v>3589900</v>
      </c>
      <c r="E61" s="43">
        <v>3.33</v>
      </c>
      <c r="F61" s="3">
        <f t="shared" si="9"/>
        <v>11954.367</v>
      </c>
      <c r="G61" s="14"/>
      <c r="H61" s="14"/>
      <c r="I61" s="14"/>
      <c r="J61" s="14"/>
      <c r="K61" s="14"/>
      <c r="L61" s="14"/>
      <c r="M61" s="14"/>
    </row>
    <row r="62" spans="1:18" x14ac:dyDescent="0.45">
      <c r="A62" s="13" t="s">
        <v>62</v>
      </c>
      <c r="B62" s="16">
        <f>B50</f>
        <v>200000</v>
      </c>
      <c r="C62" s="20"/>
      <c r="D62" s="101">
        <f>L51</f>
        <v>5864300</v>
      </c>
      <c r="E62" s="21">
        <v>2.64</v>
      </c>
      <c r="F62" s="111">
        <f>E62*(D62/1000)</f>
        <v>15481.752</v>
      </c>
      <c r="G62" s="14"/>
      <c r="H62" s="14"/>
      <c r="I62" s="14"/>
      <c r="J62" s="14"/>
      <c r="K62" s="14"/>
      <c r="L62" s="14"/>
      <c r="M62" s="14"/>
    </row>
    <row r="63" spans="1:18" x14ac:dyDescent="0.45">
      <c r="A63" s="13"/>
      <c r="B63" s="14" t="s">
        <v>66</v>
      </c>
      <c r="C63" s="3">
        <f>SUM(C55:C62)</f>
        <v>3234</v>
      </c>
      <c r="D63" s="102">
        <f>SUM(D55:D62)</f>
        <v>34121600</v>
      </c>
      <c r="F63" s="9">
        <f>SUM(F55:F62)</f>
        <v>244958.80800000002</v>
      </c>
      <c r="G63" s="14"/>
      <c r="H63" s="14"/>
      <c r="I63" s="14"/>
      <c r="J63" s="14"/>
      <c r="K63" s="14"/>
      <c r="L63" s="14"/>
      <c r="M63" s="14"/>
    </row>
    <row r="67" spans="3:4" x14ac:dyDescent="0.45">
      <c r="C67" s="51">
        <f>C37+C63</f>
        <v>44083</v>
      </c>
      <c r="D67" s="51">
        <f>D37+D63</f>
        <v>185303300</v>
      </c>
    </row>
  </sheetData>
  <mergeCells count="1">
    <mergeCell ref="A2:M2"/>
  </mergeCells>
  <printOptions horizontalCentered="1"/>
  <pageMargins left="0.7" right="0.7" top="1" bottom="1" header="0.3" footer="0.3"/>
  <pageSetup scale="53" fitToHeight="2" orientation="portrait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1"/>
  <sheetViews>
    <sheetView workbookViewId="0"/>
  </sheetViews>
  <sheetFormatPr defaultColWidth="8.88671875" defaultRowHeight="14.25" x14ac:dyDescent="0.45"/>
  <cols>
    <col min="1" max="3" width="8.88671875" style="1"/>
    <col min="4" max="4" width="10.6640625" style="1" customWidth="1"/>
    <col min="5" max="5" width="10" style="1" customWidth="1"/>
    <col min="6" max="6" width="9.77734375" style="1" customWidth="1"/>
    <col min="7" max="8" width="9" style="1" bestFit="1" customWidth="1"/>
    <col min="9" max="9" width="11" style="1" customWidth="1"/>
    <col min="10" max="10" width="10.88671875" style="1" customWidth="1"/>
    <col min="11" max="16384" width="8.88671875" style="1"/>
  </cols>
  <sheetData>
    <row r="1" spans="1:17" ht="18" x14ac:dyDescent="0.55000000000000004">
      <c r="A1" s="98" t="s">
        <v>121</v>
      </c>
      <c r="B1" s="7"/>
      <c r="C1" s="7"/>
      <c r="D1" s="7"/>
      <c r="E1" s="7"/>
      <c r="F1" s="7"/>
      <c r="G1" s="7"/>
      <c r="H1" s="7"/>
      <c r="I1" s="7"/>
    </row>
    <row r="2" spans="1:17" ht="18" x14ac:dyDescent="0.45">
      <c r="A2" s="265" t="s">
        <v>189</v>
      </c>
      <c r="B2" s="265"/>
      <c r="C2" s="265"/>
      <c r="D2" s="265"/>
      <c r="E2" s="265"/>
      <c r="F2" s="265"/>
      <c r="G2" s="265"/>
      <c r="H2" s="265"/>
      <c r="I2" s="265"/>
    </row>
    <row r="3" spans="1:17" x14ac:dyDescent="0.45">
      <c r="A3" s="6"/>
      <c r="B3" s="7"/>
      <c r="C3" s="7"/>
      <c r="D3" s="7"/>
      <c r="E3" s="7"/>
      <c r="F3" s="7"/>
      <c r="G3" s="7"/>
      <c r="H3" s="7"/>
      <c r="I3" s="7"/>
    </row>
    <row r="5" spans="1:17" ht="20.100000000000001" customHeight="1" x14ac:dyDescent="0.5">
      <c r="E5" s="185" t="s">
        <v>199</v>
      </c>
    </row>
    <row r="6" spans="1:17" x14ac:dyDescent="0.45">
      <c r="E6" s="184" t="s">
        <v>196</v>
      </c>
      <c r="F6" s="20"/>
      <c r="G6" s="2"/>
      <c r="H6" s="3"/>
    </row>
    <row r="7" spans="1:17" x14ac:dyDescent="0.45">
      <c r="E7" s="1" t="s">
        <v>197</v>
      </c>
      <c r="G7" s="190" t="e">
        <f>#REF!/#REF!</f>
        <v>#REF!</v>
      </c>
      <c r="H7" s="3"/>
      <c r="I7" s="105"/>
    </row>
    <row r="8" spans="1:17" x14ac:dyDescent="0.45">
      <c r="E8" s="1" t="s">
        <v>198</v>
      </c>
      <c r="G8" s="191" t="e">
        <f>#REF!/#REF!</f>
        <v>#REF!</v>
      </c>
      <c r="H8" s="3"/>
      <c r="I8" s="105"/>
    </row>
    <row r="9" spans="1:17" x14ac:dyDescent="0.45">
      <c r="E9" s="1" t="s">
        <v>52</v>
      </c>
      <c r="G9" s="4"/>
      <c r="H9" s="4"/>
    </row>
    <row r="10" spans="1:17" ht="16.5" x14ac:dyDescent="0.75">
      <c r="G10" s="86"/>
    </row>
    <row r="11" spans="1:17" x14ac:dyDescent="0.45">
      <c r="G11" s="99"/>
    </row>
    <row r="13" spans="1:17" x14ac:dyDescent="0.45">
      <c r="F13" s="99"/>
    </row>
    <row r="14" spans="1:17" x14ac:dyDescent="0.45">
      <c r="A14" s="10" t="s">
        <v>195</v>
      </c>
    </row>
    <row r="15" spans="1:17" x14ac:dyDescent="0.45">
      <c r="E15" s="2" t="s">
        <v>61</v>
      </c>
      <c r="F15" s="2" t="s">
        <v>116</v>
      </c>
      <c r="G15" s="2" t="s">
        <v>116</v>
      </c>
      <c r="H15" s="2" t="s">
        <v>62</v>
      </c>
    </row>
    <row r="16" spans="1:17" x14ac:dyDescent="0.45">
      <c r="B16" s="11" t="s">
        <v>63</v>
      </c>
      <c r="C16" s="12" t="s">
        <v>64</v>
      </c>
      <c r="D16" s="12" t="s">
        <v>65</v>
      </c>
      <c r="E16" s="12">
        <f>B17</f>
        <v>1000</v>
      </c>
      <c r="F16" s="12">
        <f>B18</f>
        <v>4000</v>
      </c>
      <c r="G16" s="12">
        <f>B19</f>
        <v>20000</v>
      </c>
      <c r="H16" s="12">
        <f>B20</f>
        <v>25000</v>
      </c>
      <c r="I16" s="11" t="s">
        <v>66</v>
      </c>
      <c r="O16" s="1" t="s">
        <v>260</v>
      </c>
      <c r="P16" s="186">
        <v>2126</v>
      </c>
      <c r="Q16" s="186">
        <v>0</v>
      </c>
    </row>
    <row r="17" spans="1:17" x14ac:dyDescent="0.45">
      <c r="A17" s="13" t="s">
        <v>61</v>
      </c>
      <c r="B17" s="14">
        <v>1000</v>
      </c>
      <c r="C17" s="100">
        <f>P16+P17</f>
        <v>6887</v>
      </c>
      <c r="D17" s="100">
        <f>Q17</f>
        <v>2473800</v>
      </c>
      <c r="E17" s="100">
        <f>D17</f>
        <v>2473800</v>
      </c>
      <c r="F17" s="100">
        <v>0</v>
      </c>
      <c r="G17" s="100">
        <v>0</v>
      </c>
      <c r="H17" s="100">
        <v>0</v>
      </c>
      <c r="I17" s="100">
        <f>SUM(E17:H17)</f>
        <v>2473800</v>
      </c>
      <c r="L17" s="1">
        <f>D17/C17</f>
        <v>359.1984899085233</v>
      </c>
      <c r="O17" s="1" t="s">
        <v>261</v>
      </c>
      <c r="P17" s="186">
        <v>4761</v>
      </c>
      <c r="Q17" s="186">
        <v>2473800</v>
      </c>
    </row>
    <row r="18" spans="1:17" x14ac:dyDescent="0.45">
      <c r="A18" s="13" t="s">
        <v>116</v>
      </c>
      <c r="B18" s="14">
        <v>4000</v>
      </c>
      <c r="C18" s="100">
        <f>ExBA!T18-PropBA!C17</f>
        <v>27483</v>
      </c>
      <c r="D18" s="100">
        <f>ExBA!U18-PropBA!D17</f>
        <v>74699800</v>
      </c>
      <c r="E18" s="100">
        <f>$C18*E$16</f>
        <v>27483000</v>
      </c>
      <c r="F18" s="100">
        <f>D18-E18</f>
        <v>47216800</v>
      </c>
      <c r="G18" s="100">
        <v>0</v>
      </c>
      <c r="H18" s="100">
        <v>0</v>
      </c>
      <c r="I18" s="100">
        <f t="shared" ref="I18:I20" si="0">SUM(E18:H18)</f>
        <v>74699800</v>
      </c>
      <c r="O18" s="1" t="s">
        <v>262</v>
      </c>
      <c r="P18" s="186">
        <v>7878</v>
      </c>
      <c r="Q18" s="186">
        <v>11584700</v>
      </c>
    </row>
    <row r="19" spans="1:17" x14ac:dyDescent="0.45">
      <c r="A19" s="13" t="s">
        <v>116</v>
      </c>
      <c r="B19" s="14">
        <v>20000</v>
      </c>
      <c r="C19" s="100">
        <f>ExBA!T20</f>
        <v>9287</v>
      </c>
      <c r="D19" s="100">
        <f>ExBA!U20</f>
        <v>76237800</v>
      </c>
      <c r="E19" s="100">
        <f t="shared" ref="E19:G20" si="1">$C19*E$16</f>
        <v>9287000</v>
      </c>
      <c r="F19" s="100">
        <f t="shared" si="1"/>
        <v>37148000</v>
      </c>
      <c r="G19" s="100">
        <f>$D19-($F19+$E19)</f>
        <v>29802800</v>
      </c>
      <c r="H19" s="100">
        <v>0</v>
      </c>
      <c r="I19" s="100">
        <f t="shared" si="0"/>
        <v>76237800</v>
      </c>
    </row>
    <row r="20" spans="1:17" x14ac:dyDescent="0.45">
      <c r="A20" s="13" t="s">
        <v>62</v>
      </c>
      <c r="B20" s="16">
        <v>25000</v>
      </c>
      <c r="C20" s="101">
        <f>ExBA!T24</f>
        <v>426</v>
      </c>
      <c r="D20" s="101">
        <f>ExBA!U24</f>
        <v>31891900</v>
      </c>
      <c r="E20" s="101">
        <f>$C20*E$16</f>
        <v>426000</v>
      </c>
      <c r="F20" s="101">
        <f>$C20*F$16</f>
        <v>1704000</v>
      </c>
      <c r="G20" s="101">
        <f t="shared" si="1"/>
        <v>8520000</v>
      </c>
      <c r="H20" s="101">
        <f>$D20-($F20+$E20+G20)</f>
        <v>21241900</v>
      </c>
      <c r="I20" s="101">
        <f t="shared" si="0"/>
        <v>31891900</v>
      </c>
      <c r="P20" s="22">
        <f>SUM(P16:P19)</f>
        <v>14765</v>
      </c>
      <c r="Q20" s="22">
        <f>SUM(Q16:Q19)</f>
        <v>14058500</v>
      </c>
    </row>
    <row r="21" spans="1:17" x14ac:dyDescent="0.45">
      <c r="A21" s="13"/>
      <c r="B21" s="14"/>
      <c r="C21" s="102">
        <f t="shared" ref="C21:I21" si="2">SUM(C17:C20)</f>
        <v>44083</v>
      </c>
      <c r="D21" s="102">
        <f t="shared" si="2"/>
        <v>185303300</v>
      </c>
      <c r="E21" s="102">
        <f t="shared" si="2"/>
        <v>39669800</v>
      </c>
      <c r="F21" s="102">
        <f t="shared" si="2"/>
        <v>86068800</v>
      </c>
      <c r="G21" s="102">
        <f t="shared" si="2"/>
        <v>38322800</v>
      </c>
      <c r="H21" s="102">
        <f t="shared" si="2"/>
        <v>21241900</v>
      </c>
      <c r="I21" s="102">
        <f t="shared" si="2"/>
        <v>185303300</v>
      </c>
      <c r="J21" s="51">
        <f>SUM(E21:H21)</f>
        <v>185303300</v>
      </c>
    </row>
    <row r="22" spans="1:17" x14ac:dyDescent="0.45">
      <c r="A22" s="13"/>
      <c r="B22" s="14"/>
      <c r="D22" s="14"/>
      <c r="E22" s="14"/>
      <c r="F22" s="14"/>
      <c r="G22" s="14"/>
      <c r="H22" s="14"/>
      <c r="I22" s="14"/>
    </row>
    <row r="23" spans="1:17" x14ac:dyDescent="0.45">
      <c r="A23" s="18" t="s">
        <v>67</v>
      </c>
      <c r="B23" s="18"/>
      <c r="D23" s="14"/>
      <c r="E23" s="14"/>
      <c r="F23" s="14"/>
      <c r="G23" s="14"/>
      <c r="H23" s="14"/>
      <c r="I23" s="14"/>
    </row>
    <row r="24" spans="1:17" x14ac:dyDescent="0.45">
      <c r="A24" s="13"/>
      <c r="B24" s="11"/>
      <c r="C24" s="12" t="s">
        <v>64</v>
      </c>
      <c r="D24" s="11" t="s">
        <v>65</v>
      </c>
      <c r="E24" s="12" t="s">
        <v>68</v>
      </c>
      <c r="F24" s="12" t="s">
        <v>69</v>
      </c>
      <c r="G24" s="14"/>
      <c r="H24" s="14"/>
      <c r="I24" s="14"/>
    </row>
    <row r="25" spans="1:17" x14ac:dyDescent="0.45">
      <c r="A25" s="13" t="s">
        <v>61</v>
      </c>
      <c r="B25" s="14">
        <f>B17</f>
        <v>1000</v>
      </c>
      <c r="C25" s="15">
        <f>C21</f>
        <v>44083</v>
      </c>
      <c r="D25" s="100">
        <f>E21</f>
        <v>39669800</v>
      </c>
      <c r="E25" s="19">
        <f>CalcRates!M16</f>
        <v>24.65</v>
      </c>
      <c r="F25" s="9">
        <f>E25*C25</f>
        <v>1086645.95</v>
      </c>
      <c r="G25" s="14"/>
      <c r="H25" s="14"/>
      <c r="I25" s="14"/>
    </row>
    <row r="26" spans="1:17" x14ac:dyDescent="0.45">
      <c r="A26" s="13" t="s">
        <v>116</v>
      </c>
      <c r="B26" s="14">
        <f>B18</f>
        <v>4000</v>
      </c>
      <c r="D26" s="100">
        <f>F21</f>
        <v>86068800</v>
      </c>
      <c r="E26" s="43">
        <f>CalcRates!M17</f>
        <v>11.43</v>
      </c>
      <c r="F26" s="3">
        <f>E26*(D26/1000)</f>
        <v>983766.38399999996</v>
      </c>
      <c r="G26" s="14"/>
      <c r="H26" s="14"/>
      <c r="I26" s="14"/>
    </row>
    <row r="27" spans="1:17" x14ac:dyDescent="0.45">
      <c r="A27" s="13" t="s">
        <v>116</v>
      </c>
      <c r="B27" s="14">
        <v>20000</v>
      </c>
      <c r="D27" s="100">
        <f>G21</f>
        <v>38322800</v>
      </c>
      <c r="E27" s="43">
        <f>CalcRates!M18</f>
        <v>8.0399999999999991</v>
      </c>
      <c r="F27" s="3">
        <f>E27*(D27/1000)</f>
        <v>308115.31199999998</v>
      </c>
      <c r="G27" s="14"/>
      <c r="H27" s="14"/>
      <c r="I27" s="14"/>
    </row>
    <row r="28" spans="1:17" x14ac:dyDescent="0.45">
      <c r="A28" s="13" t="s">
        <v>62</v>
      </c>
      <c r="B28" s="16">
        <v>25000</v>
      </c>
      <c r="C28" s="20"/>
      <c r="D28" s="101">
        <f>H21</f>
        <v>21241900</v>
      </c>
      <c r="E28" s="21">
        <f>CalcRates!M20</f>
        <v>6.35</v>
      </c>
      <c r="F28" s="111">
        <f>E28*(D28/1000)</f>
        <v>134886.065</v>
      </c>
      <c r="G28" s="14"/>
      <c r="H28" s="14"/>
      <c r="I28" s="14"/>
    </row>
    <row r="29" spans="1:17" x14ac:dyDescent="0.45">
      <c r="A29" s="13"/>
      <c r="B29" s="14" t="s">
        <v>66</v>
      </c>
      <c r="C29" s="3">
        <f>SUM(C25:C28)</f>
        <v>44083</v>
      </c>
      <c r="D29" s="102">
        <f>SUM(D25:D28)</f>
        <v>185303300</v>
      </c>
      <c r="F29" s="9">
        <f>SUM(F25:F28)</f>
        <v>2513413.7109999997</v>
      </c>
      <c r="G29" s="14"/>
      <c r="H29" s="14"/>
      <c r="I29" s="14"/>
    </row>
    <row r="31" spans="1:17" x14ac:dyDescent="0.45">
      <c r="F31" s="262">
        <v>2513084.8869479694</v>
      </c>
    </row>
  </sheetData>
  <mergeCells count="1">
    <mergeCell ref="A2:I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6"/>
  <sheetViews>
    <sheetView workbookViewId="0"/>
  </sheetViews>
  <sheetFormatPr defaultColWidth="8.88671875" defaultRowHeight="14.25" x14ac:dyDescent="0.45"/>
  <cols>
    <col min="1" max="1" width="8.88671875" style="1"/>
    <col min="2" max="2" width="13.109375" style="1" customWidth="1"/>
    <col min="3" max="4" width="9.5546875" style="1" customWidth="1"/>
    <col min="5" max="6" width="8.88671875" style="1"/>
    <col min="7" max="7" width="9" style="1" bestFit="1" customWidth="1"/>
    <col min="8" max="8" width="9.33203125" style="1" bestFit="1" customWidth="1"/>
    <col min="9" max="16384" width="8.88671875" style="1"/>
  </cols>
  <sheetData>
    <row r="1" spans="1:22" ht="18" x14ac:dyDescent="0.45">
      <c r="A1" s="81" t="s">
        <v>189</v>
      </c>
      <c r="B1" s="81"/>
      <c r="C1" s="81"/>
      <c r="D1" s="81"/>
      <c r="E1" s="81"/>
      <c r="F1" s="81"/>
      <c r="G1" s="81"/>
    </row>
    <row r="2" spans="1:22" ht="18" x14ac:dyDescent="0.45">
      <c r="A2" s="81"/>
      <c r="B2" s="80"/>
      <c r="C2" s="80"/>
      <c r="D2" s="80"/>
      <c r="E2" s="80"/>
      <c r="F2" s="80"/>
      <c r="G2" s="80"/>
    </row>
    <row r="4" spans="1:22" x14ac:dyDescent="0.45">
      <c r="B4" s="114" t="s">
        <v>81</v>
      </c>
      <c r="F4" s="114" t="s">
        <v>82</v>
      </c>
      <c r="G4" s="22"/>
      <c r="H4" s="22"/>
      <c r="I4" s="22"/>
      <c r="J4" s="22"/>
      <c r="M4" s="114" t="s">
        <v>135</v>
      </c>
      <c r="S4" s="114" t="s">
        <v>83</v>
      </c>
    </row>
    <row r="5" spans="1:22" x14ac:dyDescent="0.45">
      <c r="F5" s="22" t="s">
        <v>84</v>
      </c>
      <c r="G5" s="22"/>
      <c r="H5" s="22">
        <v>390974</v>
      </c>
      <c r="I5" s="22"/>
      <c r="J5" s="19"/>
      <c r="O5" s="182" t="s">
        <v>101</v>
      </c>
      <c r="P5" s="2" t="s">
        <v>202</v>
      </c>
      <c r="Q5" s="2" t="s">
        <v>105</v>
      </c>
      <c r="S5" s="10"/>
    </row>
    <row r="6" spans="1:22" x14ac:dyDescent="0.45">
      <c r="B6" s="40" t="s">
        <v>191</v>
      </c>
      <c r="C6" s="41"/>
      <c r="D6" s="42"/>
      <c r="F6" s="22" t="s">
        <v>85</v>
      </c>
      <c r="G6" s="22"/>
      <c r="H6" s="22">
        <v>189653</v>
      </c>
      <c r="I6" s="22"/>
      <c r="J6" s="22"/>
      <c r="O6" s="42" t="s">
        <v>193</v>
      </c>
      <c r="P6" s="42" t="s">
        <v>103</v>
      </c>
      <c r="Q6" s="42" t="s">
        <v>71</v>
      </c>
      <c r="S6" s="1" t="s">
        <v>118</v>
      </c>
      <c r="V6" s="193"/>
    </row>
    <row r="7" spans="1:22" x14ac:dyDescent="0.45">
      <c r="B7" s="44"/>
      <c r="C7" s="41"/>
      <c r="D7" s="43"/>
      <c r="F7" s="22" t="s">
        <v>87</v>
      </c>
      <c r="G7" s="22"/>
      <c r="H7" s="22"/>
      <c r="I7" s="22"/>
      <c r="J7" s="22"/>
      <c r="M7" s="1" t="s">
        <v>192</v>
      </c>
      <c r="O7" s="3">
        <f>SAO!D15</f>
        <v>546881</v>
      </c>
      <c r="P7" s="183">
        <v>2.8000000000000001E-2</v>
      </c>
      <c r="Q7" s="3">
        <f>P7*O7</f>
        <v>15312.668</v>
      </c>
      <c r="S7" s="1" t="s">
        <v>119</v>
      </c>
      <c r="V7" s="193"/>
    </row>
    <row r="8" spans="1:22" ht="16.5" x14ac:dyDescent="0.75">
      <c r="B8" s="43"/>
      <c r="C8" s="43"/>
      <c r="D8" s="41"/>
      <c r="F8" s="1" t="s">
        <v>88</v>
      </c>
      <c r="G8" s="1">
        <v>72725</v>
      </c>
      <c r="H8" s="22"/>
      <c r="I8" s="22"/>
      <c r="J8" s="22"/>
      <c r="O8" s="3"/>
      <c r="P8" s="90"/>
      <c r="Q8" s="86">
        <v>0</v>
      </c>
      <c r="S8" s="1" t="s">
        <v>86</v>
      </c>
      <c r="T8" s="43"/>
      <c r="U8" s="43"/>
      <c r="V8" s="194"/>
    </row>
    <row r="9" spans="1:22" x14ac:dyDescent="0.45">
      <c r="B9" s="43"/>
      <c r="C9" s="43"/>
      <c r="D9" s="43"/>
      <c r="F9" s="22" t="s">
        <v>90</v>
      </c>
      <c r="G9" s="22">
        <v>100</v>
      </c>
      <c r="H9" s="22"/>
      <c r="I9" s="22"/>
      <c r="J9" s="22"/>
      <c r="O9" s="3"/>
      <c r="P9" s="89"/>
      <c r="Q9" s="3">
        <f>Q8+Q7</f>
        <v>15312.668</v>
      </c>
      <c r="T9" s="43"/>
      <c r="U9" s="43"/>
      <c r="V9" s="194"/>
    </row>
    <row r="10" spans="1:22" x14ac:dyDescent="0.45">
      <c r="B10" s="43"/>
      <c r="C10" s="41"/>
      <c r="D10" s="43"/>
      <c r="F10" s="22" t="s">
        <v>92</v>
      </c>
      <c r="G10" s="22">
        <v>0</v>
      </c>
      <c r="H10" s="22"/>
      <c r="I10" s="22"/>
      <c r="J10" s="22"/>
      <c r="T10" s="43" t="s">
        <v>89</v>
      </c>
      <c r="U10" s="43"/>
      <c r="V10" s="194"/>
    </row>
    <row r="11" spans="1:22" x14ac:dyDescent="0.45">
      <c r="B11" s="43"/>
      <c r="C11" s="41"/>
      <c r="D11" s="43"/>
      <c r="F11" s="22" t="s">
        <v>93</v>
      </c>
      <c r="G11" s="45">
        <v>0</v>
      </c>
      <c r="H11" s="22"/>
      <c r="I11" s="22"/>
      <c r="J11" s="22"/>
      <c r="M11" s="114" t="s">
        <v>201</v>
      </c>
      <c r="T11" s="43" t="s">
        <v>91</v>
      </c>
      <c r="U11" s="43"/>
      <c r="V11" s="194"/>
    </row>
    <row r="12" spans="1:22" x14ac:dyDescent="0.45">
      <c r="B12" s="43"/>
      <c r="C12" s="43"/>
      <c r="D12" s="41"/>
      <c r="F12" s="22"/>
      <c r="G12" s="22"/>
      <c r="H12" s="22">
        <f>SUM(G8:G11)</f>
        <v>72825</v>
      </c>
      <c r="I12" s="22"/>
      <c r="J12" s="22"/>
      <c r="M12" s="114"/>
      <c r="O12" s="1" t="s">
        <v>203</v>
      </c>
      <c r="Q12" s="51">
        <f>Q9</f>
        <v>15312.668</v>
      </c>
      <c r="T12" s="43"/>
      <c r="U12" s="43"/>
      <c r="V12" s="43"/>
    </row>
    <row r="13" spans="1:22" x14ac:dyDescent="0.45">
      <c r="B13" s="43"/>
      <c r="C13" s="43"/>
      <c r="D13" s="41"/>
      <c r="F13" s="22" t="s">
        <v>94</v>
      </c>
      <c r="G13" s="22">
        <v>27005</v>
      </c>
      <c r="H13" s="22"/>
      <c r="I13" s="22"/>
      <c r="J13" s="22"/>
      <c r="M13" s="114"/>
      <c r="O13" s="1" t="s">
        <v>204</v>
      </c>
      <c r="Q13" s="190">
        <v>0.05</v>
      </c>
      <c r="S13" s="195" t="s">
        <v>282</v>
      </c>
    </row>
    <row r="14" spans="1:22" x14ac:dyDescent="0.45">
      <c r="B14" s="43"/>
      <c r="C14" s="43"/>
      <c r="D14" s="15"/>
      <c r="F14" s="22" t="s">
        <v>95</v>
      </c>
      <c r="G14" s="45">
        <v>101491</v>
      </c>
      <c r="H14" s="22"/>
      <c r="I14" s="22"/>
      <c r="J14" s="22"/>
      <c r="M14" s="114"/>
      <c r="O14" s="1" t="s">
        <v>205</v>
      </c>
      <c r="Q14" s="92">
        <f>Q12*Q13</f>
        <v>765.63340000000005</v>
      </c>
    </row>
    <row r="15" spans="1:22" x14ac:dyDescent="0.45">
      <c r="B15" s="43"/>
      <c r="C15" s="43"/>
      <c r="D15" s="15"/>
      <c r="F15" s="22"/>
      <c r="G15" s="22"/>
      <c r="H15" s="22">
        <f>G13+G14</f>
        <v>128496</v>
      </c>
      <c r="I15" s="46">
        <f>H15/H5</f>
        <v>0.32865612547125894</v>
      </c>
      <c r="J15" s="22" t="s">
        <v>96</v>
      </c>
    </row>
    <row r="16" spans="1:22" x14ac:dyDescent="0.45">
      <c r="B16" s="43"/>
      <c r="C16" s="43"/>
      <c r="D16" s="15"/>
      <c r="F16" s="8" t="s">
        <v>97</v>
      </c>
      <c r="G16" s="22">
        <f>SUM(H6:H15)</f>
        <v>390974</v>
      </c>
      <c r="I16" s="106">
        <v>0.15</v>
      </c>
      <c r="J16" s="22" t="s">
        <v>98</v>
      </c>
      <c r="M16" s="114" t="s">
        <v>106</v>
      </c>
    </row>
    <row r="17" spans="2:26" x14ac:dyDescent="0.45">
      <c r="B17" s="43"/>
      <c r="C17" s="43"/>
      <c r="D17" s="15"/>
      <c r="F17" s="47"/>
      <c r="G17" s="22"/>
      <c r="H17" s="22"/>
      <c r="I17" s="46">
        <f>I15-I16</f>
        <v>0.17865612547125895</v>
      </c>
      <c r="J17" s="22" t="s">
        <v>99</v>
      </c>
      <c r="O17" s="91" t="s">
        <v>104</v>
      </c>
      <c r="Q17" s="93">
        <f>Q9</f>
        <v>15312.668</v>
      </c>
    </row>
    <row r="18" spans="2:26" x14ac:dyDescent="0.45">
      <c r="B18" s="43"/>
      <c r="C18" s="43"/>
      <c r="D18" s="15"/>
      <c r="P18" s="13" t="s">
        <v>108</v>
      </c>
      <c r="Q18" s="94">
        <v>7.6499999999999999E-2</v>
      </c>
    </row>
    <row r="19" spans="2:26" x14ac:dyDescent="0.45">
      <c r="B19" s="43"/>
      <c r="C19" s="43"/>
      <c r="D19" s="15"/>
      <c r="F19" s="47"/>
      <c r="G19" s="22"/>
      <c r="H19" s="22"/>
      <c r="I19" s="46"/>
      <c r="J19" s="22"/>
      <c r="P19" s="13" t="s">
        <v>107</v>
      </c>
      <c r="Q19" s="93">
        <f>Q17*Q18</f>
        <v>1171.4191019999998</v>
      </c>
    </row>
    <row r="20" spans="2:26" ht="15.4" x14ac:dyDescent="0.45">
      <c r="B20" s="43"/>
      <c r="C20" s="43"/>
      <c r="D20" s="15"/>
      <c r="F20"/>
      <c r="G20"/>
      <c r="H20"/>
    </row>
    <row r="21" spans="2:26" x14ac:dyDescent="0.45">
      <c r="B21" s="3"/>
      <c r="C21" s="3"/>
      <c r="D21" s="3"/>
      <c r="E21" s="108"/>
      <c r="F21" s="3"/>
      <c r="G21" s="108"/>
      <c r="H21" s="3"/>
      <c r="I21" s="3"/>
      <c r="J21" s="3"/>
      <c r="K21" s="3"/>
      <c r="L21" s="3"/>
      <c r="M21" s="114" t="s">
        <v>270</v>
      </c>
      <c r="N21" s="15"/>
      <c r="O21" s="15"/>
      <c r="P21" s="15"/>
      <c r="Q21" s="15"/>
      <c r="R21" s="3"/>
      <c r="S21" s="3"/>
      <c r="T21" s="3"/>
      <c r="U21" s="3"/>
      <c r="V21" s="3"/>
      <c r="W21" s="3"/>
      <c r="X21" s="3"/>
      <c r="Y21" s="3"/>
      <c r="Z21" s="3"/>
    </row>
    <row r="22" spans="2:26" ht="16.5" x14ac:dyDescent="0.75">
      <c r="B22" s="3"/>
      <c r="C22" s="3"/>
      <c r="D22" s="3"/>
      <c r="E22" s="108"/>
      <c r="F22" s="3"/>
      <c r="G22" s="108"/>
      <c r="H22" s="3"/>
      <c r="I22" s="3"/>
      <c r="J22" s="3"/>
      <c r="K22" s="3"/>
      <c r="L22" s="3"/>
      <c r="M22" s="256" t="s">
        <v>271</v>
      </c>
      <c r="N22" s="256" t="s">
        <v>133</v>
      </c>
      <c r="P22" s="267" t="s">
        <v>11</v>
      </c>
      <c r="Q22" s="267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45">
      <c r="B23" s="3"/>
      <c r="C23" s="3"/>
      <c r="D23" s="3"/>
      <c r="E23" s="108"/>
      <c r="F23" s="3"/>
      <c r="G23" s="108"/>
      <c r="H23" s="3"/>
      <c r="I23" s="3"/>
      <c r="J23" s="3"/>
      <c r="K23" s="3"/>
      <c r="L23" s="3"/>
      <c r="M23" s="15" t="s">
        <v>272</v>
      </c>
      <c r="N23" s="15">
        <v>14615.119999999995</v>
      </c>
      <c r="O23" s="51">
        <f>N23</f>
        <v>14615.119999999995</v>
      </c>
      <c r="P23" s="257">
        <v>0.21</v>
      </c>
      <c r="Q23" s="15">
        <f>P23*O23</f>
        <v>3069.1751999999988</v>
      </c>
      <c r="R23" s="3"/>
      <c r="S23" s="3"/>
      <c r="T23" s="3"/>
      <c r="U23" s="3"/>
      <c r="V23" s="3"/>
      <c r="W23" s="3"/>
      <c r="X23" s="3"/>
      <c r="Y23" s="3"/>
      <c r="Z23" s="3"/>
    </row>
    <row r="24" spans="2:26" x14ac:dyDescent="0.45">
      <c r="B24" s="108"/>
      <c r="C24" s="108"/>
      <c r="D24" s="108"/>
      <c r="E24" s="108"/>
      <c r="F24" s="3"/>
      <c r="G24" s="108"/>
      <c r="H24" s="3"/>
      <c r="I24" s="3"/>
      <c r="J24" s="3"/>
      <c r="K24" s="3"/>
      <c r="L24" s="3"/>
      <c r="M24" s="15" t="s">
        <v>273</v>
      </c>
      <c r="N24" s="15">
        <v>45206.549999999996</v>
      </c>
      <c r="P24" s="257"/>
      <c r="Q24" s="15"/>
      <c r="R24" s="3"/>
      <c r="S24" s="3"/>
      <c r="T24" s="3"/>
      <c r="U24" s="3"/>
      <c r="V24" s="3"/>
      <c r="W24" s="3"/>
      <c r="X24" s="3"/>
      <c r="Y24" s="3"/>
      <c r="Z24" s="3"/>
    </row>
    <row r="25" spans="2:26" x14ac:dyDescent="0.45">
      <c r="B25" s="108"/>
      <c r="C25" s="108"/>
      <c r="D25" s="108"/>
      <c r="E25" s="108"/>
      <c r="F25" s="108"/>
      <c r="G25" s="108"/>
      <c r="H25" s="3"/>
      <c r="I25" s="3"/>
      <c r="J25" s="3"/>
      <c r="K25" s="3"/>
      <c r="L25" s="3"/>
      <c r="M25" s="15" t="s">
        <v>274</v>
      </c>
      <c r="N25" s="15">
        <v>147511.5</v>
      </c>
      <c r="O25" s="51">
        <f>SUM(N24:N26)</f>
        <v>199921.75</v>
      </c>
      <c r="P25" s="257">
        <v>0.38</v>
      </c>
      <c r="Q25" s="15">
        <f>P25*O25</f>
        <v>75970.264999999999</v>
      </c>
      <c r="R25" s="3"/>
      <c r="S25" s="3"/>
      <c r="T25" s="3"/>
      <c r="U25" s="3"/>
      <c r="V25" s="3"/>
      <c r="W25" s="3"/>
      <c r="X25" s="3"/>
      <c r="Y25" s="3"/>
      <c r="Z25" s="3"/>
    </row>
    <row r="26" spans="2:26" ht="16.5" x14ac:dyDescent="0.75">
      <c r="B26" s="108"/>
      <c r="C26" s="108"/>
      <c r="D26" s="108"/>
      <c r="E26" s="3"/>
      <c r="F26" s="3"/>
      <c r="G26" s="3"/>
      <c r="H26" s="3"/>
      <c r="I26" s="3"/>
      <c r="J26" s="3"/>
      <c r="K26" s="3"/>
      <c r="L26" s="3"/>
      <c r="M26" s="15" t="s">
        <v>275</v>
      </c>
      <c r="N26" s="48">
        <v>7203.7</v>
      </c>
      <c r="O26" s="48">
        <v>0</v>
      </c>
      <c r="P26" s="15"/>
      <c r="Q26" s="48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2:26" x14ac:dyDescent="0.45">
      <c r="B27" s="108"/>
      <c r="C27" s="108"/>
      <c r="D27" s="108"/>
      <c r="E27" s="3"/>
      <c r="F27" s="3"/>
      <c r="G27" s="3"/>
      <c r="H27" s="3"/>
      <c r="I27" s="3"/>
      <c r="J27" s="3"/>
      <c r="K27" s="3"/>
      <c r="L27" s="3"/>
      <c r="M27" s="15" t="s">
        <v>276</v>
      </c>
      <c r="N27" s="15">
        <v>214536.87000000002</v>
      </c>
      <c r="O27" s="51">
        <f>O25+O23</f>
        <v>214536.87</v>
      </c>
      <c r="P27" s="15"/>
      <c r="Q27" s="51">
        <f>Q25+Q23</f>
        <v>79039.440199999997</v>
      </c>
      <c r="R27" s="3"/>
      <c r="S27" s="3"/>
      <c r="T27" s="3"/>
      <c r="U27" s="3"/>
      <c r="V27" s="3"/>
      <c r="W27" s="3"/>
      <c r="X27" s="3"/>
      <c r="Y27" s="3"/>
      <c r="Z27" s="3"/>
    </row>
    <row r="28" spans="2:26" x14ac:dyDescent="0.45">
      <c r="B28" s="108"/>
      <c r="C28" s="108"/>
      <c r="D28" s="10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x14ac:dyDescent="0.45">
      <c r="B29" s="108"/>
      <c r="C29" s="108"/>
      <c r="D29" s="1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x14ac:dyDescent="0.45">
      <c r="B30" s="108"/>
      <c r="C30" s="108"/>
      <c r="D30" s="10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x14ac:dyDescent="0.45">
      <c r="B32" s="3"/>
      <c r="C32" s="3"/>
      <c r="D32" s="3"/>
      <c r="M32" s="3"/>
      <c r="N32" s="3"/>
      <c r="O32" s="3"/>
      <c r="P32" s="3"/>
      <c r="Q32" s="3"/>
      <c r="S32" s="3"/>
      <c r="T32" s="3"/>
      <c r="U32" s="3"/>
      <c r="V32" s="3"/>
    </row>
    <row r="33" spans="2:22" x14ac:dyDescent="0.45">
      <c r="B33" s="3"/>
      <c r="C33" s="3"/>
      <c r="D33" s="3"/>
      <c r="M33" s="3"/>
      <c r="N33" s="3"/>
      <c r="O33" s="3"/>
      <c r="P33" s="3"/>
      <c r="Q33" s="3"/>
      <c r="S33" s="3"/>
      <c r="T33" s="3"/>
      <c r="U33" s="3"/>
      <c r="V33" s="3"/>
    </row>
    <row r="34" spans="2:22" x14ac:dyDescent="0.45">
      <c r="B34" s="3"/>
      <c r="C34" s="3"/>
      <c r="D34" s="3"/>
    </row>
    <row r="35" spans="2:22" x14ac:dyDescent="0.45">
      <c r="B35" s="3"/>
      <c r="C35" s="3"/>
      <c r="D35" s="3"/>
    </row>
    <row r="36" spans="2:22" x14ac:dyDescent="0.45">
      <c r="B36" s="3"/>
      <c r="C36" s="3"/>
      <c r="D36" s="3"/>
    </row>
  </sheetData>
  <mergeCells count="1">
    <mergeCell ref="P22:Q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W65"/>
  <sheetViews>
    <sheetView topLeftCell="C1" workbookViewId="0">
      <selection activeCell="C1" sqref="C1"/>
    </sheetView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22" customWidth="1"/>
    <col min="4" max="4" width="24.44140625" style="22" customWidth="1"/>
    <col min="5" max="5" width="7.77734375" style="22" customWidth="1"/>
    <col min="6" max="6" width="8.77734375" style="22" customWidth="1"/>
    <col min="7" max="7" width="5.77734375" style="72" customWidth="1"/>
    <col min="8" max="8" width="8.77734375" style="22" customWidth="1"/>
    <col min="9" max="9" width="5.77734375" style="72" customWidth="1"/>
    <col min="10" max="10" width="8.77734375" style="22" customWidth="1"/>
    <col min="11" max="11" width="10" style="22" customWidth="1"/>
    <col min="12" max="12" width="1.77734375" style="22" customWidth="1"/>
    <col min="13" max="13" width="2.33203125" style="22" customWidth="1"/>
    <col min="14" max="256" width="9.6640625" style="22" customWidth="1"/>
    <col min="257" max="16384" width="8.88671875" style="1"/>
  </cols>
  <sheetData>
    <row r="1" spans="2:25" x14ac:dyDescent="0.45">
      <c r="N1" s="56"/>
    </row>
    <row r="2" spans="2:25" x14ac:dyDescent="0.45">
      <c r="B2" s="57"/>
      <c r="C2" s="58"/>
      <c r="D2" s="58"/>
      <c r="E2" s="58"/>
      <c r="F2" s="58"/>
      <c r="G2" s="73"/>
      <c r="H2" s="58"/>
      <c r="I2" s="73"/>
      <c r="J2" s="58"/>
      <c r="K2" s="58"/>
      <c r="L2" s="59"/>
    </row>
    <row r="3" spans="2:25" ht="18" x14ac:dyDescent="0.55000000000000004">
      <c r="B3" s="60"/>
      <c r="C3" s="269" t="s">
        <v>55</v>
      </c>
      <c r="D3" s="269"/>
      <c r="E3" s="269"/>
      <c r="F3" s="269"/>
      <c r="G3" s="269"/>
      <c r="H3" s="269"/>
      <c r="I3" s="269"/>
      <c r="J3" s="269"/>
      <c r="K3" s="269"/>
      <c r="L3" s="62"/>
    </row>
    <row r="4" spans="2:25" ht="18" x14ac:dyDescent="0.55000000000000004">
      <c r="B4" s="60"/>
      <c r="C4" s="268" t="s">
        <v>1</v>
      </c>
      <c r="D4" s="268"/>
      <c r="E4" s="268"/>
      <c r="F4" s="268"/>
      <c r="G4" s="268"/>
      <c r="H4" s="268"/>
      <c r="I4" s="268"/>
      <c r="J4" s="268"/>
      <c r="K4" s="268"/>
      <c r="L4" s="62"/>
    </row>
    <row r="5" spans="2:25" ht="15" customHeight="1" x14ac:dyDescent="0.45">
      <c r="B5" s="60"/>
      <c r="C5" s="266" t="s">
        <v>189</v>
      </c>
      <c r="D5" s="266"/>
      <c r="E5" s="266"/>
      <c r="F5" s="266"/>
      <c r="G5" s="266"/>
      <c r="H5" s="266"/>
      <c r="I5" s="266"/>
      <c r="J5" s="266"/>
      <c r="K5" s="266"/>
      <c r="L5" s="62"/>
      <c r="Q5" s="82"/>
      <c r="R5" s="82"/>
      <c r="S5" s="82"/>
      <c r="T5" s="82"/>
      <c r="U5" s="82"/>
      <c r="V5" s="82"/>
      <c r="W5" s="82"/>
      <c r="X5" s="82"/>
      <c r="Y5" s="82"/>
    </row>
    <row r="6" spans="2:25" ht="15" customHeight="1" x14ac:dyDescent="0.45">
      <c r="B6" s="60"/>
      <c r="G6" s="74"/>
      <c r="I6" s="74"/>
      <c r="K6" s="63" t="s">
        <v>46</v>
      </c>
      <c r="L6" s="62"/>
    </row>
    <row r="7" spans="2:25" ht="15" customHeight="1" x14ac:dyDescent="0.45">
      <c r="B7" s="60"/>
      <c r="C7" s="64"/>
      <c r="D7" s="64"/>
      <c r="E7" s="64" t="s">
        <v>4</v>
      </c>
      <c r="F7" s="64" t="s">
        <v>7</v>
      </c>
      <c r="G7" s="75" t="s">
        <v>74</v>
      </c>
      <c r="H7" s="61"/>
      <c r="I7" s="75" t="s">
        <v>36</v>
      </c>
      <c r="J7" s="61"/>
      <c r="K7" s="63" t="s">
        <v>47</v>
      </c>
      <c r="L7" s="62"/>
      <c r="N7" s="63"/>
    </row>
    <row r="8" spans="2:25" ht="15" customHeight="1" x14ac:dyDescent="0.45">
      <c r="B8" s="60"/>
      <c r="C8" s="63"/>
      <c r="D8" s="63" t="s">
        <v>2</v>
      </c>
      <c r="E8" s="63" t="s">
        <v>5</v>
      </c>
      <c r="F8" s="63" t="s">
        <v>8</v>
      </c>
      <c r="G8" s="76" t="s">
        <v>9</v>
      </c>
      <c r="H8" s="63" t="s">
        <v>10</v>
      </c>
      <c r="I8" s="76" t="s">
        <v>9</v>
      </c>
      <c r="J8" s="63" t="s">
        <v>10</v>
      </c>
      <c r="K8" s="63" t="s">
        <v>11</v>
      </c>
      <c r="L8" s="62"/>
      <c r="N8" s="63"/>
    </row>
    <row r="9" spans="2:25" ht="15" customHeight="1" x14ac:dyDescent="0.45">
      <c r="B9" s="60"/>
      <c r="C9" s="49" t="s">
        <v>212</v>
      </c>
      <c r="E9" s="50"/>
      <c r="F9" s="51"/>
      <c r="G9" s="74"/>
      <c r="H9" s="51"/>
      <c r="I9" s="74"/>
      <c r="J9" s="51"/>
      <c r="K9" s="51"/>
      <c r="L9" s="62"/>
      <c r="N9" s="63"/>
    </row>
    <row r="10" spans="2:25" ht="15" customHeight="1" x14ac:dyDescent="0.45">
      <c r="B10" s="60"/>
      <c r="D10" s="22" t="s">
        <v>73</v>
      </c>
      <c r="E10" s="50" t="s">
        <v>6</v>
      </c>
      <c r="F10" s="4">
        <v>5632405</v>
      </c>
      <c r="G10" s="71" t="s">
        <v>120</v>
      </c>
      <c r="H10" s="4">
        <f>9084.97*12</f>
        <v>109019.63999999998</v>
      </c>
      <c r="I10" s="74">
        <v>37.5</v>
      </c>
      <c r="J10" s="4">
        <f>F10/I10</f>
        <v>150197.46666666667</v>
      </c>
      <c r="K10" s="4">
        <f>J10-H10</f>
        <v>41177.82666666669</v>
      </c>
      <c r="L10" s="62"/>
      <c r="N10" s="63"/>
    </row>
    <row r="11" spans="2:25" ht="15" customHeight="1" x14ac:dyDescent="0.45">
      <c r="B11" s="60"/>
      <c r="C11" s="63"/>
      <c r="D11" s="63"/>
      <c r="E11" s="63"/>
      <c r="F11" s="63"/>
      <c r="G11" s="76"/>
      <c r="H11" s="63"/>
      <c r="I11" s="76"/>
      <c r="J11" s="63"/>
      <c r="K11" s="63"/>
      <c r="L11" s="62"/>
      <c r="N11" s="63"/>
    </row>
    <row r="12" spans="2:25" ht="15" customHeight="1" x14ac:dyDescent="0.45">
      <c r="B12" s="60"/>
      <c r="C12" s="49" t="s">
        <v>213</v>
      </c>
      <c r="E12" s="50"/>
      <c r="F12" s="51"/>
      <c r="G12" s="71"/>
      <c r="H12" s="51"/>
      <c r="I12" s="74"/>
      <c r="J12" s="51"/>
      <c r="K12" s="51"/>
      <c r="L12" s="62"/>
      <c r="N12" s="63"/>
    </row>
    <row r="13" spans="2:25" ht="15" customHeight="1" x14ac:dyDescent="0.45">
      <c r="B13" s="60"/>
      <c r="C13" s="49"/>
      <c r="D13" s="22" t="s">
        <v>214</v>
      </c>
      <c r="E13" s="50">
        <v>25384</v>
      </c>
      <c r="F13" s="51">
        <v>78723</v>
      </c>
      <c r="G13" s="71">
        <v>50</v>
      </c>
      <c r="H13" s="51">
        <f>131.21*12</f>
        <v>1574.52</v>
      </c>
      <c r="I13" s="74">
        <v>62.5</v>
      </c>
      <c r="J13" s="5">
        <f t="shared" ref="J13:J15" si="0">F13/I13</f>
        <v>1259.568</v>
      </c>
      <c r="K13" s="5">
        <f t="shared" ref="K13:K15" si="1">J13-H13</f>
        <v>-314.952</v>
      </c>
      <c r="L13" s="62"/>
      <c r="N13" s="63"/>
    </row>
    <row r="14" spans="2:25" ht="15" customHeight="1" x14ac:dyDescent="0.45">
      <c r="B14" s="60"/>
      <c r="C14" s="49"/>
      <c r="D14" s="22" t="s">
        <v>215</v>
      </c>
      <c r="E14" s="50">
        <v>41243</v>
      </c>
      <c r="F14" s="51">
        <v>474544.66</v>
      </c>
      <c r="G14" s="71">
        <v>60</v>
      </c>
      <c r="H14" s="51">
        <f>659.09*12</f>
        <v>7909.08</v>
      </c>
      <c r="I14" s="74">
        <v>40</v>
      </c>
      <c r="J14" s="5">
        <f t="shared" si="0"/>
        <v>11863.6165</v>
      </c>
      <c r="K14" s="5">
        <f t="shared" si="1"/>
        <v>3954.5365000000002</v>
      </c>
      <c r="L14" s="62"/>
      <c r="N14" s="63"/>
    </row>
    <row r="15" spans="2:25" ht="15" customHeight="1" x14ac:dyDescent="0.45">
      <c r="B15" s="60"/>
      <c r="C15" s="49"/>
      <c r="D15" s="22" t="s">
        <v>216</v>
      </c>
      <c r="E15" s="50">
        <v>41243</v>
      </c>
      <c r="F15" s="51">
        <v>488949.02</v>
      </c>
      <c r="G15" s="71">
        <v>45</v>
      </c>
      <c r="H15" s="5">
        <f>905.46*12</f>
        <v>10865.52</v>
      </c>
      <c r="I15" s="74">
        <v>62.5</v>
      </c>
      <c r="J15" s="5">
        <f t="shared" si="0"/>
        <v>7823.1843200000003</v>
      </c>
      <c r="K15" s="5">
        <f t="shared" si="1"/>
        <v>-3042.3356800000001</v>
      </c>
      <c r="L15" s="62"/>
      <c r="N15" s="63"/>
    </row>
    <row r="16" spans="2:25" ht="15" customHeight="1" x14ac:dyDescent="0.45">
      <c r="B16" s="60"/>
      <c r="C16" s="49"/>
      <c r="E16" s="50"/>
      <c r="F16" s="51"/>
      <c r="G16" s="71"/>
      <c r="H16" s="51"/>
      <c r="I16" s="74"/>
      <c r="J16" s="51"/>
      <c r="K16" s="51"/>
      <c r="L16" s="62"/>
      <c r="N16" s="63"/>
    </row>
    <row r="17" spans="2:14" ht="15" customHeight="1" x14ac:dyDescent="0.45">
      <c r="B17" s="60"/>
      <c r="C17" s="49" t="s">
        <v>217</v>
      </c>
      <c r="E17" s="50"/>
      <c r="F17" s="51"/>
      <c r="G17" s="71"/>
      <c r="H17" s="51"/>
      <c r="I17" s="71"/>
      <c r="J17" s="51"/>
      <c r="K17" s="51"/>
      <c r="L17" s="62"/>
      <c r="N17" s="63"/>
    </row>
    <row r="18" spans="2:14" ht="15" customHeight="1" x14ac:dyDescent="0.45">
      <c r="B18" s="60"/>
      <c r="D18" s="22" t="s">
        <v>218</v>
      </c>
      <c r="E18" s="50" t="s">
        <v>6</v>
      </c>
      <c r="F18" s="51">
        <f>758.23+1686.38+1575+72119.25+72119.25+55942+27738+55942+27738+1625+1300+1325+1110+1951+28239+18501+68547+11847+15501+15501+34041+4000+3416+17326+17326+17326+1838+2259+4110+1950+8701+3069</f>
        <v>596427.11</v>
      </c>
      <c r="G18" s="71" t="s">
        <v>120</v>
      </c>
      <c r="H18" s="5">
        <f>3076.56*12</f>
        <v>36918.720000000001</v>
      </c>
      <c r="I18" s="74">
        <v>20</v>
      </c>
      <c r="J18" s="51">
        <f>F18/I18</f>
        <v>29821.355499999998</v>
      </c>
      <c r="K18" s="5">
        <f>J18-H18</f>
        <v>-7097.3645000000033</v>
      </c>
      <c r="L18" s="62"/>
      <c r="N18" s="63"/>
    </row>
    <row r="19" spans="2:14" ht="15" customHeight="1" x14ac:dyDescent="0.45">
      <c r="B19" s="60"/>
      <c r="D19" s="22" t="s">
        <v>219</v>
      </c>
      <c r="E19" s="50" t="s">
        <v>6</v>
      </c>
      <c r="F19" s="51">
        <f>378135+1400+19000+26145+26146+26145+31380+29612+29612+29612+11000+2635</f>
        <v>610822</v>
      </c>
      <c r="G19" s="71" t="s">
        <v>120</v>
      </c>
      <c r="H19" s="5">
        <f>(900.32+11.67+45.24+54.47+54.47+54.47+74.71+70.5+70.5+70.5+26.19+14.64)*12</f>
        <v>17372.160000000003</v>
      </c>
      <c r="I19" s="74">
        <v>10</v>
      </c>
      <c r="J19" s="51">
        <f>F19/I19</f>
        <v>61082.2</v>
      </c>
      <c r="K19" s="5">
        <f>J19-H19</f>
        <v>43710.039999999994</v>
      </c>
      <c r="L19" s="62"/>
      <c r="N19" s="63"/>
    </row>
    <row r="20" spans="2:14" ht="15" customHeight="1" x14ac:dyDescent="0.45">
      <c r="B20" s="60"/>
      <c r="C20" s="63"/>
      <c r="D20" s="63"/>
      <c r="E20" s="63"/>
      <c r="F20" s="51"/>
      <c r="G20" s="71"/>
      <c r="H20" s="51"/>
      <c r="I20" s="71"/>
      <c r="J20" s="51"/>
      <c r="K20" s="51"/>
      <c r="L20" s="62"/>
      <c r="N20" s="63"/>
    </row>
    <row r="21" spans="2:14" ht="15" customHeight="1" x14ac:dyDescent="0.45">
      <c r="B21" s="60"/>
      <c r="C21" s="49" t="s">
        <v>220</v>
      </c>
      <c r="E21" s="50"/>
      <c r="F21" s="51"/>
      <c r="G21" s="74"/>
      <c r="H21" s="51"/>
      <c r="I21" s="74"/>
      <c r="J21" s="51"/>
      <c r="K21" s="51"/>
      <c r="L21" s="62"/>
      <c r="N21" s="63"/>
    </row>
    <row r="22" spans="2:14" ht="15" customHeight="1" x14ac:dyDescent="0.45">
      <c r="B22" s="60"/>
      <c r="C22" s="49"/>
      <c r="D22" s="22" t="s">
        <v>212</v>
      </c>
      <c r="E22" s="50" t="s">
        <v>6</v>
      </c>
      <c r="F22" s="51">
        <v>847124</v>
      </c>
      <c r="G22" s="71" t="s">
        <v>120</v>
      </c>
      <c r="H22" s="51">
        <f>1627.3*12</f>
        <v>19527.599999999999</v>
      </c>
      <c r="I22" s="71">
        <v>37.5</v>
      </c>
      <c r="J22" s="51">
        <f t="shared" ref="J22" si="2">F22/I22</f>
        <v>22589.973333333332</v>
      </c>
      <c r="K22" s="5">
        <f t="shared" ref="K22" si="3">J22-H22</f>
        <v>3062.373333333333</v>
      </c>
      <c r="L22" s="62"/>
      <c r="N22" s="63"/>
    </row>
    <row r="23" spans="2:14" ht="15" customHeight="1" x14ac:dyDescent="0.45">
      <c r="B23" s="60"/>
      <c r="C23" s="49"/>
      <c r="D23" s="22" t="s">
        <v>220</v>
      </c>
      <c r="E23" s="50" t="s">
        <v>6</v>
      </c>
      <c r="F23" s="51">
        <f>2800218-545-682</f>
        <v>2798991</v>
      </c>
      <c r="G23" s="71" t="s">
        <v>120</v>
      </c>
      <c r="H23" s="51">
        <f>5650.19*12</f>
        <v>67802.28</v>
      </c>
      <c r="I23" s="71">
        <v>27.5</v>
      </c>
      <c r="J23" s="51">
        <f t="shared" ref="J23" si="4">F23/I23</f>
        <v>101781.49090909091</v>
      </c>
      <c r="K23" s="5">
        <f t="shared" ref="K23" si="5">J23-H23</f>
        <v>33979.210909090907</v>
      </c>
      <c r="L23" s="62"/>
      <c r="N23" s="63"/>
    </row>
    <row r="24" spans="2:14" ht="15" customHeight="1" x14ac:dyDescent="0.45">
      <c r="B24" s="60"/>
      <c r="C24" s="63"/>
      <c r="D24" s="63"/>
      <c r="E24" s="63"/>
      <c r="F24" s="51"/>
      <c r="G24" s="71"/>
      <c r="H24" s="51"/>
      <c r="I24" s="71"/>
      <c r="J24" s="51"/>
      <c r="K24" s="51"/>
      <c r="L24" s="62"/>
      <c r="N24" s="63"/>
    </row>
    <row r="25" spans="2:14" ht="15" customHeight="1" x14ac:dyDescent="0.45">
      <c r="B25" s="60"/>
      <c r="C25" s="49" t="s">
        <v>221</v>
      </c>
      <c r="E25" s="50"/>
      <c r="F25" s="51"/>
      <c r="G25" s="78"/>
      <c r="H25" s="51"/>
      <c r="I25" s="74"/>
      <c r="J25" s="51"/>
      <c r="K25" s="51"/>
      <c r="L25" s="62"/>
      <c r="N25" s="63"/>
    </row>
    <row r="26" spans="2:14" ht="15" customHeight="1" x14ac:dyDescent="0.45">
      <c r="B26" s="60"/>
      <c r="C26" s="49"/>
      <c r="D26" s="22" t="s">
        <v>73</v>
      </c>
      <c r="E26" s="50" t="s">
        <v>6</v>
      </c>
      <c r="F26" s="51">
        <v>2641815</v>
      </c>
      <c r="G26" s="71" t="s">
        <v>120</v>
      </c>
      <c r="H26" s="51">
        <f>5496.16*12</f>
        <v>65953.919999999998</v>
      </c>
      <c r="I26" s="74">
        <v>45</v>
      </c>
      <c r="J26" s="51">
        <f>F26/I26</f>
        <v>58707</v>
      </c>
      <c r="K26" s="51">
        <f>J26-H26</f>
        <v>-7246.9199999999983</v>
      </c>
      <c r="L26" s="62"/>
      <c r="N26" s="63"/>
    </row>
    <row r="27" spans="2:14" ht="15" customHeight="1" x14ac:dyDescent="0.45">
      <c r="B27" s="60"/>
      <c r="C27" s="63"/>
      <c r="D27" s="63"/>
      <c r="E27" s="63"/>
      <c r="F27" s="51"/>
      <c r="G27" s="71"/>
      <c r="H27" s="51"/>
      <c r="I27" s="71"/>
      <c r="J27" s="51"/>
      <c r="K27" s="51"/>
      <c r="L27" s="62"/>
      <c r="N27" s="63"/>
    </row>
    <row r="28" spans="2:14" ht="15" customHeight="1" x14ac:dyDescent="0.45">
      <c r="B28" s="60"/>
      <c r="C28" s="49" t="s">
        <v>222</v>
      </c>
      <c r="G28" s="74"/>
      <c r="I28" s="74"/>
      <c r="L28" s="62"/>
    </row>
    <row r="29" spans="2:14" ht="15" customHeight="1" x14ac:dyDescent="0.45">
      <c r="B29" s="60"/>
      <c r="D29" s="22" t="s">
        <v>73</v>
      </c>
      <c r="E29" s="50" t="s">
        <v>6</v>
      </c>
      <c r="F29" s="51">
        <f>16357151-(6463+8617+21420+74627+29024+4000)</f>
        <v>16213000</v>
      </c>
      <c r="G29" s="74" t="s">
        <v>120</v>
      </c>
      <c r="H29" s="51">
        <f>35115.44*12</f>
        <v>421385.28</v>
      </c>
      <c r="I29" s="77">
        <v>62.5</v>
      </c>
      <c r="J29" s="51">
        <f>F29/I29</f>
        <v>259408</v>
      </c>
      <c r="K29" s="51">
        <f>J29-H29</f>
        <v>-161977.28000000003</v>
      </c>
      <c r="L29" s="62"/>
      <c r="N29" s="65"/>
    </row>
    <row r="30" spans="2:14" ht="15" customHeight="1" x14ac:dyDescent="0.45">
      <c r="B30" s="60"/>
      <c r="D30" s="22" t="s">
        <v>252</v>
      </c>
      <c r="E30" s="50"/>
      <c r="F30" s="51"/>
      <c r="G30" s="74"/>
      <c r="H30" s="177">
        <v>-868.52</v>
      </c>
      <c r="I30" s="77"/>
      <c r="J30" s="51"/>
      <c r="K30" s="51">
        <f>-H30</f>
        <v>868.52</v>
      </c>
      <c r="L30" s="62"/>
      <c r="N30" s="65"/>
    </row>
    <row r="31" spans="2:14" ht="15" customHeight="1" x14ac:dyDescent="0.45">
      <c r="B31" s="60"/>
      <c r="E31" s="50"/>
      <c r="F31" s="51"/>
      <c r="G31" s="74"/>
      <c r="H31" s="51"/>
      <c r="I31" s="74"/>
      <c r="J31" s="51"/>
      <c r="K31" s="51"/>
      <c r="L31" s="62"/>
      <c r="N31" s="65"/>
    </row>
    <row r="32" spans="2:14" ht="15" customHeight="1" x14ac:dyDescent="0.45">
      <c r="B32" s="60"/>
      <c r="C32" s="49" t="s">
        <v>223</v>
      </c>
      <c r="E32" s="50"/>
      <c r="F32" s="51"/>
      <c r="G32" s="74"/>
      <c r="H32" s="51"/>
      <c r="I32" s="74"/>
      <c r="J32" s="51"/>
      <c r="K32" s="51"/>
      <c r="L32" s="62"/>
      <c r="N32" s="65"/>
    </row>
    <row r="33" spans="2:256" ht="15" customHeight="1" x14ac:dyDescent="0.45">
      <c r="B33" s="60"/>
      <c r="C33" s="49"/>
      <c r="D33" s="22" t="s">
        <v>73</v>
      </c>
      <c r="E33" s="50" t="s">
        <v>6</v>
      </c>
      <c r="F33" s="51">
        <f>1988536.16-(9243+97939+2079+9695+7206+16656+14418+134189+15174+20516+17755+19844+28872)</f>
        <v>1594950.16</v>
      </c>
      <c r="G33" s="74" t="s">
        <v>120</v>
      </c>
      <c r="H33" s="51">
        <f>4143*12</f>
        <v>49716</v>
      </c>
      <c r="I33" s="77">
        <v>42.5</v>
      </c>
      <c r="J33" s="51">
        <f>F33/I33</f>
        <v>37528.239058823528</v>
      </c>
      <c r="K33" s="51">
        <f>J33-H33</f>
        <v>-12187.760941176472</v>
      </c>
      <c r="L33" s="62"/>
      <c r="N33" s="65"/>
    </row>
    <row r="34" spans="2:256" ht="15" customHeight="1" x14ac:dyDescent="0.45">
      <c r="B34" s="60"/>
      <c r="E34" s="50"/>
      <c r="F34" s="51"/>
      <c r="G34" s="78"/>
      <c r="H34" s="51"/>
      <c r="I34" s="74"/>
      <c r="J34" s="51"/>
      <c r="K34" s="51"/>
      <c r="L34" s="62"/>
      <c r="N34" s="65"/>
    </row>
    <row r="35" spans="2:256" ht="15" customHeight="1" x14ac:dyDescent="0.45">
      <c r="B35" s="60"/>
      <c r="C35" s="49" t="s">
        <v>163</v>
      </c>
      <c r="E35" s="50"/>
      <c r="F35" s="51"/>
      <c r="G35" s="74"/>
      <c r="H35" s="51"/>
      <c r="I35" s="74"/>
      <c r="J35" s="51"/>
      <c r="K35" s="51"/>
      <c r="L35" s="62"/>
      <c r="N35" s="65"/>
    </row>
    <row r="36" spans="2:256" ht="15" customHeight="1" x14ac:dyDescent="0.45">
      <c r="B36" s="60"/>
      <c r="C36" s="49"/>
      <c r="D36" s="22" t="s">
        <v>73</v>
      </c>
      <c r="E36" s="50" t="s">
        <v>6</v>
      </c>
      <c r="F36" s="51">
        <f>179359-5577</f>
        <v>173782</v>
      </c>
      <c r="G36" s="74" t="s">
        <v>120</v>
      </c>
      <c r="H36" s="51">
        <f>410.59*12</f>
        <v>4927.08</v>
      </c>
      <c r="I36" s="74">
        <v>50</v>
      </c>
      <c r="J36" s="51">
        <f>F36/I36</f>
        <v>3475.64</v>
      </c>
      <c r="K36" s="51">
        <f t="shared" ref="K36" si="6">J36-H36</f>
        <v>-1451.44</v>
      </c>
      <c r="L36" s="62"/>
      <c r="N36" s="65"/>
    </row>
    <row r="37" spans="2:256" ht="15" customHeight="1" x14ac:dyDescent="0.45">
      <c r="B37" s="60"/>
      <c r="E37" s="50"/>
      <c r="F37" s="51"/>
      <c r="G37" s="78"/>
      <c r="H37" s="51"/>
      <c r="I37" s="74"/>
      <c r="J37" s="51"/>
      <c r="K37" s="51"/>
      <c r="L37" s="62"/>
      <c r="N37" s="65"/>
    </row>
    <row r="38" spans="2:256" ht="15" customHeight="1" x14ac:dyDescent="0.45">
      <c r="B38" s="60"/>
      <c r="C38" s="49" t="s">
        <v>224</v>
      </c>
      <c r="E38" s="50"/>
      <c r="F38" s="51"/>
      <c r="G38" s="74"/>
      <c r="H38" s="51"/>
      <c r="I38" s="74"/>
      <c r="J38" s="51"/>
      <c r="K38" s="51"/>
      <c r="L38" s="62"/>
      <c r="N38" s="66"/>
    </row>
    <row r="39" spans="2:256" ht="15" customHeight="1" x14ac:dyDescent="0.45">
      <c r="B39" s="60"/>
      <c r="C39" s="49"/>
      <c r="D39" s="22" t="s">
        <v>225</v>
      </c>
      <c r="E39" s="50" t="s">
        <v>6</v>
      </c>
      <c r="F39" s="51">
        <f>6312+6007+1179+300+200+200+200+204+1480+975+542+542+542+140</f>
        <v>18823</v>
      </c>
      <c r="G39" s="74" t="s">
        <v>120</v>
      </c>
      <c r="H39" s="51">
        <f>(52.6+50.06+9.82+5+1.67+1.67+3.33+3.4+24.67+16.25+9.04+9.04+9.04+2.32)*12</f>
        <v>2374.9199999999996</v>
      </c>
      <c r="I39" s="74">
        <v>10</v>
      </c>
      <c r="J39" s="51">
        <f t="shared" ref="J39:J40" si="7">F39/I39</f>
        <v>1882.3</v>
      </c>
      <c r="K39" s="51">
        <f t="shared" ref="K39:K40" si="8">J39-H39</f>
        <v>-492.61999999999966</v>
      </c>
      <c r="L39" s="62"/>
      <c r="N39" s="65"/>
    </row>
    <row r="40" spans="2:256" ht="15" customHeight="1" x14ac:dyDescent="0.45">
      <c r="B40" s="60"/>
      <c r="D40" s="22" t="s">
        <v>100</v>
      </c>
      <c r="E40" s="50"/>
      <c r="F40" s="51">
        <f>630+340+4340+494+540+1472+260+144239</f>
        <v>152315</v>
      </c>
      <c r="G40" s="74" t="s">
        <v>120</v>
      </c>
      <c r="H40" s="51">
        <f>(845.95*12)-H39</f>
        <v>7776.4800000000014</v>
      </c>
      <c r="I40" s="74">
        <v>22.5</v>
      </c>
      <c r="J40" s="51">
        <f t="shared" si="7"/>
        <v>6769.5555555555557</v>
      </c>
      <c r="K40" s="51">
        <f t="shared" si="8"/>
        <v>-1006.9244444444457</v>
      </c>
      <c r="L40" s="62"/>
      <c r="N40" s="66"/>
    </row>
    <row r="41" spans="2:256" ht="15" customHeight="1" x14ac:dyDescent="0.45">
      <c r="B41" s="60"/>
      <c r="E41" s="50"/>
      <c r="F41" s="51"/>
      <c r="G41" s="74"/>
      <c r="H41" s="51"/>
      <c r="I41" s="74"/>
      <c r="J41" s="51"/>
      <c r="K41" s="51"/>
      <c r="L41" s="62"/>
      <c r="N41" s="66"/>
    </row>
    <row r="42" spans="2:256" ht="15" customHeight="1" x14ac:dyDescent="0.45">
      <c r="B42" s="60"/>
      <c r="C42" s="49" t="s">
        <v>226</v>
      </c>
      <c r="E42" s="50"/>
      <c r="F42" s="51"/>
      <c r="G42" s="74"/>
      <c r="H42" s="51"/>
      <c r="I42" s="74"/>
      <c r="J42" s="51"/>
      <c r="K42" s="51"/>
      <c r="L42" s="62"/>
      <c r="N42" s="66"/>
    </row>
    <row r="43" spans="2:256" ht="15" customHeight="1" x14ac:dyDescent="0.45">
      <c r="B43" s="60"/>
      <c r="C43" s="49"/>
      <c r="D43" s="22" t="s">
        <v>73</v>
      </c>
      <c r="E43" s="50" t="s">
        <v>6</v>
      </c>
      <c r="F43" s="51">
        <f>13393+13393+9300+23322+23322</f>
        <v>82730</v>
      </c>
      <c r="G43" s="74" t="s">
        <v>120</v>
      </c>
      <c r="H43" s="51">
        <f>745.1*12</f>
        <v>8941.2000000000007</v>
      </c>
      <c r="I43" s="74">
        <v>7</v>
      </c>
      <c r="J43" s="51">
        <f>F43/I43</f>
        <v>11818.571428571429</v>
      </c>
      <c r="K43" s="51">
        <f t="shared" ref="K43" si="9">J43-H43</f>
        <v>2877.3714285714286</v>
      </c>
      <c r="L43" s="62"/>
      <c r="N43" s="66"/>
    </row>
    <row r="44" spans="2:256" ht="15" customHeight="1" x14ac:dyDescent="0.45">
      <c r="B44" s="60"/>
      <c r="C44" s="49"/>
      <c r="E44" s="50"/>
      <c r="F44" s="51"/>
      <c r="G44" s="74"/>
      <c r="H44" s="51"/>
      <c r="I44" s="74"/>
      <c r="J44" s="51"/>
      <c r="K44" s="51"/>
      <c r="L44" s="62"/>
      <c r="M44" s="66"/>
      <c r="IV44" s="1"/>
    </row>
    <row r="45" spans="2:256" ht="15" customHeight="1" x14ac:dyDescent="0.45">
      <c r="B45" s="60"/>
      <c r="C45" s="49" t="s">
        <v>227</v>
      </c>
      <c r="E45" s="50"/>
      <c r="F45" s="51"/>
      <c r="G45" s="74"/>
      <c r="H45" s="51"/>
      <c r="I45" s="74"/>
      <c r="J45" s="51"/>
      <c r="K45" s="51"/>
      <c r="L45" s="62"/>
      <c r="M45" s="66"/>
      <c r="IV45" s="1"/>
    </row>
    <row r="46" spans="2:256" ht="15" customHeight="1" x14ac:dyDescent="0.45">
      <c r="B46" s="60"/>
      <c r="C46" s="49"/>
      <c r="D46" s="22" t="s">
        <v>73</v>
      </c>
      <c r="E46" s="50" t="s">
        <v>6</v>
      </c>
      <c r="F46" s="51">
        <f>350+1016.54+1016.54+539+5556+180+375+218+180+620+214+2188+239+3015</f>
        <v>15707.08</v>
      </c>
      <c r="G46" s="74" t="s">
        <v>120</v>
      </c>
      <c r="H46" s="51">
        <f>83.78*12</f>
        <v>1005.36</v>
      </c>
      <c r="I46" s="74">
        <v>17.5</v>
      </c>
      <c r="J46" s="51">
        <f>F46/I46</f>
        <v>897.54742857142855</v>
      </c>
      <c r="K46" s="51">
        <f t="shared" ref="K46" si="10">J46-H46</f>
        <v>-107.81257142857146</v>
      </c>
      <c r="L46" s="62"/>
      <c r="M46" s="66"/>
      <c r="IV46" s="1"/>
    </row>
    <row r="47" spans="2:256" ht="15" customHeight="1" x14ac:dyDescent="0.45">
      <c r="B47" s="60"/>
      <c r="C47" s="49"/>
      <c r="E47" s="50"/>
      <c r="F47" s="51"/>
      <c r="G47" s="74"/>
      <c r="H47" s="51"/>
      <c r="I47" s="74"/>
      <c r="J47" s="51"/>
      <c r="K47" s="51"/>
      <c r="L47" s="62"/>
      <c r="M47" s="66"/>
      <c r="IV47" s="1"/>
    </row>
    <row r="48" spans="2:256" ht="15" customHeight="1" x14ac:dyDescent="0.45">
      <c r="B48" s="60"/>
      <c r="C48" s="49" t="s">
        <v>228</v>
      </c>
      <c r="E48" s="50"/>
      <c r="F48" s="51"/>
      <c r="G48" s="74"/>
      <c r="H48" s="51"/>
      <c r="I48" s="74"/>
      <c r="J48" s="51"/>
      <c r="K48" s="51"/>
      <c r="L48" s="62"/>
      <c r="M48" s="66"/>
      <c r="IV48" s="1"/>
    </row>
    <row r="49" spans="2:257" ht="15" customHeight="1" x14ac:dyDescent="0.45">
      <c r="B49" s="60"/>
      <c r="C49" s="49"/>
      <c r="D49" s="22" t="s">
        <v>73</v>
      </c>
      <c r="E49" s="50" t="s">
        <v>6</v>
      </c>
      <c r="F49" s="51">
        <f>384579.61+70250</f>
        <v>454829.61</v>
      </c>
      <c r="G49" s="74" t="s">
        <v>120</v>
      </c>
      <c r="H49" s="51">
        <f>1867.35*12</f>
        <v>22408.199999999997</v>
      </c>
      <c r="I49" s="74">
        <v>12.5</v>
      </c>
      <c r="J49" s="51">
        <f>F49/I49</f>
        <v>36386.368799999997</v>
      </c>
      <c r="K49" s="51">
        <f t="shared" ref="K49" si="11">J49-H49</f>
        <v>13978.168799999999</v>
      </c>
      <c r="L49" s="62"/>
      <c r="M49" s="66"/>
      <c r="IV49" s="1"/>
    </row>
    <row r="50" spans="2:257" ht="15" customHeight="1" x14ac:dyDescent="0.45">
      <c r="B50" s="60"/>
      <c r="C50" s="49"/>
      <c r="E50" s="50"/>
      <c r="F50" s="51"/>
      <c r="G50" s="74"/>
      <c r="H50" s="51"/>
      <c r="I50" s="74"/>
      <c r="J50" s="51"/>
      <c r="K50" s="51"/>
      <c r="L50" s="62"/>
      <c r="M50" s="66"/>
      <c r="IV50" s="1"/>
    </row>
    <row r="51" spans="2:257" ht="15" customHeight="1" x14ac:dyDescent="0.45">
      <c r="B51" s="60"/>
      <c r="C51" s="49" t="s">
        <v>229</v>
      </c>
      <c r="E51" s="50"/>
      <c r="F51" s="51"/>
      <c r="G51" s="74"/>
      <c r="H51" s="51"/>
      <c r="I51" s="74"/>
      <c r="J51" s="51"/>
      <c r="K51" s="51"/>
      <c r="L51" s="62"/>
      <c r="M51" s="66"/>
      <c r="IV51" s="1"/>
    </row>
    <row r="52" spans="2:257" ht="15" customHeight="1" x14ac:dyDescent="0.45">
      <c r="B52" s="60"/>
      <c r="C52" s="49"/>
      <c r="D52" s="22" t="s">
        <v>230</v>
      </c>
      <c r="E52" s="52" t="s">
        <v>231</v>
      </c>
      <c r="F52" s="51">
        <f>12289.7+520</f>
        <v>12809.7</v>
      </c>
      <c r="G52" s="74">
        <v>12</v>
      </c>
      <c r="H52" s="51">
        <f>53.38*12</f>
        <v>640.56000000000006</v>
      </c>
      <c r="I52" s="74">
        <v>10</v>
      </c>
      <c r="J52" s="51">
        <f>F52/I52</f>
        <v>1280.97</v>
      </c>
      <c r="K52" s="51">
        <f t="shared" ref="K52" si="12">J52-H52</f>
        <v>640.41</v>
      </c>
      <c r="L52" s="62"/>
      <c r="M52" s="66"/>
      <c r="IV52" s="1"/>
    </row>
    <row r="53" spans="2:257" ht="15" customHeight="1" x14ac:dyDescent="0.45">
      <c r="B53" s="60"/>
      <c r="F53" s="50"/>
      <c r="G53" s="51"/>
      <c r="H53" s="1"/>
      <c r="I53" s="51"/>
      <c r="J53" s="74"/>
      <c r="K53" s="51"/>
      <c r="L53" s="62"/>
      <c r="N53" s="66"/>
    </row>
    <row r="54" spans="2:257" ht="15" customHeight="1" x14ac:dyDescent="0.45">
      <c r="B54" s="60"/>
      <c r="F54" s="50"/>
      <c r="G54" s="51"/>
      <c r="H54" s="177"/>
      <c r="I54" s="51"/>
      <c r="J54" s="74"/>
      <c r="K54" s="51"/>
      <c r="L54" s="62"/>
      <c r="N54" s="66"/>
    </row>
    <row r="55" spans="2:257" ht="15" customHeight="1" x14ac:dyDescent="0.45">
      <c r="B55" s="60"/>
      <c r="D55" s="53" t="s">
        <v>3</v>
      </c>
      <c r="E55" s="1"/>
      <c r="G55" s="54"/>
      <c r="H55" s="55">
        <f>SUM(H10:H52)</f>
        <v>855249.99999999988</v>
      </c>
      <c r="I55" s="55"/>
      <c r="J55" s="55">
        <f>SUM(J10:J52)</f>
        <v>804573.04750061291</v>
      </c>
      <c r="K55" s="55">
        <f>SUM(K10:K52)</f>
        <v>-50676.952499387153</v>
      </c>
      <c r="L55" s="62"/>
    </row>
    <row r="56" spans="2:257" ht="15" customHeight="1" x14ac:dyDescent="0.45">
      <c r="B56" s="67"/>
      <c r="C56" s="45"/>
      <c r="D56" s="45"/>
      <c r="E56" s="45"/>
      <c r="F56" s="45"/>
      <c r="G56" s="45"/>
      <c r="H56" s="79"/>
      <c r="I56" s="45"/>
      <c r="J56" s="79"/>
      <c r="K56" s="45"/>
      <c r="L56" s="68"/>
      <c r="M56" s="69"/>
    </row>
    <row r="57" spans="2:257" ht="15" customHeight="1" x14ac:dyDescent="0.45">
      <c r="G57" s="22"/>
      <c r="H57" s="70"/>
      <c r="I57" s="22"/>
      <c r="J57" s="70"/>
      <c r="IW57" s="22"/>
    </row>
    <row r="58" spans="2:257" ht="15" customHeight="1" x14ac:dyDescent="0.45">
      <c r="F58" s="56"/>
      <c r="G58" s="22"/>
      <c r="H58" s="72"/>
      <c r="I58" s="22"/>
      <c r="J58" s="72"/>
      <c r="IW58" s="22"/>
    </row>
    <row r="59" spans="2:257" ht="15" customHeight="1" x14ac:dyDescent="0.45">
      <c r="G59" s="22"/>
      <c r="H59" s="245"/>
      <c r="I59" s="22"/>
      <c r="J59" s="72"/>
      <c r="IW59" s="22"/>
    </row>
    <row r="60" spans="2:257" ht="15" customHeight="1" x14ac:dyDescent="0.45">
      <c r="G60" s="22"/>
      <c r="H60" s="72"/>
      <c r="I60" s="22"/>
      <c r="J60" s="72"/>
      <c r="IW60" s="22"/>
    </row>
    <row r="61" spans="2:257" ht="15" customHeight="1" x14ac:dyDescent="0.45">
      <c r="G61" s="22"/>
      <c r="H61" s="72"/>
      <c r="I61" s="22"/>
      <c r="J61" s="72"/>
      <c r="IW61" s="22"/>
    </row>
    <row r="62" spans="2:257" ht="15" customHeight="1" x14ac:dyDescent="0.45">
      <c r="G62" s="22"/>
      <c r="H62" s="72"/>
      <c r="I62" s="22"/>
      <c r="J62" s="72"/>
      <c r="IW62" s="22"/>
    </row>
    <row r="63" spans="2:257" ht="15" customHeight="1" x14ac:dyDescent="0.45">
      <c r="G63" s="22"/>
      <c r="H63" s="72"/>
      <c r="I63" s="22"/>
      <c r="J63" s="72"/>
      <c r="IW63" s="22"/>
    </row>
    <row r="64" spans="2:257" x14ac:dyDescent="0.45">
      <c r="G64" s="22"/>
      <c r="H64" s="72"/>
      <c r="I64" s="22"/>
      <c r="J64" s="72"/>
      <c r="IW64" s="22"/>
    </row>
    <row r="65" spans="7:257" x14ac:dyDescent="0.45">
      <c r="G65" s="22"/>
      <c r="H65" s="72"/>
      <c r="I65" s="22"/>
      <c r="J65" s="72"/>
      <c r="IW65" s="22"/>
    </row>
  </sheetData>
  <mergeCells count="3">
    <mergeCell ref="C5:K5"/>
    <mergeCell ref="C4:K4"/>
    <mergeCell ref="C3:K3"/>
  </mergeCells>
  <printOptions horizontalCentered="1"/>
  <pageMargins left="0.65" right="0.55000000000000004" top="1" bottom="0.25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workbookViewId="0"/>
  </sheetViews>
  <sheetFormatPr defaultColWidth="8.88671875" defaultRowHeight="14.25" x14ac:dyDescent="0.45"/>
  <cols>
    <col min="1" max="1" width="1.6640625" style="1" customWidth="1"/>
    <col min="2" max="2" width="12.6640625" style="1" customWidth="1"/>
    <col min="3" max="12" width="7.77734375" style="1" customWidth="1"/>
    <col min="13" max="13" width="10" style="1" customWidth="1"/>
    <col min="14" max="14" width="0.77734375" style="1" customWidth="1"/>
    <col min="15" max="15" width="2.21875" style="1" customWidth="1"/>
    <col min="16" max="16" width="9" style="1" bestFit="1" customWidth="1"/>
    <col min="17" max="20" width="8.88671875" style="1"/>
    <col min="21" max="21" width="22.109375" style="1" customWidth="1"/>
    <col min="22" max="23" width="10.77734375" style="1" customWidth="1"/>
    <col min="24" max="16384" width="8.88671875" style="1"/>
  </cols>
  <sheetData>
    <row r="1" spans="1:16" ht="15.4" x14ac:dyDescent="0.45">
      <c r="A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15.4" x14ac:dyDescent="0.45">
      <c r="A2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5"/>
    </row>
    <row r="3" spans="1:16" ht="18" x14ac:dyDescent="0.55000000000000004">
      <c r="A3"/>
      <c r="B3" s="197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123"/>
      <c r="O3" s="15"/>
    </row>
    <row r="4" spans="1:16" ht="18" x14ac:dyDescent="0.55000000000000004">
      <c r="A4"/>
      <c r="B4" s="198" t="s">
        <v>49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23"/>
      <c r="O4" s="15"/>
    </row>
    <row r="5" spans="1:16" ht="15.75" x14ac:dyDescent="0.45">
      <c r="A5"/>
      <c r="B5" s="270" t="s">
        <v>189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71"/>
      <c r="O5" s="15"/>
    </row>
    <row r="6" spans="1:16" ht="15.75" x14ac:dyDescent="0.5">
      <c r="A6"/>
      <c r="B6" s="199" t="s">
        <v>248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123"/>
      <c r="O6" s="15"/>
    </row>
    <row r="7" spans="1:16" ht="15.4" x14ac:dyDescent="0.45">
      <c r="A7"/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5"/>
      <c r="N7" s="123"/>
      <c r="O7" s="15"/>
    </row>
    <row r="8" spans="1:16" ht="15.75" customHeight="1" x14ac:dyDescent="0.45">
      <c r="A8"/>
      <c r="B8" s="201"/>
      <c r="C8" s="202"/>
      <c r="D8" s="203"/>
      <c r="E8" s="202"/>
      <c r="F8" s="204"/>
      <c r="G8" s="202"/>
      <c r="H8" s="204"/>
      <c r="I8" s="203"/>
      <c r="J8" s="203"/>
      <c r="K8" s="202"/>
      <c r="L8" s="203"/>
      <c r="M8" s="200"/>
      <c r="N8" s="83"/>
    </row>
    <row r="9" spans="1:16" ht="15.4" x14ac:dyDescent="0.45">
      <c r="A9"/>
      <c r="B9" s="205"/>
      <c r="C9" s="274" t="s">
        <v>242</v>
      </c>
      <c r="D9" s="275"/>
      <c r="E9" s="272" t="s">
        <v>241</v>
      </c>
      <c r="F9" s="273"/>
      <c r="G9" s="276" t="s">
        <v>243</v>
      </c>
      <c r="H9" s="277"/>
      <c r="I9" s="276" t="s">
        <v>244</v>
      </c>
      <c r="J9" s="278"/>
      <c r="K9" s="276" t="s">
        <v>245</v>
      </c>
      <c r="L9" s="278"/>
      <c r="M9" s="206"/>
      <c r="N9" s="84"/>
    </row>
    <row r="10" spans="1:16" ht="20.100000000000001" customHeight="1" x14ac:dyDescent="0.45">
      <c r="A10"/>
      <c r="B10" s="205"/>
      <c r="C10" s="207" t="s">
        <v>50</v>
      </c>
      <c r="D10" s="230" t="s">
        <v>51</v>
      </c>
      <c r="E10" s="207" t="s">
        <v>50</v>
      </c>
      <c r="F10" s="208" t="s">
        <v>51</v>
      </c>
      <c r="G10" s="207" t="s">
        <v>50</v>
      </c>
      <c r="H10" s="208" t="s">
        <v>51</v>
      </c>
      <c r="I10" s="207" t="s">
        <v>50</v>
      </c>
      <c r="J10" s="208" t="s">
        <v>51</v>
      </c>
      <c r="K10" s="207" t="s">
        <v>50</v>
      </c>
      <c r="L10" s="230" t="s">
        <v>51</v>
      </c>
      <c r="M10" s="207" t="s">
        <v>3</v>
      </c>
      <c r="N10" s="84"/>
    </row>
    <row r="11" spans="1:16" ht="20.100000000000001" customHeight="1" x14ac:dyDescent="0.45">
      <c r="A11"/>
      <c r="B11" s="209" t="s">
        <v>232</v>
      </c>
      <c r="C11" s="210">
        <v>7100</v>
      </c>
      <c r="D11" s="231">
        <v>10060</v>
      </c>
      <c r="E11" s="210">
        <f>2916.67*7+3333.33*5</f>
        <v>37083.340000000004</v>
      </c>
      <c r="F11" s="211">
        <f>7*825+5*737.5</f>
        <v>9462.5</v>
      </c>
      <c r="G11" s="210">
        <v>17500</v>
      </c>
      <c r="H11" s="211">
        <v>37070</v>
      </c>
      <c r="I11" s="231">
        <v>38500</v>
      </c>
      <c r="J11" s="231">
        <v>38430</v>
      </c>
      <c r="K11" s="210">
        <v>42306.87</v>
      </c>
      <c r="L11" s="231">
        <f>32231.25+6837.5</f>
        <v>39068.75</v>
      </c>
      <c r="M11" s="210">
        <f>SUM(C11:L11)</f>
        <v>276581.45999999996</v>
      </c>
      <c r="N11" s="84"/>
    </row>
    <row r="12" spans="1:16" ht="15.4" x14ac:dyDescent="0.45">
      <c r="A12"/>
      <c r="B12" s="209" t="s">
        <v>233</v>
      </c>
      <c r="C12" s="212">
        <v>7400</v>
      </c>
      <c r="D12" s="142">
        <v>9740</v>
      </c>
      <c r="E12" s="212">
        <f>12*3333.33</f>
        <v>39999.96</v>
      </c>
      <c r="F12" s="143">
        <f>7*737.5+5*637.5</f>
        <v>8350</v>
      </c>
      <c r="G12" s="212">
        <v>18000</v>
      </c>
      <c r="H12" s="143">
        <v>36420</v>
      </c>
      <c r="I12" s="142">
        <v>39500</v>
      </c>
      <c r="J12" s="142">
        <v>37570</v>
      </c>
      <c r="K12" s="212">
        <f>42412.64+42518.67</f>
        <v>84931.31</v>
      </c>
      <c r="L12" s="142">
        <f>6731.73+6625.7</f>
        <v>13357.43</v>
      </c>
      <c r="M12" s="209">
        <f>SUM(C12:L12)</f>
        <v>295268.7</v>
      </c>
      <c r="N12" s="84"/>
      <c r="P12" s="51"/>
    </row>
    <row r="13" spans="1:16" ht="15.4" x14ac:dyDescent="0.45">
      <c r="A13"/>
      <c r="B13" s="209" t="s">
        <v>234</v>
      </c>
      <c r="C13" s="212">
        <v>7800</v>
      </c>
      <c r="D13" s="142">
        <v>9410</v>
      </c>
      <c r="E13" s="212">
        <v>40000</v>
      </c>
      <c r="F13" s="143">
        <f>7*637.5+5*537.5</f>
        <v>7150</v>
      </c>
      <c r="G13" s="212">
        <v>18500</v>
      </c>
      <c r="H13" s="143">
        <v>35740</v>
      </c>
      <c r="I13" s="142">
        <v>40500</v>
      </c>
      <c r="J13" s="142">
        <v>36680</v>
      </c>
      <c r="K13" s="212">
        <f>42624.96+42731.53</f>
        <v>85356.489999999991</v>
      </c>
      <c r="L13" s="142">
        <f>6519.4+6412.84</f>
        <v>12932.24</v>
      </c>
      <c r="M13" s="209">
        <f>SUM(C13:L13)</f>
        <v>294068.73</v>
      </c>
      <c r="N13" s="84"/>
      <c r="P13" s="51"/>
    </row>
    <row r="14" spans="1:16" ht="15.4" x14ac:dyDescent="0.45">
      <c r="A14"/>
      <c r="B14" s="233" t="s">
        <v>246</v>
      </c>
      <c r="C14" s="212">
        <v>8100</v>
      </c>
      <c r="D14" s="142">
        <v>9060</v>
      </c>
      <c r="E14" s="212">
        <v>40000</v>
      </c>
      <c r="F14" s="143">
        <f>7*537.5+5*437.5</f>
        <v>5950</v>
      </c>
      <c r="G14" s="212">
        <v>19500</v>
      </c>
      <c r="H14" s="143">
        <v>35050</v>
      </c>
      <c r="I14" s="142">
        <v>41500</v>
      </c>
      <c r="J14" s="142">
        <v>35770</v>
      </c>
      <c r="K14" s="212">
        <f>42838.36+42945.45</f>
        <v>85783.81</v>
      </c>
      <c r="L14" s="142">
        <f>6306.01+6198.92</f>
        <v>12504.93</v>
      </c>
      <c r="M14" s="209">
        <f>SUM(C14:L14)</f>
        <v>293218.74</v>
      </c>
      <c r="N14" s="84"/>
      <c r="P14" s="51"/>
    </row>
    <row r="15" spans="1:16" ht="15.4" x14ac:dyDescent="0.45">
      <c r="A15"/>
      <c r="B15" s="233" t="s">
        <v>247</v>
      </c>
      <c r="C15" s="212">
        <v>8500</v>
      </c>
      <c r="D15" s="142">
        <v>8690</v>
      </c>
      <c r="E15" s="212">
        <f>7*3333.33+5*3750</f>
        <v>42083.31</v>
      </c>
      <c r="F15" s="143">
        <f>7*437.5+5*337.5</f>
        <v>4750</v>
      </c>
      <c r="G15" s="212">
        <v>20000</v>
      </c>
      <c r="H15" s="143">
        <v>34320</v>
      </c>
      <c r="I15" s="142">
        <v>42500</v>
      </c>
      <c r="J15" s="142">
        <v>34830</v>
      </c>
      <c r="K15" s="212">
        <f>43160.45+43052.82</f>
        <v>86213.26999999999</v>
      </c>
      <c r="L15" s="142">
        <f>6091.55+5983.92</f>
        <v>12075.470000000001</v>
      </c>
      <c r="M15" s="209">
        <f>SUM(C15:L15)</f>
        <v>293962.04999999993</v>
      </c>
      <c r="N15" s="84"/>
      <c r="P15" s="51"/>
    </row>
    <row r="16" spans="1:16" ht="15.4" x14ac:dyDescent="0.45">
      <c r="A16"/>
      <c r="B16" s="209"/>
      <c r="C16" s="214"/>
      <c r="D16" s="232"/>
      <c r="E16" s="214"/>
      <c r="F16" s="215"/>
      <c r="G16" s="214"/>
      <c r="H16" s="215"/>
      <c r="I16" s="232"/>
      <c r="J16" s="232"/>
      <c r="K16" s="214"/>
      <c r="L16" s="232"/>
      <c r="M16" s="209"/>
      <c r="N16" s="84"/>
    </row>
    <row r="17" spans="1:16" ht="15.4" x14ac:dyDescent="0.45">
      <c r="A17"/>
      <c r="B17" s="216" t="s">
        <v>3</v>
      </c>
      <c r="C17" s="238">
        <f t="shared" ref="C17:M17" si="0">SUM(C11:C16)</f>
        <v>38900</v>
      </c>
      <c r="D17" s="239">
        <f t="shared" si="0"/>
        <v>46960</v>
      </c>
      <c r="E17" s="238">
        <f t="shared" si="0"/>
        <v>199166.61</v>
      </c>
      <c r="F17" s="240">
        <f t="shared" si="0"/>
        <v>35662.5</v>
      </c>
      <c r="G17" s="238">
        <f t="shared" si="0"/>
        <v>93500</v>
      </c>
      <c r="H17" s="240">
        <f t="shared" si="0"/>
        <v>178600</v>
      </c>
      <c r="I17" s="238">
        <f t="shared" si="0"/>
        <v>202500</v>
      </c>
      <c r="J17" s="240">
        <f t="shared" si="0"/>
        <v>183280</v>
      </c>
      <c r="K17" s="238">
        <f t="shared" si="0"/>
        <v>384591.75</v>
      </c>
      <c r="L17" s="240">
        <f t="shared" si="0"/>
        <v>89938.82</v>
      </c>
      <c r="M17" s="217">
        <f t="shared" si="0"/>
        <v>1453099.6799999997</v>
      </c>
      <c r="N17" s="84"/>
      <c r="P17" s="99">
        <f>SUM(C17:L17)</f>
        <v>1453099.68</v>
      </c>
    </row>
    <row r="18" spans="1:16" ht="15.4" x14ac:dyDescent="0.45">
      <c r="A18"/>
      <c r="B18" s="218"/>
      <c r="C18" s="219"/>
      <c r="D18" s="220"/>
      <c r="E18" s="219"/>
      <c r="F18" s="221"/>
      <c r="G18" s="219"/>
      <c r="H18" s="221"/>
      <c r="I18" s="220"/>
      <c r="J18" s="220"/>
      <c r="K18" s="219"/>
      <c r="L18" s="220"/>
      <c r="M18" s="219"/>
      <c r="N18" s="85"/>
    </row>
    <row r="19" spans="1:16" ht="15.4" x14ac:dyDescent="0.45">
      <c r="A19"/>
      <c r="B19" s="222"/>
      <c r="C19" s="223"/>
      <c r="D19" s="168"/>
      <c r="E19" s="168"/>
      <c r="F19" s="168"/>
      <c r="G19" s="168"/>
      <c r="H19" s="168"/>
      <c r="I19" s="168"/>
      <c r="J19" s="168"/>
      <c r="K19" s="223"/>
      <c r="L19" s="224"/>
      <c r="M19" s="168"/>
      <c r="N19" s="84"/>
    </row>
    <row r="20" spans="1:16" ht="15.4" x14ac:dyDescent="0.45">
      <c r="A20"/>
      <c r="B20" s="124" t="s">
        <v>235</v>
      </c>
      <c r="C20" s="119"/>
      <c r="D20" s="125"/>
      <c r="E20" s="226"/>
      <c r="F20" s="226"/>
      <c r="G20" s="226"/>
      <c r="H20" s="226"/>
      <c r="I20" s="226"/>
      <c r="J20" s="226"/>
      <c r="K20" s="225"/>
      <c r="L20" s="226"/>
      <c r="M20" s="226">
        <f>M17/5</f>
        <v>290619.93599999993</v>
      </c>
      <c r="N20" s="84"/>
    </row>
    <row r="21" spans="1:16" ht="15.4" x14ac:dyDescent="0.45">
      <c r="A21"/>
      <c r="B21" s="119"/>
      <c r="C21" s="119"/>
      <c r="D21" s="102"/>
      <c r="E21" s="125"/>
      <c r="F21" s="125"/>
      <c r="G21" s="125"/>
      <c r="H21" s="125"/>
      <c r="I21" s="125"/>
      <c r="J21" s="125"/>
      <c r="K21" s="124"/>
      <c r="L21" s="125"/>
      <c r="M21" s="140"/>
      <c r="N21" s="84"/>
    </row>
    <row r="22" spans="1:16" ht="15.4" x14ac:dyDescent="0.45">
      <c r="A22"/>
      <c r="B22" s="124" t="s">
        <v>236</v>
      </c>
      <c r="C22" s="119"/>
      <c r="D22" s="125"/>
      <c r="E22" s="125"/>
      <c r="F22" s="125"/>
      <c r="G22" s="125"/>
      <c r="H22" s="125"/>
      <c r="I22" s="125"/>
      <c r="J22" s="125"/>
      <c r="K22" s="124"/>
      <c r="L22" s="125"/>
      <c r="M22" s="226">
        <f>M20*0.2</f>
        <v>58123.987199999989</v>
      </c>
      <c r="N22" s="84"/>
    </row>
    <row r="23" spans="1:16" ht="15.4" x14ac:dyDescent="0.45">
      <c r="A23"/>
      <c r="B23" s="227"/>
      <c r="C23" s="227"/>
      <c r="D23" s="228"/>
      <c r="E23" s="228"/>
      <c r="F23" s="228"/>
      <c r="G23" s="228"/>
      <c r="H23" s="228"/>
      <c r="I23" s="228"/>
      <c r="J23" s="228"/>
      <c r="K23" s="227"/>
      <c r="L23" s="228"/>
      <c r="M23" s="228"/>
      <c r="N23" s="85"/>
    </row>
    <row r="24" spans="1:16" ht="15.4" x14ac:dyDescent="0.45">
      <c r="A24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15"/>
      <c r="O24" s="15"/>
    </row>
    <row r="25" spans="1:16" x14ac:dyDescent="0.4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6" x14ac:dyDescent="0.45">
      <c r="A26" s="15"/>
      <c r="B26" s="15" t="s">
        <v>237</v>
      </c>
      <c r="C26" s="15">
        <f>SUM(C17:F17)</f>
        <v>320689.11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6" x14ac:dyDescent="0.45">
      <c r="A27" s="15"/>
      <c r="B27" s="15" t="s">
        <v>238</v>
      </c>
      <c r="C27" s="15">
        <f>C26/5</f>
        <v>64137.822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6" x14ac:dyDescent="0.45">
      <c r="A28" s="15"/>
      <c r="B28" s="15" t="s">
        <v>239</v>
      </c>
      <c r="C28" s="15">
        <f>C27*0.2</f>
        <v>12827.564400000001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6" x14ac:dyDescent="0.45">
      <c r="A29" s="15"/>
      <c r="B29" s="15" t="s">
        <v>240</v>
      </c>
      <c r="C29" s="15">
        <f>C28+C27</f>
        <v>76965.386400000003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mergeCells count="6">
    <mergeCell ref="B5:N5"/>
    <mergeCell ref="E9:F9"/>
    <mergeCell ref="C9:D9"/>
    <mergeCell ref="G9:H9"/>
    <mergeCell ref="I9:J9"/>
    <mergeCell ref="K9:L9"/>
  </mergeCells>
  <printOptions horizontalCentered="1"/>
  <pageMargins left="0.45" right="0.35" top="1.2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5"/>
  <sheetViews>
    <sheetView workbookViewId="0"/>
  </sheetViews>
  <sheetFormatPr defaultRowHeight="15" x14ac:dyDescent="0.4"/>
  <cols>
    <col min="1" max="1" width="4.5546875" customWidth="1"/>
    <col min="2" max="2" width="1.5546875" customWidth="1"/>
    <col min="3" max="3" width="30.21875" customWidth="1"/>
    <col min="4" max="8" width="9.5546875" customWidth="1"/>
  </cols>
  <sheetData>
    <row r="1" spans="1:17" ht="15.4" x14ac:dyDescent="0.45">
      <c r="A1" s="15"/>
      <c r="B1" s="115"/>
      <c r="C1" s="116"/>
      <c r="D1" s="116"/>
      <c r="E1" s="116"/>
      <c r="F1" s="116"/>
      <c r="G1" s="116"/>
      <c r="H1" s="117"/>
      <c r="I1" s="15"/>
      <c r="J1" s="15"/>
    </row>
    <row r="2" spans="1:17" ht="18" x14ac:dyDescent="0.55000000000000004">
      <c r="A2" s="15"/>
      <c r="B2" s="119"/>
      <c r="C2" s="269" t="s">
        <v>180</v>
      </c>
      <c r="D2" s="269"/>
      <c r="E2" s="269"/>
      <c r="F2" s="269"/>
      <c r="G2" s="269"/>
      <c r="H2" s="279"/>
      <c r="I2" s="15"/>
      <c r="J2" s="15"/>
    </row>
    <row r="3" spans="1:17" ht="18" x14ac:dyDescent="0.55000000000000004">
      <c r="A3" s="15"/>
      <c r="B3" s="119"/>
      <c r="C3" s="241" t="s">
        <v>124</v>
      </c>
      <c r="D3" s="7"/>
      <c r="E3" s="7"/>
      <c r="F3" s="7"/>
      <c r="G3" s="7"/>
      <c r="H3" s="118"/>
      <c r="I3" s="15"/>
      <c r="J3" s="15"/>
    </row>
    <row r="4" spans="1:17" ht="15.75" x14ac:dyDescent="0.45">
      <c r="A4" s="15"/>
      <c r="B4" s="119"/>
      <c r="C4" s="266" t="s">
        <v>189</v>
      </c>
      <c r="D4" s="266"/>
      <c r="E4" s="266"/>
      <c r="F4" s="266"/>
      <c r="G4" s="266"/>
      <c r="H4" s="271"/>
      <c r="I4" s="112"/>
      <c r="J4" s="112"/>
      <c r="K4" s="112"/>
      <c r="L4" s="112" t="s">
        <v>189</v>
      </c>
      <c r="M4" s="112"/>
      <c r="N4" s="112"/>
      <c r="O4" s="112"/>
      <c r="P4" s="112"/>
      <c r="Q4" s="112"/>
    </row>
    <row r="5" spans="1:17" ht="15.4" x14ac:dyDescent="0.45">
      <c r="A5" s="15"/>
      <c r="B5" s="119"/>
      <c r="C5" s="242"/>
      <c r="D5" s="7"/>
      <c r="E5" s="7"/>
      <c r="F5" s="7"/>
      <c r="G5" s="7"/>
      <c r="H5" s="118"/>
      <c r="I5" s="15"/>
      <c r="J5" s="15"/>
    </row>
    <row r="6" spans="1:17" ht="17.649999999999999" x14ac:dyDescent="0.75">
      <c r="A6" s="15"/>
      <c r="B6" s="119"/>
      <c r="C6" s="102"/>
      <c r="D6" s="120" t="s">
        <v>125</v>
      </c>
      <c r="E6" s="121"/>
      <c r="F6" s="121"/>
      <c r="G6" s="121"/>
      <c r="H6" s="122" t="s">
        <v>126</v>
      </c>
      <c r="I6" s="15"/>
      <c r="J6" s="15"/>
    </row>
    <row r="7" spans="1:17" ht="15.4" x14ac:dyDescent="0.45">
      <c r="A7" s="15"/>
      <c r="B7" s="119"/>
      <c r="C7" s="102"/>
      <c r="D7" s="121" t="s">
        <v>10</v>
      </c>
      <c r="E7" s="121" t="s">
        <v>127</v>
      </c>
      <c r="F7" s="121" t="s">
        <v>128</v>
      </c>
      <c r="G7" s="121" t="s">
        <v>129</v>
      </c>
      <c r="H7" s="122" t="s">
        <v>130</v>
      </c>
      <c r="I7" s="15"/>
      <c r="J7" s="15"/>
    </row>
    <row r="8" spans="1:17" ht="15.4" x14ac:dyDescent="0.45">
      <c r="A8" s="15"/>
      <c r="B8" s="119"/>
      <c r="C8" s="102"/>
      <c r="D8" s="102"/>
      <c r="E8" s="102"/>
      <c r="F8" s="102"/>
      <c r="G8" s="102"/>
      <c r="H8" s="123"/>
      <c r="I8" s="15"/>
      <c r="J8" s="15"/>
    </row>
    <row r="9" spans="1:17" ht="15.4" x14ac:dyDescent="0.45">
      <c r="A9" s="15"/>
      <c r="B9" s="119"/>
      <c r="C9" s="102" t="s">
        <v>212</v>
      </c>
      <c r="D9" s="102">
        <f>DeprAdj!J10</f>
        <v>150197.46666666667</v>
      </c>
      <c r="E9" s="102"/>
      <c r="F9" s="102">
        <f>D9</f>
        <v>150197.46666666667</v>
      </c>
      <c r="G9" s="102"/>
      <c r="H9" s="123"/>
      <c r="I9" s="15"/>
      <c r="J9" s="15"/>
    </row>
    <row r="10" spans="1:17" ht="15.4" x14ac:dyDescent="0.45">
      <c r="A10" s="15"/>
      <c r="B10" s="119"/>
      <c r="C10" s="102" t="s">
        <v>213</v>
      </c>
      <c r="D10" s="102">
        <f>SUM(DeprAdj!J13:J15)</f>
        <v>20946.36882</v>
      </c>
      <c r="E10" s="102">
        <f>D10</f>
        <v>20946.36882</v>
      </c>
      <c r="G10" s="102"/>
      <c r="H10" s="123"/>
      <c r="I10" s="15"/>
      <c r="J10" s="15"/>
    </row>
    <row r="11" spans="1:17" ht="15.4" x14ac:dyDescent="0.45">
      <c r="A11" s="15"/>
      <c r="B11" s="119"/>
      <c r="C11" s="102" t="s">
        <v>217</v>
      </c>
      <c r="D11" s="102">
        <f>SUM(DeprAdj!J18:J19)</f>
        <v>90903.555499999988</v>
      </c>
      <c r="E11" s="102"/>
      <c r="F11" s="102">
        <f>D11</f>
        <v>90903.555499999988</v>
      </c>
      <c r="H11" s="123"/>
      <c r="I11" s="15"/>
      <c r="J11" s="15"/>
    </row>
    <row r="12" spans="1:17" ht="15.4" x14ac:dyDescent="0.45">
      <c r="A12" s="15"/>
      <c r="B12" s="119"/>
      <c r="C12" s="102" t="s">
        <v>220</v>
      </c>
      <c r="D12" s="102">
        <f>SUM(DeprAdj!J22:J23)</f>
        <v>124371.46424242423</v>
      </c>
      <c r="E12" s="102"/>
      <c r="F12" s="102">
        <f>D12</f>
        <v>124371.46424242423</v>
      </c>
      <c r="G12" s="102"/>
      <c r="H12" s="123"/>
      <c r="I12" s="15"/>
      <c r="J12" s="15"/>
    </row>
    <row r="13" spans="1:17" ht="15.4" x14ac:dyDescent="0.45">
      <c r="A13" s="15"/>
      <c r="B13" s="119"/>
      <c r="C13" s="102" t="s">
        <v>221</v>
      </c>
      <c r="D13" s="102">
        <f>DeprAdj!J26</f>
        <v>58707</v>
      </c>
      <c r="E13" s="102">
        <f>D13</f>
        <v>58707</v>
      </c>
      <c r="F13" s="102"/>
      <c r="H13" s="123"/>
      <c r="I13" s="15"/>
      <c r="J13" s="15"/>
    </row>
    <row r="14" spans="1:17" ht="15.4" x14ac:dyDescent="0.45">
      <c r="A14" s="15"/>
      <c r="B14" s="119"/>
      <c r="C14" s="102" t="s">
        <v>222</v>
      </c>
      <c r="D14" s="102">
        <f>DeprAdj!J29</f>
        <v>259408</v>
      </c>
      <c r="F14" s="102">
        <f>D14</f>
        <v>259408</v>
      </c>
      <c r="G14" s="102"/>
      <c r="H14" s="123"/>
      <c r="I14" s="15"/>
      <c r="J14" s="15"/>
    </row>
    <row r="15" spans="1:17" ht="15.4" x14ac:dyDescent="0.45">
      <c r="A15" s="15"/>
      <c r="B15" s="119"/>
      <c r="C15" s="102" t="s">
        <v>223</v>
      </c>
      <c r="D15" s="102">
        <f>DeprAdj!J33</f>
        <v>37528.239058823528</v>
      </c>
      <c r="E15" s="102"/>
      <c r="F15" s="102"/>
      <c r="G15" s="102">
        <f>D15</f>
        <v>37528.239058823528</v>
      </c>
      <c r="H15" s="123"/>
      <c r="I15" s="15"/>
      <c r="J15" s="15"/>
    </row>
    <row r="16" spans="1:17" ht="15.4" x14ac:dyDescent="0.45">
      <c r="A16" s="15"/>
      <c r="B16" s="119"/>
      <c r="C16" s="102" t="s">
        <v>163</v>
      </c>
      <c r="D16" s="102">
        <f>DeprAdj!J36</f>
        <v>3475.64</v>
      </c>
      <c r="E16" s="102"/>
      <c r="F16" s="102"/>
      <c r="G16" s="102">
        <f>D16</f>
        <v>3475.64</v>
      </c>
      <c r="H16" s="123"/>
      <c r="I16" s="15"/>
      <c r="J16" s="15"/>
    </row>
    <row r="17" spans="1:34" ht="15.4" x14ac:dyDescent="0.45">
      <c r="A17" s="15"/>
      <c r="B17" s="119"/>
      <c r="C17" s="102" t="s">
        <v>224</v>
      </c>
      <c r="D17" s="102">
        <f>SUM(DeprAdj!J39:J40)</f>
        <v>8651.8555555555558</v>
      </c>
      <c r="E17" s="102"/>
      <c r="F17" s="102"/>
      <c r="G17" s="102">
        <f>0.6*D17</f>
        <v>5191.1133333333337</v>
      </c>
      <c r="H17" s="123">
        <f>D17-G17</f>
        <v>3460.7422222222222</v>
      </c>
      <c r="I17" s="15"/>
      <c r="J17" s="15"/>
    </row>
    <row r="18" spans="1:34" ht="15.4" x14ac:dyDescent="0.45">
      <c r="A18" s="15"/>
      <c r="B18" s="119"/>
      <c r="C18" s="102" t="s">
        <v>226</v>
      </c>
      <c r="D18" s="102">
        <f>DeprAdj!J43</f>
        <v>11818.571428571429</v>
      </c>
      <c r="E18" s="102">
        <f>$D18*E$28</f>
        <v>1248.2127061988447</v>
      </c>
      <c r="F18" s="102">
        <f t="shared" ref="F18:H21" si="0">$D18*F$28</f>
        <v>9792.2256716365919</v>
      </c>
      <c r="G18" s="102">
        <f t="shared" si="0"/>
        <v>723.90129031392735</v>
      </c>
      <c r="H18" s="123">
        <f t="shared" si="0"/>
        <v>54.23176042206476</v>
      </c>
      <c r="I18" s="15"/>
      <c r="J18" s="15"/>
    </row>
    <row r="19" spans="1:34" ht="15.4" x14ac:dyDescent="0.45">
      <c r="A19" s="15"/>
      <c r="B19" s="119"/>
      <c r="C19" s="102" t="s">
        <v>227</v>
      </c>
      <c r="D19" s="102">
        <f>DeprAdj!J46</f>
        <v>897.54742857142855</v>
      </c>
      <c r="E19" s="102">
        <f t="shared" ref="E19:E21" si="1">$D19*E$28</f>
        <v>94.79403763220958</v>
      </c>
      <c r="F19" s="102">
        <f t="shared" si="0"/>
        <v>743.65899674821549</v>
      </c>
      <c r="G19" s="102">
        <f t="shared" si="0"/>
        <v>54.975827289080534</v>
      </c>
      <c r="H19" s="123">
        <f t="shared" si="0"/>
        <v>4.1185669019229056</v>
      </c>
      <c r="I19" s="15"/>
      <c r="J19" s="15"/>
    </row>
    <row r="20" spans="1:34" ht="15.4" x14ac:dyDescent="0.45">
      <c r="A20" s="15"/>
      <c r="B20" s="119"/>
      <c r="C20" s="102" t="s">
        <v>228</v>
      </c>
      <c r="D20" s="102">
        <f>DeprAdj!J49</f>
        <v>36386.368799999997</v>
      </c>
      <c r="E20" s="102">
        <f t="shared" si="1"/>
        <v>3842.9287450765187</v>
      </c>
      <c r="F20" s="102">
        <f t="shared" si="0"/>
        <v>30147.766742741165</v>
      </c>
      <c r="G20" s="102">
        <f t="shared" si="0"/>
        <v>2228.707545861344</v>
      </c>
      <c r="H20" s="123">
        <f t="shared" si="0"/>
        <v>166.96576632096509</v>
      </c>
      <c r="I20" s="15"/>
      <c r="J20" s="15"/>
    </row>
    <row r="21" spans="1:34" ht="15.4" x14ac:dyDescent="0.45">
      <c r="A21" s="15"/>
      <c r="B21" s="119"/>
      <c r="C21" s="102" t="s">
        <v>229</v>
      </c>
      <c r="D21" s="102">
        <f>DeprAdj!J52</f>
        <v>1280.97</v>
      </c>
      <c r="E21" s="102">
        <f t="shared" si="1"/>
        <v>135.2890270979903</v>
      </c>
      <c r="F21" s="102">
        <f t="shared" si="0"/>
        <v>1061.3420915045845</v>
      </c>
      <c r="G21" s="102">
        <f t="shared" si="0"/>
        <v>78.46090717966905</v>
      </c>
      <c r="H21" s="123">
        <f t="shared" si="0"/>
        <v>5.8779742177561474</v>
      </c>
      <c r="I21" s="15"/>
      <c r="J21" s="15"/>
    </row>
    <row r="22" spans="1:34" ht="15.4" x14ac:dyDescent="0.45">
      <c r="A22" s="15"/>
      <c r="B22" s="119"/>
      <c r="C22" s="102"/>
      <c r="D22" s="102"/>
      <c r="E22" s="102"/>
      <c r="F22" s="102"/>
      <c r="G22" s="102"/>
      <c r="H22" s="123"/>
      <c r="I22" s="15"/>
      <c r="J22" s="15"/>
    </row>
    <row r="23" spans="1:34" ht="15.4" x14ac:dyDescent="0.45">
      <c r="A23" s="15"/>
      <c r="B23" s="119"/>
      <c r="C23" s="125" t="s">
        <v>131</v>
      </c>
      <c r="D23" s="125">
        <f>SUM(D9:D22)</f>
        <v>804573.04750061291</v>
      </c>
      <c r="E23" s="125">
        <f t="shared" ref="E23:H23" si="2">SUM(E9:E22)</f>
        <v>84974.59333600555</v>
      </c>
      <c r="F23" s="125">
        <f>SUM(F9:F22)</f>
        <v>666625.47991172166</v>
      </c>
      <c r="G23" s="125">
        <f t="shared" si="2"/>
        <v>49281.037962800889</v>
      </c>
      <c r="H23" s="126">
        <f t="shared" si="2"/>
        <v>3691.936290084931</v>
      </c>
      <c r="I23" s="15"/>
      <c r="J23" s="15">
        <f>SUM(E23:H23)</f>
        <v>804573.04750061315</v>
      </c>
    </row>
    <row r="24" spans="1:34" ht="15.4" x14ac:dyDescent="0.45">
      <c r="A24" s="15"/>
      <c r="B24" s="127"/>
      <c r="C24" s="17"/>
      <c r="D24" s="17"/>
      <c r="E24" s="17"/>
      <c r="F24" s="17"/>
      <c r="G24" s="17"/>
      <c r="H24" s="128"/>
      <c r="I24" s="15"/>
      <c r="J24" s="15"/>
    </row>
    <row r="25" spans="1:34" ht="15.4" x14ac:dyDescent="0.4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34" ht="15.4" x14ac:dyDescent="0.4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4" x14ac:dyDescent="0.45">
      <c r="A27" s="1"/>
      <c r="B27" s="1"/>
      <c r="C27" s="40" t="s">
        <v>249</v>
      </c>
      <c r="D27" s="51">
        <f>SUM(D9:D17)</f>
        <v>754189.58984347002</v>
      </c>
      <c r="E27" s="51">
        <f t="shared" ref="E27:H27" si="3">SUM(E9:E17)</f>
        <v>79653.368820000003</v>
      </c>
      <c r="F27" s="51">
        <f t="shared" si="3"/>
        <v>624880.48640909093</v>
      </c>
      <c r="G27" s="51">
        <f t="shared" si="3"/>
        <v>46194.992392156862</v>
      </c>
      <c r="H27" s="51">
        <f t="shared" si="3"/>
        <v>3460.7422222222222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4" x14ac:dyDescent="0.45">
      <c r="A28" s="1"/>
      <c r="B28" s="1"/>
      <c r="C28" s="1"/>
      <c r="D28" s="1"/>
      <c r="E28" s="105">
        <f>E27/$D$27</f>
        <v>0.10561451641958071</v>
      </c>
      <c r="F28" s="105">
        <f t="shared" ref="F28:H28" si="4">F27/$D$27</f>
        <v>0.82854562675518117</v>
      </c>
      <c r="G28" s="105">
        <f t="shared" si="4"/>
        <v>6.1251166834249866E-2</v>
      </c>
      <c r="H28" s="105">
        <f t="shared" si="4"/>
        <v>4.5886899909881942E-3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4" x14ac:dyDescent="0.45">
      <c r="A29" s="1"/>
      <c r="B29" s="1"/>
      <c r="C29" s="1"/>
      <c r="D29" s="1"/>
      <c r="E29" s="19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4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4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4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4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4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4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4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4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4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4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4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4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4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4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4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4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4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4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4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4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4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4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4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4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</sheetData>
  <mergeCells count="2">
    <mergeCell ref="C2:H2"/>
    <mergeCell ref="C4:H4"/>
  </mergeCells>
  <pageMargins left="0.7" right="0.7" top="1.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W36"/>
  <sheetViews>
    <sheetView workbookViewId="0"/>
  </sheetViews>
  <sheetFormatPr defaultRowHeight="15.4" x14ac:dyDescent="0.45"/>
  <cols>
    <col min="2" max="2" width="1.77734375" customWidth="1"/>
    <col min="3" max="3" width="26.109375" customWidth="1"/>
    <col min="4" max="4" width="10.21875" bestFit="1" customWidth="1"/>
    <col min="6" max="8" width="9" bestFit="1" customWidth="1"/>
    <col min="9" max="9" width="1.77734375" customWidth="1"/>
    <col min="10" max="10" width="10.21875" style="3" bestFit="1" customWidth="1"/>
  </cols>
  <sheetData>
    <row r="2" spans="2:23" x14ac:dyDescent="0.45">
      <c r="B2" s="115"/>
      <c r="C2" s="116"/>
      <c r="D2" s="116"/>
      <c r="E2" s="116"/>
      <c r="F2" s="116"/>
      <c r="G2" s="116"/>
      <c r="H2" s="116"/>
      <c r="I2" s="117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8" x14ac:dyDescent="0.55000000000000004">
      <c r="B3" s="119"/>
      <c r="C3" s="269" t="s">
        <v>132</v>
      </c>
      <c r="D3" s="269"/>
      <c r="E3" s="269"/>
      <c r="F3" s="269"/>
      <c r="G3" s="269"/>
      <c r="H3" s="269"/>
      <c r="I3" s="123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8" x14ac:dyDescent="0.55000000000000004">
      <c r="B4" s="119"/>
      <c r="C4" s="280" t="s">
        <v>164</v>
      </c>
      <c r="D4" s="280"/>
      <c r="E4" s="280"/>
      <c r="F4" s="280"/>
      <c r="G4" s="280"/>
      <c r="H4" s="280"/>
      <c r="I4" s="123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.75" x14ac:dyDescent="0.45">
      <c r="B5" s="270" t="s">
        <v>189</v>
      </c>
      <c r="C5" s="266"/>
      <c r="D5" s="266"/>
      <c r="E5" s="266"/>
      <c r="F5" s="266"/>
      <c r="G5" s="266"/>
      <c r="H5" s="266"/>
      <c r="I5" s="271"/>
      <c r="L5" s="15"/>
      <c r="M5" s="15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x14ac:dyDescent="0.45">
      <c r="B6" s="119"/>
      <c r="C6" s="102"/>
      <c r="D6" s="102"/>
      <c r="E6" s="102"/>
      <c r="F6" s="102"/>
      <c r="G6" s="102"/>
      <c r="H6" s="102"/>
      <c r="I6" s="123"/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45">
      <c r="B7" s="119"/>
      <c r="C7" s="102"/>
      <c r="D7" s="129" t="s">
        <v>187</v>
      </c>
      <c r="E7" s="129"/>
      <c r="F7" s="129"/>
      <c r="G7" s="129"/>
      <c r="H7" s="129" t="s">
        <v>126</v>
      </c>
      <c r="I7" s="123"/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x14ac:dyDescent="0.45">
      <c r="B8" s="119"/>
      <c r="C8" s="102"/>
      <c r="D8" s="129" t="s">
        <v>52</v>
      </c>
      <c r="E8" s="129" t="s">
        <v>127</v>
      </c>
      <c r="F8" s="129" t="s">
        <v>128</v>
      </c>
      <c r="G8" s="129" t="s">
        <v>129</v>
      </c>
      <c r="H8" s="129" t="s">
        <v>130</v>
      </c>
      <c r="I8" s="123"/>
      <c r="K8" s="15"/>
      <c r="L8" s="15"/>
      <c r="M8" s="15"/>
      <c r="N8" s="1"/>
      <c r="O8" s="1"/>
      <c r="Q8" s="1"/>
      <c r="R8" s="1"/>
      <c r="S8" s="1"/>
      <c r="T8" s="1"/>
      <c r="U8" s="1"/>
      <c r="V8" s="1"/>
      <c r="W8" s="1"/>
    </row>
    <row r="9" spans="2:23" x14ac:dyDescent="0.45">
      <c r="B9" s="119"/>
      <c r="C9" s="130" t="s">
        <v>135</v>
      </c>
      <c r="D9" s="102">
        <f>SAO!G15</f>
        <v>562193.66799999995</v>
      </c>
      <c r="E9" s="102">
        <f>(27344*2)*$K9</f>
        <v>56219.263999999988</v>
      </c>
      <c r="F9" s="102">
        <f>(54688*2+191408+27344)*K9</f>
        <v>337315.58399999992</v>
      </c>
      <c r="G9" s="102">
        <f>82032*K9</f>
        <v>84328.895999999979</v>
      </c>
      <c r="H9" s="102">
        <f>82032*K9</f>
        <v>84328.895999999979</v>
      </c>
      <c r="I9" s="123"/>
      <c r="K9" s="96">
        <f>SAO!G15/SAO!D15</f>
        <v>1.0279999999999998</v>
      </c>
      <c r="L9" s="15">
        <f>SUM(E9:H9)</f>
        <v>562192.63999999978</v>
      </c>
      <c r="M9" s="15"/>
      <c r="N9" s="1"/>
      <c r="O9" s="1"/>
      <c r="P9" s="1"/>
      <c r="Q9" s="105"/>
      <c r="R9" s="1"/>
      <c r="S9" s="1"/>
      <c r="T9" s="1"/>
      <c r="U9" s="1"/>
      <c r="V9" s="1"/>
      <c r="W9" s="1"/>
    </row>
    <row r="10" spans="2:23" x14ac:dyDescent="0.45">
      <c r="B10" s="119"/>
      <c r="C10" s="130" t="s">
        <v>136</v>
      </c>
      <c r="D10" s="102">
        <f>SAO!G18+SAO!G30</f>
        <v>195353.61230199999</v>
      </c>
      <c r="E10" s="102">
        <f>((E$9/$D$9)*$D10)</f>
        <v>19535.325508788519</v>
      </c>
      <c r="F10" s="102">
        <f>((F9/$D$9)*$D10)</f>
        <v>117211.95305273111</v>
      </c>
      <c r="G10" s="102">
        <f>((G9/$D$9)*$D10)</f>
        <v>29302.988263182779</v>
      </c>
      <c r="H10" s="102">
        <f>((H9/$D$9)*$D10)</f>
        <v>29302.988263182779</v>
      </c>
      <c r="I10" s="123"/>
      <c r="K10" s="244"/>
      <c r="L10" s="15">
        <f t="shared" ref="L10:L22" si="0">SUM(E10:H10)</f>
        <v>195353.25508788519</v>
      </c>
      <c r="M10" s="15"/>
      <c r="N10" s="1"/>
      <c r="O10" s="1"/>
      <c r="P10" s="1"/>
      <c r="Q10" s="105"/>
      <c r="R10" s="1"/>
      <c r="S10" s="1"/>
      <c r="T10" s="1"/>
      <c r="U10" s="1"/>
      <c r="V10" s="1"/>
      <c r="W10" s="1"/>
    </row>
    <row r="11" spans="2:23" x14ac:dyDescent="0.45">
      <c r="B11" s="119"/>
      <c r="C11" s="102" t="s">
        <v>250</v>
      </c>
      <c r="D11" s="102">
        <f>SAO!G16</f>
        <v>27600</v>
      </c>
      <c r="E11" s="102"/>
      <c r="F11" s="102"/>
      <c r="G11" s="102"/>
      <c r="H11" s="102">
        <f>D11</f>
        <v>27600</v>
      </c>
      <c r="I11" s="123"/>
      <c r="K11" s="15"/>
      <c r="L11" s="15">
        <f t="shared" si="0"/>
        <v>27600</v>
      </c>
      <c r="M11" s="15"/>
      <c r="N11" s="1"/>
      <c r="O11" s="1"/>
      <c r="P11" s="1"/>
      <c r="Q11" s="105"/>
      <c r="R11" s="1"/>
      <c r="S11" s="1"/>
      <c r="T11" s="1"/>
      <c r="U11" s="1"/>
      <c r="V11" s="1"/>
      <c r="W11" s="1"/>
    </row>
    <row r="12" spans="2:23" x14ac:dyDescent="0.45">
      <c r="B12" s="119"/>
      <c r="C12" s="102" t="s">
        <v>30</v>
      </c>
      <c r="D12" s="102">
        <f>SAO!G19</f>
        <v>223114.77814023438</v>
      </c>
      <c r="E12" s="102">
        <f>D12</f>
        <v>223114.77814023438</v>
      </c>
      <c r="F12" s="102"/>
      <c r="G12" s="102"/>
      <c r="H12" s="102"/>
      <c r="I12" s="123"/>
      <c r="K12" s="15"/>
      <c r="L12" s="15">
        <f t="shared" si="0"/>
        <v>223114.77814023438</v>
      </c>
      <c r="M12" s="15"/>
      <c r="N12" s="1"/>
      <c r="O12" s="1"/>
      <c r="Q12" s="1"/>
      <c r="R12" s="1"/>
      <c r="S12" s="1"/>
      <c r="T12" s="1"/>
      <c r="U12" s="1"/>
      <c r="V12" s="1"/>
      <c r="W12" s="1"/>
    </row>
    <row r="13" spans="2:23" x14ac:dyDescent="0.45">
      <c r="B13" s="119"/>
      <c r="C13" s="102" t="s">
        <v>190</v>
      </c>
      <c r="D13" s="102">
        <f>SAO!G20</f>
        <v>79304.857805122592</v>
      </c>
      <c r="E13" s="102">
        <f>D13</f>
        <v>79304.857805122592</v>
      </c>
      <c r="F13" s="102"/>
      <c r="G13" s="102"/>
      <c r="H13" s="102"/>
      <c r="I13" s="123"/>
      <c r="K13" s="15"/>
      <c r="L13" s="15"/>
      <c r="M13" s="15"/>
      <c r="N13" s="1"/>
      <c r="O13" s="1"/>
      <c r="Q13" s="1"/>
      <c r="R13" s="1"/>
      <c r="S13" s="1"/>
      <c r="T13" s="1"/>
      <c r="U13" s="1"/>
      <c r="V13" s="1"/>
      <c r="W13" s="1"/>
    </row>
    <row r="14" spans="2:23" x14ac:dyDescent="0.45">
      <c r="B14" s="119"/>
      <c r="C14" s="102" t="s">
        <v>137</v>
      </c>
      <c r="D14" s="102">
        <f>SAO!G21</f>
        <v>130293</v>
      </c>
      <c r="E14" s="102"/>
      <c r="F14" s="102">
        <f>D14</f>
        <v>130293</v>
      </c>
      <c r="G14" s="102"/>
      <c r="H14" s="102"/>
      <c r="I14" s="123"/>
      <c r="K14" s="15"/>
      <c r="L14" s="15">
        <f t="shared" si="0"/>
        <v>130293</v>
      </c>
      <c r="M14" s="15"/>
      <c r="N14" s="1"/>
      <c r="O14" s="1"/>
      <c r="P14" s="1"/>
      <c r="Q14" s="105"/>
      <c r="R14" s="1"/>
      <c r="S14" s="1"/>
      <c r="T14" s="1"/>
      <c r="U14" s="1"/>
      <c r="V14" s="1"/>
      <c r="W14" s="1"/>
    </row>
    <row r="15" spans="2:23" x14ac:dyDescent="0.45">
      <c r="B15" s="119"/>
      <c r="C15" s="130" t="s">
        <v>138</v>
      </c>
      <c r="D15" s="102">
        <v>13350</v>
      </c>
      <c r="E15" s="102"/>
      <c r="F15" s="102"/>
      <c r="G15" s="102"/>
      <c r="H15" s="102">
        <f>D15</f>
        <v>13350</v>
      </c>
      <c r="I15" s="123"/>
      <c r="K15" s="15"/>
      <c r="L15" s="15">
        <f t="shared" si="0"/>
        <v>13350</v>
      </c>
      <c r="M15" s="15"/>
      <c r="N15" s="1"/>
      <c r="O15" s="1"/>
      <c r="P15" s="1"/>
      <c r="Q15" s="105"/>
      <c r="R15" s="1"/>
      <c r="S15" s="1"/>
      <c r="T15" s="1"/>
      <c r="U15" s="1"/>
      <c r="V15" s="1"/>
      <c r="W15" s="1"/>
    </row>
    <row r="16" spans="2:23" x14ac:dyDescent="0.45">
      <c r="B16" s="119"/>
      <c r="C16" s="130" t="s">
        <v>139</v>
      </c>
      <c r="D16" s="102">
        <v>9246.7099999999991</v>
      </c>
      <c r="E16" s="102">
        <f>D16</f>
        <v>9246.7099999999991</v>
      </c>
      <c r="F16" s="102"/>
      <c r="G16" s="102"/>
      <c r="H16" s="102"/>
      <c r="I16" s="123"/>
      <c r="K16" s="15"/>
      <c r="L16" s="15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x14ac:dyDescent="0.45">
      <c r="B17" s="119"/>
      <c r="C17" s="130" t="s">
        <v>251</v>
      </c>
      <c r="D17" s="102">
        <f>624.5+1717</f>
        <v>2341.5</v>
      </c>
      <c r="E17" s="102">
        <f>D17</f>
        <v>2341.5</v>
      </c>
      <c r="F17" s="102"/>
      <c r="G17" s="102"/>
      <c r="H17" s="102"/>
      <c r="I17" s="123"/>
      <c r="K17" s="15"/>
      <c r="L17" s="15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x14ac:dyDescent="0.45">
      <c r="B18" s="119"/>
      <c r="C18" s="102" t="s">
        <v>140</v>
      </c>
      <c r="D18" s="102">
        <f>SAO!G23</f>
        <v>44455</v>
      </c>
      <c r="E18" s="102">
        <f t="shared" ref="E18:H18" si="1">(E$9/$D$9)*$D18</f>
        <v>4445.4918711748987</v>
      </c>
      <c r="F18" s="102">
        <f t="shared" si="1"/>
        <v>26672.951227049391</v>
      </c>
      <c r="G18" s="102">
        <f t="shared" si="1"/>
        <v>6668.2378067623476</v>
      </c>
      <c r="H18" s="102">
        <f t="shared" si="1"/>
        <v>6668.2378067623476</v>
      </c>
      <c r="I18" s="123"/>
      <c r="K18" s="15"/>
      <c r="L18" s="15">
        <f t="shared" si="0"/>
        <v>44454.918711748986</v>
      </c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45">
      <c r="B19" s="119"/>
      <c r="C19" s="102" t="s">
        <v>207</v>
      </c>
      <c r="D19" s="102">
        <f>SAO!G24</f>
        <v>51209</v>
      </c>
      <c r="E19" s="102">
        <f>2560*2</f>
        <v>5120</v>
      </c>
      <c r="F19" s="102">
        <f>5121*2+17923+2560</f>
        <v>30725</v>
      </c>
      <c r="G19" s="102">
        <v>7681</v>
      </c>
      <c r="H19" s="102">
        <v>7683</v>
      </c>
      <c r="I19" s="123"/>
      <c r="K19" s="15"/>
      <c r="L19" s="15">
        <f t="shared" si="0"/>
        <v>51209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x14ac:dyDescent="0.45">
      <c r="B20" s="119"/>
      <c r="C20" s="102" t="s">
        <v>141</v>
      </c>
      <c r="D20" s="102">
        <f>SAO!G25</f>
        <v>18672</v>
      </c>
      <c r="E20" s="102"/>
      <c r="F20" s="102"/>
      <c r="G20" s="102">
        <f>D20</f>
        <v>18672</v>
      </c>
      <c r="H20" s="102"/>
      <c r="I20" s="123"/>
      <c r="K20" s="15"/>
      <c r="L20" s="15">
        <f t="shared" si="0"/>
        <v>18672</v>
      </c>
      <c r="M20" s="15"/>
      <c r="N20" s="1"/>
      <c r="O20" s="1"/>
      <c r="P20" s="105"/>
      <c r="Q20" s="1"/>
      <c r="R20" s="1"/>
      <c r="S20" s="1"/>
      <c r="T20" s="1"/>
      <c r="U20" s="1"/>
      <c r="V20" s="1"/>
      <c r="W20" s="1"/>
    </row>
    <row r="21" spans="2:23" x14ac:dyDescent="0.45">
      <c r="B21" s="119"/>
      <c r="C21" s="102" t="s">
        <v>142</v>
      </c>
      <c r="D21" s="102">
        <f>SAO!G26</f>
        <v>60417</v>
      </c>
      <c r="E21" s="102">
        <v>9353</v>
      </c>
      <c r="F21" s="102"/>
      <c r="G21" s="102"/>
      <c r="H21" s="102">
        <v>51064</v>
      </c>
      <c r="I21" s="123"/>
      <c r="K21" s="15"/>
      <c r="L21" s="15">
        <f t="shared" si="0"/>
        <v>60417</v>
      </c>
      <c r="M21" s="15"/>
      <c r="N21" s="1"/>
      <c r="O21" s="1"/>
      <c r="P21" s="167"/>
      <c r="Q21" s="1"/>
      <c r="R21" s="1"/>
      <c r="S21" s="1"/>
      <c r="T21" s="1"/>
      <c r="U21" s="1"/>
      <c r="V21" s="1"/>
      <c r="W21" s="1"/>
    </row>
    <row r="22" spans="2:23" x14ac:dyDescent="0.45">
      <c r="B22" s="119"/>
      <c r="C22" s="102" t="s">
        <v>46</v>
      </c>
      <c r="D22" s="102">
        <f>SUM(E22:H22)</f>
        <v>804573.04750061315</v>
      </c>
      <c r="E22" s="102">
        <f>Al_Dep!E23</f>
        <v>84974.59333600555</v>
      </c>
      <c r="F22" s="102">
        <f>Al_Dep!F23</f>
        <v>666625.47991172166</v>
      </c>
      <c r="G22" s="102">
        <f>Al_Dep!G23</f>
        <v>49281.037962800889</v>
      </c>
      <c r="H22" s="102">
        <f>Al_Dep!H23</f>
        <v>3691.936290084931</v>
      </c>
      <c r="I22" s="123"/>
      <c r="K22" s="15"/>
      <c r="L22" s="15">
        <f t="shared" si="0"/>
        <v>804573.04750061315</v>
      </c>
      <c r="M22" s="15"/>
      <c r="N22" s="1"/>
      <c r="O22" s="1"/>
      <c r="P22" s="105"/>
      <c r="Q22" s="1"/>
      <c r="R22" s="1"/>
      <c r="S22" s="1"/>
      <c r="T22" s="1"/>
      <c r="U22" s="1"/>
      <c r="V22" s="1"/>
      <c r="W22" s="1"/>
    </row>
    <row r="23" spans="2:23" ht="5.0999999999999996" customHeight="1" x14ac:dyDescent="0.45">
      <c r="B23" s="119"/>
      <c r="C23" s="102"/>
      <c r="D23" s="102"/>
      <c r="E23" s="102"/>
      <c r="F23" s="102"/>
      <c r="G23" s="102"/>
      <c r="H23" s="102"/>
      <c r="I23" s="123"/>
      <c r="K23" s="15"/>
      <c r="L23" s="15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x14ac:dyDescent="0.45">
      <c r="B24" s="119"/>
      <c r="C24" s="102" t="s">
        <v>52</v>
      </c>
      <c r="D24" s="102">
        <f>SUM(D9:D23)</f>
        <v>2222124.1737479698</v>
      </c>
      <c r="E24" s="102">
        <f>SUM(E9:E23)</f>
        <v>493655.52066132589</v>
      </c>
      <c r="F24" s="102">
        <f>SUM(F9:F23)</f>
        <v>1308843.9681915022</v>
      </c>
      <c r="G24" s="102">
        <f>SUM(G9:G23)</f>
        <v>195934.16003274597</v>
      </c>
      <c r="H24" s="102">
        <f>SUM(H9:H23)</f>
        <v>223689.05836003003</v>
      </c>
      <c r="I24" s="123"/>
      <c r="K24" s="15"/>
      <c r="L24" s="15">
        <f>SUM(E24:J24)</f>
        <v>2222122.7072456041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7.649999999999999" x14ac:dyDescent="0.75">
      <c r="B25" s="119"/>
      <c r="C25" s="102" t="s">
        <v>143</v>
      </c>
      <c r="D25" s="131">
        <f>H24</f>
        <v>223689.05836003003</v>
      </c>
      <c r="E25" s="102"/>
      <c r="F25" s="102"/>
      <c r="G25" s="102"/>
      <c r="H25" s="102"/>
      <c r="I25" s="123"/>
      <c r="K25" s="15"/>
      <c r="L25" s="15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x14ac:dyDescent="0.45">
      <c r="B26" s="119"/>
      <c r="C26" s="102" t="s">
        <v>144</v>
      </c>
      <c r="D26" s="102">
        <f>+D24-D25</f>
        <v>1998435.1153879398</v>
      </c>
      <c r="E26" s="102"/>
      <c r="F26" s="102"/>
      <c r="G26" s="102"/>
      <c r="H26" s="102"/>
      <c r="I26" s="123"/>
      <c r="K26" s="15"/>
      <c r="L26" s="15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5.0999999999999996" customHeight="1" x14ac:dyDescent="0.45">
      <c r="B27" s="119"/>
      <c r="C27" s="102"/>
      <c r="D27" s="102"/>
      <c r="E27" s="102"/>
      <c r="F27" s="102"/>
      <c r="G27" s="102"/>
      <c r="H27" s="102"/>
      <c r="I27" s="123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x14ac:dyDescent="0.45">
      <c r="B28" s="119"/>
      <c r="C28" s="102" t="s">
        <v>145</v>
      </c>
      <c r="D28" s="132">
        <f>SUM(E28:G28)</f>
        <v>0.99999926617464108</v>
      </c>
      <c r="E28" s="132">
        <f>E24/$D$26</f>
        <v>0.24702104004287204</v>
      </c>
      <c r="F28" s="132">
        <f>F24/$D$26</f>
        <v>0.65493443250341754</v>
      </c>
      <c r="G28" s="132">
        <f>G24/$D$26</f>
        <v>9.8043793628351486E-2</v>
      </c>
      <c r="H28" s="102"/>
      <c r="I28" s="123"/>
      <c r="K28" s="15"/>
      <c r="L28" s="15"/>
      <c r="M28" s="15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5.0999999999999996" customHeight="1" x14ac:dyDescent="0.45">
      <c r="B29" s="119"/>
      <c r="C29" s="102"/>
      <c r="D29" s="102"/>
      <c r="E29" s="102"/>
      <c r="F29" s="102"/>
      <c r="G29" s="102"/>
      <c r="H29" s="102"/>
      <c r="I29" s="123"/>
      <c r="K29" s="15"/>
      <c r="L29" s="15"/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x14ac:dyDescent="0.45">
      <c r="B30" s="119"/>
      <c r="C30" s="102" t="s">
        <v>146</v>
      </c>
      <c r="D30" s="102">
        <f>SUM(E30:G30)</f>
        <v>223688.89421132649</v>
      </c>
      <c r="E30" s="102">
        <f>E28*$H$24</f>
        <v>55255.903842305321</v>
      </c>
      <c r="F30" s="102">
        <f>F28*$H$24</f>
        <v>146501.66649425012</v>
      </c>
      <c r="G30" s="102">
        <f>G28*$H$24</f>
        <v>21931.323874771057</v>
      </c>
      <c r="H30" s="102"/>
      <c r="I30" s="123"/>
      <c r="K30" s="15"/>
      <c r="L30" s="15"/>
      <c r="M30" s="15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5.0999999999999996" customHeight="1" x14ac:dyDescent="0.45">
      <c r="B31" s="119"/>
      <c r="C31" s="102"/>
      <c r="D31" s="102"/>
      <c r="E31" s="102"/>
      <c r="F31" s="102"/>
      <c r="G31" s="102"/>
      <c r="H31" s="102"/>
      <c r="I31" s="123"/>
      <c r="K31" s="15"/>
      <c r="L31" s="15"/>
      <c r="M31" s="15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x14ac:dyDescent="0.45">
      <c r="B32" s="119"/>
      <c r="C32" s="102" t="s">
        <v>147</v>
      </c>
      <c r="D32" s="102">
        <f>D30+D26</f>
        <v>2222124.0095992666</v>
      </c>
      <c r="E32" s="102">
        <f>E30+E24</f>
        <v>548911.42450363119</v>
      </c>
      <c r="F32" s="102">
        <f>F30+F24</f>
        <v>1455345.6346857522</v>
      </c>
      <c r="G32" s="102">
        <f>G30+G24</f>
        <v>217865.48390751705</v>
      </c>
      <c r="H32" s="102"/>
      <c r="I32" s="123"/>
      <c r="J32" s="3">
        <f>SUM(E32:G32)</f>
        <v>2222122.5430969005</v>
      </c>
      <c r="K32" s="15"/>
      <c r="L32" s="15"/>
      <c r="M32" s="15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x14ac:dyDescent="0.45">
      <c r="B33" s="127"/>
      <c r="C33" s="17"/>
      <c r="D33" s="17"/>
      <c r="E33" s="17"/>
      <c r="F33" s="17"/>
      <c r="G33" s="17"/>
      <c r="H33" s="17"/>
      <c r="I33" s="128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x14ac:dyDescent="0.45">
      <c r="B34" s="15"/>
      <c r="C34" s="15"/>
      <c r="D34" s="15"/>
      <c r="E34" s="15"/>
      <c r="F34" s="15"/>
      <c r="G34" s="15"/>
      <c r="H34" s="15"/>
      <c r="I34" s="15"/>
      <c r="K34" s="15"/>
      <c r="L34" s="15"/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4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3">
    <mergeCell ref="C3:H3"/>
    <mergeCell ref="C4:H4"/>
    <mergeCell ref="B5:I5"/>
  </mergeCells>
  <pageMargins left="0.7" right="0.7" top="1.2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topLeftCell="B1" workbookViewId="0">
      <selection activeCell="D17" sqref="D17"/>
    </sheetView>
  </sheetViews>
  <sheetFormatPr defaultRowHeight="15" x14ac:dyDescent="0.4"/>
  <cols>
    <col min="2" max="2" width="1.77734375" customWidth="1"/>
    <col min="3" max="3" width="31.109375" customWidth="1"/>
    <col min="4" max="4" width="10.33203125" customWidth="1"/>
    <col min="5" max="6" width="9.77734375" customWidth="1"/>
    <col min="7" max="7" width="9.77734375" bestFit="1" customWidth="1"/>
    <col min="8" max="8" width="1.77734375" customWidth="1"/>
  </cols>
  <sheetData>
    <row r="1" spans="1:11" ht="15.4" x14ac:dyDescent="0.45">
      <c r="A1" s="15"/>
      <c r="B1" s="115"/>
      <c r="C1" s="116"/>
      <c r="D1" s="116"/>
      <c r="E1" s="116"/>
      <c r="F1" s="116"/>
      <c r="G1" s="116"/>
      <c r="H1" s="117"/>
      <c r="I1" s="15"/>
      <c r="J1" s="15"/>
      <c r="K1" s="15"/>
    </row>
    <row r="2" spans="1:11" ht="18" x14ac:dyDescent="0.55000000000000004">
      <c r="A2" s="119"/>
      <c r="B2" s="119"/>
      <c r="C2" s="269" t="s">
        <v>148</v>
      </c>
      <c r="D2" s="269"/>
      <c r="E2" s="269"/>
      <c r="F2" s="269"/>
      <c r="G2" s="269"/>
      <c r="H2" s="133"/>
      <c r="I2" s="113"/>
      <c r="J2" s="15"/>
      <c r="K2" s="15"/>
    </row>
    <row r="3" spans="1:11" ht="18" x14ac:dyDescent="0.55000000000000004">
      <c r="A3" s="119"/>
      <c r="B3" s="119"/>
      <c r="C3" s="280" t="s">
        <v>181</v>
      </c>
      <c r="D3" s="280"/>
      <c r="E3" s="280"/>
      <c r="F3" s="280"/>
      <c r="G3" s="280"/>
      <c r="H3" s="134"/>
      <c r="I3" s="135"/>
      <c r="J3" s="15"/>
      <c r="K3" s="15"/>
    </row>
    <row r="4" spans="1:11" ht="15.75" x14ac:dyDescent="0.45">
      <c r="A4" s="119"/>
      <c r="B4" s="119"/>
      <c r="C4" s="266" t="s">
        <v>189</v>
      </c>
      <c r="D4" s="266"/>
      <c r="E4" s="266"/>
      <c r="F4" s="266"/>
      <c r="G4" s="266"/>
      <c r="H4" s="136"/>
      <c r="I4" s="112"/>
      <c r="J4" s="112"/>
      <c r="K4" s="112"/>
    </row>
    <row r="5" spans="1:11" ht="18" x14ac:dyDescent="0.45">
      <c r="A5" s="102"/>
      <c r="B5" s="119"/>
      <c r="C5" s="137"/>
      <c r="D5" s="137"/>
      <c r="E5" s="137"/>
      <c r="F5" s="137"/>
      <c r="G5" s="137"/>
      <c r="H5" s="138"/>
      <c r="I5" s="137"/>
      <c r="J5" s="15"/>
      <c r="K5" s="15"/>
    </row>
    <row r="6" spans="1:11" ht="15.4" x14ac:dyDescent="0.45">
      <c r="A6" s="15"/>
      <c r="B6" s="119"/>
      <c r="C6" s="102"/>
      <c r="D6" s="129" t="s">
        <v>133</v>
      </c>
      <c r="E6" s="129"/>
      <c r="F6" s="129"/>
      <c r="G6" s="129"/>
      <c r="H6" s="139"/>
      <c r="I6" s="15"/>
      <c r="J6" s="15"/>
      <c r="K6" s="15"/>
    </row>
    <row r="7" spans="1:11" ht="15.4" x14ac:dyDescent="0.45">
      <c r="A7" s="15"/>
      <c r="B7" s="119"/>
      <c r="C7" s="102"/>
      <c r="D7" s="129" t="s">
        <v>134</v>
      </c>
      <c r="E7" s="129" t="s">
        <v>127</v>
      </c>
      <c r="F7" s="129" t="s">
        <v>128</v>
      </c>
      <c r="G7" s="129" t="s">
        <v>129</v>
      </c>
      <c r="H7" s="139"/>
      <c r="I7" s="15"/>
      <c r="J7" s="15"/>
      <c r="K7" s="15"/>
    </row>
    <row r="8" spans="1:11" ht="15.4" x14ac:dyDescent="0.45">
      <c r="A8" s="15"/>
      <c r="B8" s="119"/>
      <c r="C8" s="102"/>
      <c r="D8" s="129"/>
      <c r="E8" s="129"/>
      <c r="F8" s="129"/>
      <c r="G8" s="129"/>
      <c r="H8" s="139"/>
      <c r="I8" s="15"/>
      <c r="J8" s="15"/>
      <c r="K8" s="15"/>
    </row>
    <row r="9" spans="1:11" ht="15.4" x14ac:dyDescent="0.45">
      <c r="A9" s="15"/>
      <c r="B9" s="119"/>
      <c r="C9" s="102" t="s">
        <v>149</v>
      </c>
      <c r="D9" s="140">
        <f>AlocOM!D32</f>
        <v>2222124.0095992666</v>
      </c>
      <c r="E9" s="140">
        <f>AlocOM!E32</f>
        <v>548911.42450363119</v>
      </c>
      <c r="F9" s="140">
        <f>AlocOM!F32</f>
        <v>1455345.6346857522</v>
      </c>
      <c r="G9" s="140">
        <f>AlocOM!G32</f>
        <v>217865.48390751705</v>
      </c>
      <c r="H9" s="123"/>
      <c r="I9" s="15"/>
      <c r="J9" s="15">
        <f>SUM(E9:G9)</f>
        <v>2222122.5430969005</v>
      </c>
      <c r="K9" s="15"/>
    </row>
    <row r="10" spans="1:11" ht="17.649999999999999" x14ac:dyDescent="0.75">
      <c r="A10" s="15"/>
      <c r="B10" s="119"/>
      <c r="C10" s="102" t="s">
        <v>253</v>
      </c>
      <c r="D10" s="131">
        <f>DSch!M20+DSch!M22</f>
        <v>348743.9231999999</v>
      </c>
      <c r="E10" s="131">
        <v>0</v>
      </c>
      <c r="F10" s="131">
        <f>D10</f>
        <v>348743.9231999999</v>
      </c>
      <c r="G10" s="131">
        <v>0</v>
      </c>
      <c r="H10" s="141"/>
      <c r="I10" s="15"/>
      <c r="J10" s="15">
        <f>SUM(E10:G10)</f>
        <v>348743.9231999999</v>
      </c>
      <c r="K10" s="15"/>
    </row>
    <row r="11" spans="1:11" ht="15.4" x14ac:dyDescent="0.45">
      <c r="A11" s="15"/>
      <c r="B11" s="119"/>
      <c r="C11" s="125" t="s">
        <v>182</v>
      </c>
      <c r="D11" s="102">
        <f>SUM(D9:D10)</f>
        <v>2570867.9327992667</v>
      </c>
      <c r="E11" s="102">
        <f>SUM(E9:E10)</f>
        <v>548911.42450363119</v>
      </c>
      <c r="F11" s="102">
        <f>SUM(F9:F10)</f>
        <v>1804089.5578857521</v>
      </c>
      <c r="G11" s="102">
        <f>SUM(G9:G10)</f>
        <v>217865.48390751705</v>
      </c>
      <c r="H11" s="123"/>
      <c r="I11" s="15"/>
      <c r="J11" s="15">
        <f>SUM(E11:G11)</f>
        <v>2570866.4662969001</v>
      </c>
      <c r="K11" s="15"/>
    </row>
    <row r="12" spans="1:11" ht="15.4" x14ac:dyDescent="0.45">
      <c r="A12" s="15"/>
      <c r="B12" s="119"/>
      <c r="C12" s="125" t="s">
        <v>18</v>
      </c>
      <c r="D12" s="102"/>
      <c r="E12" s="102"/>
      <c r="F12" s="102"/>
      <c r="G12" s="102"/>
      <c r="H12" s="123"/>
      <c r="I12" s="15"/>
      <c r="J12" s="15"/>
      <c r="K12" s="15"/>
    </row>
    <row r="13" spans="1:11" ht="15.4" x14ac:dyDescent="0.45">
      <c r="A13" s="15"/>
      <c r="B13" s="119"/>
      <c r="C13" s="154" t="s">
        <v>165</v>
      </c>
      <c r="D13" s="15">
        <f>G13</f>
        <v>54533</v>
      </c>
      <c r="E13" s="102">
        <v>0</v>
      </c>
      <c r="F13" s="102">
        <v>0</v>
      </c>
      <c r="G13" s="102">
        <f>SAO!G8+SAO!G9</f>
        <v>54533</v>
      </c>
      <c r="H13" s="123"/>
      <c r="I13" s="15"/>
      <c r="J13" s="15">
        <f t="shared" ref="J13:J15" si="0">SUM(E13:G13)</f>
        <v>54533</v>
      </c>
      <c r="K13" s="15"/>
    </row>
    <row r="14" spans="1:11" ht="15.4" x14ac:dyDescent="0.45">
      <c r="A14" s="15"/>
      <c r="B14" s="119"/>
      <c r="C14" s="29" t="s">
        <v>166</v>
      </c>
      <c r="D14" s="15">
        <f>SAO!G10</f>
        <v>278</v>
      </c>
      <c r="E14" s="102">
        <f>$D$14*AlocOM!E28</f>
        <v>68.671849131918421</v>
      </c>
      <c r="F14" s="102">
        <f>$D$14*AlocOM!F28</f>
        <v>182.07177223595008</v>
      </c>
      <c r="G14" s="102">
        <f>$D$14*AlocOM!G28</f>
        <v>27.256174628681713</v>
      </c>
      <c r="H14" s="123"/>
      <c r="I14" s="15"/>
      <c r="J14" s="15">
        <f t="shared" si="0"/>
        <v>277.99979599655023</v>
      </c>
      <c r="K14" s="15"/>
    </row>
    <row r="15" spans="1:11" ht="17.649999999999999" x14ac:dyDescent="0.75">
      <c r="A15" s="15"/>
      <c r="B15" s="119"/>
      <c r="C15" s="29" t="s">
        <v>167</v>
      </c>
      <c r="D15" s="48">
        <f>SAO!G44</f>
        <v>2972</v>
      </c>
      <c r="E15" s="131">
        <f>$D$15*AlocOM!E28</f>
        <v>734.14653100741566</v>
      </c>
      <c r="F15" s="131">
        <f>$D$15*AlocOM!F28</f>
        <v>1946.4651334001569</v>
      </c>
      <c r="G15" s="131">
        <f>$D$15*AlocOM!G28</f>
        <v>291.38615466346062</v>
      </c>
      <c r="H15" s="141"/>
      <c r="I15" s="15"/>
      <c r="J15" s="15">
        <f t="shared" si="0"/>
        <v>2971.9978190710335</v>
      </c>
      <c r="K15" s="15"/>
    </row>
    <row r="16" spans="1:11" ht="15.4" x14ac:dyDescent="0.45">
      <c r="A16" s="15"/>
      <c r="B16" s="119"/>
      <c r="C16" s="102"/>
      <c r="D16" s="102"/>
      <c r="E16" s="102"/>
      <c r="F16" s="102"/>
      <c r="G16" s="102"/>
      <c r="H16" s="123"/>
      <c r="I16" s="15"/>
      <c r="J16" s="15"/>
      <c r="K16" s="15"/>
    </row>
    <row r="17" spans="1:11" ht="15.4" x14ac:dyDescent="0.45">
      <c r="A17" s="15"/>
      <c r="B17" s="119"/>
      <c r="C17" s="125" t="s">
        <v>150</v>
      </c>
      <c r="D17" s="140">
        <f>D11-SUM(D13:D15)</f>
        <v>2513084.9327992667</v>
      </c>
      <c r="E17" s="140">
        <f>E11-SUM(E13:E16)</f>
        <v>548108.60612349189</v>
      </c>
      <c r="F17" s="140">
        <f>F11-SUM(F13:F16)</f>
        <v>1801961.020980116</v>
      </c>
      <c r="G17" s="140">
        <f>G11-SUM(G13:G16)</f>
        <v>163013.84157822491</v>
      </c>
      <c r="H17" s="123"/>
      <c r="I17" s="15"/>
      <c r="J17" s="15">
        <f>SUM(E17:G17)</f>
        <v>2513083.4686818328</v>
      </c>
      <c r="K17" s="15"/>
    </row>
    <row r="18" spans="1:11" ht="15.4" x14ac:dyDescent="0.45">
      <c r="A18" s="15"/>
      <c r="B18" s="127"/>
      <c r="C18" s="17"/>
      <c r="D18" s="17"/>
      <c r="E18" s="17"/>
      <c r="F18" s="17"/>
      <c r="G18" s="17"/>
      <c r="H18" s="128"/>
      <c r="I18" s="15"/>
      <c r="J18" s="15"/>
      <c r="K18" s="15"/>
    </row>
    <row r="19" spans="1:11" ht="15.4" x14ac:dyDescent="0.4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4" x14ac:dyDescent="0.4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3">
    <mergeCell ref="C2:G2"/>
    <mergeCell ref="C3:G3"/>
    <mergeCell ref="C4:G4"/>
  </mergeCells>
  <pageMargins left="0.7" right="0.7" top="1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workbookViewId="0"/>
  </sheetViews>
  <sheetFormatPr defaultRowHeight="15.4" x14ac:dyDescent="0.45"/>
  <cols>
    <col min="1" max="1" width="1.77734375" customWidth="1"/>
    <col min="2" max="2" width="21.44140625" customWidth="1"/>
    <col min="3" max="7" width="10.77734375" customWidth="1"/>
    <col min="8" max="8" width="1.77734375" customWidth="1"/>
    <col min="10" max="10" width="14.5546875" style="3" bestFit="1" customWidth="1"/>
    <col min="11" max="11" width="8.88671875" style="1"/>
  </cols>
  <sheetData>
    <row r="1" spans="1:13" x14ac:dyDescent="0.45">
      <c r="A1" s="115"/>
      <c r="B1" s="116"/>
      <c r="C1" s="116"/>
      <c r="D1" s="116"/>
      <c r="E1" s="116"/>
      <c r="F1" s="116"/>
      <c r="G1" s="116"/>
      <c r="H1" s="117"/>
    </row>
    <row r="2" spans="1:13" ht="18" x14ac:dyDescent="0.55000000000000004">
      <c r="A2" s="119"/>
      <c r="B2" s="269" t="s">
        <v>281</v>
      </c>
      <c r="C2" s="269"/>
      <c r="D2" s="269"/>
      <c r="E2" s="269"/>
      <c r="F2" s="269"/>
      <c r="G2" s="269"/>
      <c r="H2" s="133"/>
    </row>
    <row r="3" spans="1:13" ht="18" x14ac:dyDescent="0.55000000000000004">
      <c r="A3" s="119"/>
      <c r="B3" s="280" t="s">
        <v>178</v>
      </c>
      <c r="C3" s="280"/>
      <c r="D3" s="280"/>
      <c r="E3" s="280"/>
      <c r="F3" s="280"/>
      <c r="G3" s="280"/>
      <c r="H3" s="134"/>
    </row>
    <row r="4" spans="1:13" ht="18" x14ac:dyDescent="0.45">
      <c r="A4" s="119"/>
      <c r="B4" s="281" t="s">
        <v>189</v>
      </c>
      <c r="C4" s="281"/>
      <c r="D4" s="281"/>
      <c r="E4" s="281"/>
      <c r="F4" s="281"/>
      <c r="G4" s="281"/>
      <c r="H4" s="138"/>
    </row>
    <row r="5" spans="1:13" ht="18" x14ac:dyDescent="0.45">
      <c r="A5" s="119"/>
      <c r="B5" s="137"/>
      <c r="C5" s="137"/>
      <c r="D5" s="137"/>
      <c r="E5" s="137"/>
      <c r="F5" s="137"/>
      <c r="G5" s="137"/>
      <c r="H5" s="138"/>
    </row>
    <row r="6" spans="1:13" ht="18" x14ac:dyDescent="0.45">
      <c r="A6" s="115"/>
      <c r="B6" s="156"/>
      <c r="C6" s="156"/>
      <c r="D6" s="156"/>
      <c r="E6" s="156"/>
      <c r="F6" s="156"/>
      <c r="G6" s="156"/>
      <c r="H6" s="157"/>
    </row>
    <row r="7" spans="1:13" ht="18" x14ac:dyDescent="0.45">
      <c r="A7" s="119"/>
      <c r="B7" s="282" t="s">
        <v>170</v>
      </c>
      <c r="C7" s="282"/>
      <c r="D7" s="192"/>
      <c r="E7" s="137"/>
      <c r="F7" s="137"/>
      <c r="G7" s="137"/>
      <c r="H7" s="138"/>
    </row>
    <row r="8" spans="1:13" x14ac:dyDescent="0.45">
      <c r="A8" s="119"/>
      <c r="B8" s="102"/>
      <c r="C8" s="142"/>
      <c r="D8" s="142" t="s">
        <v>151</v>
      </c>
      <c r="E8" s="142" t="s">
        <v>152</v>
      </c>
      <c r="F8" s="142" t="s">
        <v>152</v>
      </c>
      <c r="G8" s="142" t="s">
        <v>153</v>
      </c>
      <c r="H8" s="143"/>
    </row>
    <row r="9" spans="1:13" ht="17.649999999999999" x14ac:dyDescent="0.75">
      <c r="A9" s="119"/>
      <c r="B9" s="102"/>
      <c r="C9" s="144" t="s">
        <v>133</v>
      </c>
      <c r="D9" s="145" t="s">
        <v>263</v>
      </c>
      <c r="E9" s="145" t="s">
        <v>264</v>
      </c>
      <c r="F9" s="145" t="s">
        <v>254</v>
      </c>
      <c r="G9" s="145" t="s">
        <v>255</v>
      </c>
      <c r="H9" s="146"/>
    </row>
    <row r="10" spans="1:13" x14ac:dyDescent="0.45">
      <c r="A10" s="119"/>
      <c r="B10" s="102" t="s">
        <v>154</v>
      </c>
      <c r="C10" s="102">
        <f>ExBA!U26</f>
        <v>185303300</v>
      </c>
      <c r="D10" s="102">
        <f>PropBA!E21</f>
        <v>39669800</v>
      </c>
      <c r="E10" s="102">
        <f>PropBA!F21</f>
        <v>86068800</v>
      </c>
      <c r="F10" s="102">
        <f>PropBA!G21</f>
        <v>38322800</v>
      </c>
      <c r="G10" s="102">
        <f>PropBA!H21</f>
        <v>21241900</v>
      </c>
      <c r="H10" s="123"/>
      <c r="J10" s="3">
        <f>SUM(D10:G10)</f>
        <v>185303300</v>
      </c>
    </row>
    <row r="11" spans="1:13" x14ac:dyDescent="0.45">
      <c r="A11" s="119"/>
      <c r="B11" s="102" t="s">
        <v>155</v>
      </c>
      <c r="C11" s="132">
        <f>SUM(E11:G11)</f>
        <v>0.78591962474494514</v>
      </c>
      <c r="D11" s="132">
        <f>D10/$C$10</f>
        <v>0.21408037525505483</v>
      </c>
      <c r="E11" s="132">
        <f>E10/$C$10</f>
        <v>0.46447526838431913</v>
      </c>
      <c r="F11" s="132">
        <f>F10/$C$10</f>
        <v>0.20681121167297076</v>
      </c>
      <c r="G11" s="132">
        <f>G10/$C$10</f>
        <v>0.11463314468765531</v>
      </c>
      <c r="H11" s="147"/>
    </row>
    <row r="12" spans="1:13" x14ac:dyDescent="0.45">
      <c r="A12" s="119"/>
      <c r="B12" s="102"/>
      <c r="C12" s="102"/>
      <c r="D12" s="102"/>
      <c r="E12" s="102"/>
      <c r="F12" s="102"/>
      <c r="G12" s="102"/>
      <c r="H12" s="123"/>
    </row>
    <row r="13" spans="1:13" x14ac:dyDescent="0.45">
      <c r="A13" s="119"/>
      <c r="B13" s="102" t="s">
        <v>156</v>
      </c>
      <c r="C13" s="102"/>
      <c r="D13" s="148">
        <v>6</v>
      </c>
      <c r="E13" s="148">
        <v>2.5</v>
      </c>
      <c r="F13" s="148">
        <v>1.5</v>
      </c>
      <c r="G13" s="148">
        <v>1</v>
      </c>
      <c r="H13" s="149"/>
    </row>
    <row r="14" spans="1:13" x14ac:dyDescent="0.45">
      <c r="A14" s="119"/>
      <c r="B14" s="102" t="s">
        <v>157</v>
      </c>
      <c r="C14" s="102">
        <f>SUM(D14:G14)</f>
        <v>531916900</v>
      </c>
      <c r="D14" s="102">
        <f>D13*D10</f>
        <v>238018800</v>
      </c>
      <c r="E14" s="102">
        <f>E13*E10</f>
        <v>215172000</v>
      </c>
      <c r="F14" s="102">
        <f>F13*F10</f>
        <v>57484200</v>
      </c>
      <c r="G14" s="102">
        <f>G13*G10</f>
        <v>21241900</v>
      </c>
      <c r="H14" s="123"/>
      <c r="J14" s="3">
        <f>SUM(D14:G14)</f>
        <v>531916900</v>
      </c>
    </row>
    <row r="15" spans="1:13" x14ac:dyDescent="0.45">
      <c r="A15" s="119"/>
      <c r="B15" s="102" t="s">
        <v>158</v>
      </c>
      <c r="C15" s="102"/>
      <c r="D15" s="132">
        <f>D14/$C$14</f>
        <v>0.44747365612936907</v>
      </c>
      <c r="E15" s="132">
        <f>E14/$C$14</f>
        <v>0.40452183414364162</v>
      </c>
      <c r="F15" s="132">
        <f>F14/$C$14</f>
        <v>0.1080698883603811</v>
      </c>
      <c r="G15" s="132">
        <f>G14/$C$14</f>
        <v>3.9934621366608206E-2</v>
      </c>
      <c r="H15" s="147"/>
      <c r="J15" s="105">
        <f>SUM(D15:G15)</f>
        <v>1</v>
      </c>
    </row>
    <row r="16" spans="1:13" x14ac:dyDescent="0.45">
      <c r="A16" s="119"/>
      <c r="B16" s="102"/>
      <c r="C16" s="102"/>
      <c r="D16" s="102"/>
      <c r="E16" s="132"/>
      <c r="F16" s="132"/>
      <c r="G16" s="132"/>
      <c r="H16" s="147"/>
      <c r="L16" s="3" t="s">
        <v>259</v>
      </c>
      <c r="M16" s="247">
        <f>D24</f>
        <v>24.65</v>
      </c>
    </row>
    <row r="17" spans="1:16" x14ac:dyDescent="0.45">
      <c r="A17" s="119"/>
      <c r="B17" s="102" t="s">
        <v>159</v>
      </c>
      <c r="C17" s="102">
        <f>AlocSum!E17</f>
        <v>548108.60612349189</v>
      </c>
      <c r="D17" s="102">
        <f>$C17*D11</f>
        <v>117339.29607944218</v>
      </c>
      <c r="E17" s="102">
        <f>$C17*E11</f>
        <v>254582.89193296395</v>
      </c>
      <c r="F17" s="102">
        <f>$C17*F11</f>
        <v>113355.00496078243</v>
      </c>
      <c r="G17" s="102">
        <f>$C17*G11</f>
        <v>62831.41315030332</v>
      </c>
      <c r="H17" s="123"/>
      <c r="J17" s="3">
        <f t="shared" ref="J17:J18" si="0">SUM(D17:G17)</f>
        <v>548108.60612349189</v>
      </c>
      <c r="L17" s="3" t="s">
        <v>267</v>
      </c>
      <c r="M17" s="90">
        <f>E24</f>
        <v>11.43</v>
      </c>
    </row>
    <row r="18" spans="1:16" x14ac:dyDescent="0.45">
      <c r="A18" s="119"/>
      <c r="B18" s="102" t="s">
        <v>160</v>
      </c>
      <c r="C18" s="102">
        <f>AlocSum!F17</f>
        <v>1801961.020980116</v>
      </c>
      <c r="D18" s="102">
        <f>$C18*D15</f>
        <v>806330.08626058325</v>
      </c>
      <c r="E18" s="102">
        <f>$C18*E15</f>
        <v>728932.57726222556</v>
      </c>
      <c r="F18" s="102">
        <f>$C18*F15</f>
        <v>194737.72636707948</v>
      </c>
      <c r="G18" s="102">
        <f>$C18*G15</f>
        <v>71960.631090227675</v>
      </c>
      <c r="H18" s="123"/>
      <c r="J18" s="3">
        <f t="shared" si="0"/>
        <v>1801961.020980116</v>
      </c>
      <c r="L18" s="3" t="s">
        <v>257</v>
      </c>
      <c r="M18" s="90">
        <f>F24</f>
        <v>8.0399999999999991</v>
      </c>
    </row>
    <row r="19" spans="1:16" ht="17.649999999999999" x14ac:dyDescent="0.75">
      <c r="A19" s="119"/>
      <c r="B19" s="102" t="s">
        <v>265</v>
      </c>
      <c r="C19" s="131">
        <f>AlocSum!G17</f>
        <v>163013.84157822491</v>
      </c>
      <c r="D19" s="131">
        <f>C19</f>
        <v>163013.84157822491</v>
      </c>
      <c r="E19" s="131">
        <v>0</v>
      </c>
      <c r="F19" s="131">
        <v>0</v>
      </c>
      <c r="G19" s="131">
        <v>0</v>
      </c>
      <c r="H19" s="123"/>
      <c r="L19" s="3"/>
      <c r="M19" s="90"/>
    </row>
    <row r="20" spans="1:16" x14ac:dyDescent="0.45">
      <c r="A20" s="119"/>
      <c r="B20" s="102" t="s">
        <v>161</v>
      </c>
      <c r="C20" s="102">
        <f>SUM(C17:C19)</f>
        <v>2513083.4686818328</v>
      </c>
      <c r="D20" s="102">
        <f>SUM(D17:D19)</f>
        <v>1086683.2239182503</v>
      </c>
      <c r="E20" s="102">
        <f>SUM(E17:E18)</f>
        <v>983515.46919518954</v>
      </c>
      <c r="F20" s="102">
        <f>SUM(F17:F18)</f>
        <v>308092.7313278619</v>
      </c>
      <c r="G20" s="102">
        <f>SUM(G17:G18)</f>
        <v>134792.04424053099</v>
      </c>
      <c r="H20" s="123"/>
      <c r="J20" s="3">
        <f>SUM(D20:G20)</f>
        <v>2513083.4686818328</v>
      </c>
      <c r="L20" s="3" t="s">
        <v>258</v>
      </c>
      <c r="M20" s="90">
        <f>G24</f>
        <v>6.35</v>
      </c>
    </row>
    <row r="21" spans="1:16" x14ac:dyDescent="0.45">
      <c r="A21" s="119"/>
      <c r="B21" s="102"/>
      <c r="C21" s="102"/>
      <c r="D21" s="102"/>
      <c r="E21" s="102"/>
      <c r="F21" s="102"/>
      <c r="G21" s="102"/>
      <c r="H21" s="123"/>
    </row>
    <row r="22" spans="1:16" x14ac:dyDescent="0.45">
      <c r="A22" s="119"/>
      <c r="B22" s="102" t="s">
        <v>266</v>
      </c>
      <c r="C22" s="102"/>
      <c r="D22" s="102">
        <f>PropBA!C25</f>
        <v>44083</v>
      </c>
      <c r="E22" s="102">
        <f>E10/1000</f>
        <v>86068.800000000003</v>
      </c>
      <c r="F22" s="102">
        <f t="shared" ref="F22:G22" si="1">F10/1000</f>
        <v>38322.800000000003</v>
      </c>
      <c r="G22" s="102">
        <f t="shared" si="1"/>
        <v>21241.9</v>
      </c>
      <c r="H22" s="123"/>
      <c r="J22" s="3">
        <f>SUM(E22:G22)</f>
        <v>145633.5</v>
      </c>
      <c r="L22">
        <f>J20/J22</f>
        <v>17.256218306102873</v>
      </c>
    </row>
    <row r="23" spans="1:16" x14ac:dyDescent="0.45">
      <c r="A23" s="119"/>
      <c r="B23" s="102"/>
      <c r="C23" s="102"/>
      <c r="D23" s="102"/>
      <c r="E23" s="102"/>
      <c r="F23" s="102"/>
      <c r="G23" s="102"/>
      <c r="H23" s="123"/>
    </row>
    <row r="24" spans="1:16" x14ac:dyDescent="0.45">
      <c r="A24" s="119"/>
      <c r="B24" s="102" t="s">
        <v>169</v>
      </c>
      <c r="C24" s="102"/>
      <c r="D24" s="150">
        <f>ROUND(D20/D22,2)</f>
        <v>24.65</v>
      </c>
      <c r="E24" s="150">
        <f>ROUND(E20/E22,2)</f>
        <v>11.43</v>
      </c>
      <c r="F24" s="150">
        <f>ROUND(F20/F22,2)</f>
        <v>8.0399999999999991</v>
      </c>
      <c r="G24" s="150">
        <f>ROUND(G20/G22,2)</f>
        <v>6.35</v>
      </c>
      <c r="H24" s="123"/>
    </row>
    <row r="25" spans="1:16" x14ac:dyDescent="0.45">
      <c r="A25" s="119"/>
      <c r="B25" s="102"/>
      <c r="C25" s="102"/>
      <c r="D25" s="102"/>
      <c r="E25" s="102"/>
      <c r="F25" s="102"/>
      <c r="G25" s="102"/>
      <c r="H25" s="123"/>
    </row>
    <row r="26" spans="1:16" x14ac:dyDescent="0.45">
      <c r="A26" s="119"/>
      <c r="B26" s="125" t="s">
        <v>179</v>
      </c>
      <c r="C26" s="102"/>
      <c r="D26" s="102"/>
      <c r="E26" s="150"/>
      <c r="F26" s="150"/>
      <c r="G26" s="150"/>
      <c r="H26" s="151"/>
    </row>
    <row r="27" spans="1:16" x14ac:dyDescent="0.45">
      <c r="A27" s="119"/>
      <c r="B27" s="102" t="s">
        <v>162</v>
      </c>
      <c r="C27" s="102"/>
      <c r="D27" s="102"/>
      <c r="E27" s="150"/>
      <c r="F27" s="150"/>
      <c r="G27" s="150"/>
      <c r="H27" s="151"/>
    </row>
    <row r="28" spans="1:16" x14ac:dyDescent="0.45">
      <c r="A28" s="119"/>
      <c r="C28" s="125"/>
      <c r="D28" s="125"/>
      <c r="E28" s="152"/>
      <c r="F28" s="152"/>
      <c r="G28" s="152"/>
      <c r="H28" s="151"/>
    </row>
    <row r="29" spans="1:16" x14ac:dyDescent="0.45">
      <c r="A29" s="119"/>
      <c r="C29" s="102"/>
      <c r="D29" s="102"/>
      <c r="E29" s="148"/>
      <c r="F29" s="148"/>
      <c r="G29" s="148"/>
      <c r="H29" s="149"/>
    </row>
    <row r="30" spans="1:16" x14ac:dyDescent="0.45">
      <c r="A30" s="127"/>
      <c r="B30" s="17"/>
      <c r="C30" s="17"/>
      <c r="D30" s="17"/>
      <c r="E30" s="17"/>
      <c r="F30" s="17"/>
      <c r="G30" s="17"/>
      <c r="H30" s="153"/>
    </row>
    <row r="31" spans="1:16" x14ac:dyDescent="0.45">
      <c r="L31" s="2"/>
      <c r="M31" s="102"/>
      <c r="N31" s="148"/>
      <c r="O31" s="102"/>
      <c r="P31" s="148"/>
    </row>
    <row r="32" spans="1:16" ht="17.649999999999999" x14ac:dyDescent="0.75">
      <c r="E32" s="246"/>
      <c r="L32" s="2"/>
      <c r="M32" s="131"/>
      <c r="N32" s="148"/>
      <c r="O32" s="131"/>
      <c r="P32" s="148"/>
    </row>
    <row r="33" spans="12:16" x14ac:dyDescent="0.45">
      <c r="L33" s="2"/>
      <c r="M33" s="102"/>
      <c r="N33" s="102"/>
      <c r="O33" s="102"/>
      <c r="P33" s="102"/>
    </row>
  </sheetData>
  <mergeCells count="4">
    <mergeCell ref="B2:G2"/>
    <mergeCell ref="B3:G3"/>
    <mergeCell ref="B4:G4"/>
    <mergeCell ref="B7:C7"/>
  </mergeCells>
  <printOptions horizontalCentered="1"/>
  <pageMargins left="0.7" right="0.7" top="1.2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N24"/>
  <sheetViews>
    <sheetView tabSelected="1" workbookViewId="0"/>
  </sheetViews>
  <sheetFormatPr defaultColWidth="8.88671875" defaultRowHeight="15.75" x14ac:dyDescent="0.5"/>
  <cols>
    <col min="1" max="1" width="9.6640625" style="27" customWidth="1"/>
    <col min="2" max="2" width="2" style="27" customWidth="1"/>
    <col min="3" max="3" width="4.77734375" style="27" customWidth="1"/>
    <col min="4" max="4" width="7.33203125" style="27" customWidth="1"/>
    <col min="5" max="5" width="6.33203125" style="27" customWidth="1"/>
    <col min="6" max="7" width="9.77734375" style="27" customWidth="1"/>
    <col min="8" max="8" width="13.33203125" style="27" customWidth="1"/>
    <col min="9" max="9" width="2" style="27" customWidth="1"/>
    <col min="10" max="10" width="4.77734375" style="27" customWidth="1"/>
    <col min="11" max="11" width="7.33203125" style="27" customWidth="1"/>
    <col min="12" max="12" width="6.33203125" style="27" customWidth="1"/>
    <col min="13" max="13" width="7.33203125" style="27" customWidth="1"/>
    <col min="14" max="14" width="13.33203125" style="27" customWidth="1"/>
    <col min="15" max="185" width="9.6640625" style="27" customWidth="1"/>
    <col min="186" max="16384" width="8.88671875" style="27"/>
  </cols>
  <sheetData>
    <row r="2" spans="2:14" x14ac:dyDescent="0.5">
      <c r="B2" s="5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83"/>
    </row>
    <row r="3" spans="2:14" ht="18" x14ac:dyDescent="0.55000000000000004">
      <c r="B3" s="60"/>
      <c r="C3" s="283" t="s">
        <v>281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</row>
    <row r="4" spans="2:14" ht="18" x14ac:dyDescent="0.55000000000000004">
      <c r="B4" s="60"/>
      <c r="C4" s="283" t="s">
        <v>185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</row>
    <row r="5" spans="2:14" x14ac:dyDescent="0.5">
      <c r="B5" s="60"/>
      <c r="C5" s="285" t="s">
        <v>189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2:14" x14ac:dyDescent="0.5">
      <c r="B6" s="6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4"/>
    </row>
    <row r="7" spans="2:14" x14ac:dyDescent="0.5">
      <c r="B7" s="57"/>
      <c r="C7" s="176"/>
      <c r="D7" s="176"/>
      <c r="E7" s="176"/>
      <c r="F7" s="176"/>
      <c r="G7" s="176"/>
      <c r="H7" s="83"/>
      <c r="I7" s="57"/>
      <c r="J7" s="176"/>
      <c r="K7" s="176"/>
      <c r="L7" s="176"/>
      <c r="M7" s="176"/>
      <c r="N7" s="83"/>
    </row>
    <row r="8" spans="2:14" x14ac:dyDescent="0.5">
      <c r="B8" s="60"/>
      <c r="C8" s="287" t="s">
        <v>183</v>
      </c>
      <c r="D8" s="287"/>
      <c r="E8" s="287"/>
      <c r="F8" s="287"/>
      <c r="G8" s="287"/>
      <c r="H8" s="275"/>
      <c r="I8" s="1"/>
      <c r="J8" s="287" t="s">
        <v>184</v>
      </c>
      <c r="K8" s="287"/>
      <c r="L8" s="287"/>
      <c r="M8" s="287"/>
      <c r="N8" s="275"/>
    </row>
    <row r="9" spans="2:14" x14ac:dyDescent="0.5">
      <c r="B9" s="60"/>
      <c r="C9" s="1"/>
      <c r="D9" s="1"/>
      <c r="E9" s="1"/>
      <c r="F9" s="1"/>
      <c r="G9" s="1"/>
      <c r="H9" s="84"/>
      <c r="I9" s="1"/>
      <c r="J9" s="1"/>
      <c r="K9" s="1"/>
      <c r="L9" s="1"/>
      <c r="M9" s="1"/>
      <c r="N9" s="84"/>
    </row>
    <row r="10" spans="2:14" x14ac:dyDescent="0.5">
      <c r="B10" s="60"/>
      <c r="C10" s="10" t="s">
        <v>277</v>
      </c>
      <c r="D10" s="1"/>
      <c r="E10" s="1"/>
      <c r="F10" s="243" t="s">
        <v>278</v>
      </c>
      <c r="G10" s="243" t="s">
        <v>279</v>
      </c>
      <c r="H10" s="84"/>
      <c r="I10" s="1"/>
      <c r="J10" s="10" t="s">
        <v>280</v>
      </c>
      <c r="K10" s="1"/>
      <c r="L10" s="1"/>
      <c r="M10" s="1"/>
      <c r="N10" s="84"/>
    </row>
    <row r="11" spans="2:14" x14ac:dyDescent="0.5">
      <c r="B11" s="60"/>
      <c r="C11" s="13" t="s">
        <v>151</v>
      </c>
      <c r="D11" s="130">
        <v>2000</v>
      </c>
      <c r="E11" s="1" t="s">
        <v>171</v>
      </c>
      <c r="F11" s="258">
        <v>20.239999999999998</v>
      </c>
      <c r="G11" s="258">
        <v>30.36</v>
      </c>
      <c r="H11" s="84" t="s">
        <v>172</v>
      </c>
      <c r="I11" s="1"/>
      <c r="J11" s="13" t="s">
        <v>151</v>
      </c>
      <c r="K11" s="130">
        <v>1000</v>
      </c>
      <c r="L11" s="1" t="s">
        <v>171</v>
      </c>
      <c r="M11" s="258">
        <f>CalcRates!D24</f>
        <v>24.65</v>
      </c>
      <c r="N11" s="84" t="s">
        <v>172</v>
      </c>
    </row>
    <row r="12" spans="2:14" x14ac:dyDescent="0.5">
      <c r="B12" s="60"/>
      <c r="C12" s="13" t="s">
        <v>152</v>
      </c>
      <c r="D12" s="130">
        <v>3000</v>
      </c>
      <c r="E12" s="1" t="s">
        <v>171</v>
      </c>
      <c r="F12" s="259">
        <v>5.62</v>
      </c>
      <c r="G12" s="259">
        <v>8.43</v>
      </c>
      <c r="H12" s="84" t="s">
        <v>173</v>
      </c>
      <c r="I12" s="1"/>
      <c r="J12" s="13" t="s">
        <v>152</v>
      </c>
      <c r="K12" s="130">
        <v>4000</v>
      </c>
      <c r="L12" s="1" t="s">
        <v>171</v>
      </c>
      <c r="M12" s="259">
        <f>CalcRates!E24</f>
        <v>11.43</v>
      </c>
      <c r="N12" s="84" t="s">
        <v>173</v>
      </c>
    </row>
    <row r="13" spans="2:14" x14ac:dyDescent="0.5">
      <c r="B13" s="60"/>
      <c r="C13" s="13" t="s">
        <v>152</v>
      </c>
      <c r="D13" s="130">
        <v>5000</v>
      </c>
      <c r="E13" s="1" t="s">
        <v>171</v>
      </c>
      <c r="F13" s="259">
        <v>4.45</v>
      </c>
      <c r="G13" s="259">
        <v>6.68</v>
      </c>
      <c r="H13" s="84" t="s">
        <v>173</v>
      </c>
      <c r="I13" s="1"/>
      <c r="J13" s="13" t="s">
        <v>152</v>
      </c>
      <c r="K13" s="130">
        <v>20000</v>
      </c>
      <c r="L13" s="1" t="s">
        <v>171</v>
      </c>
      <c r="M13" s="259">
        <f>CalcRates!F24</f>
        <v>8.0399999999999991</v>
      </c>
      <c r="N13" s="84" t="s">
        <v>173</v>
      </c>
    </row>
    <row r="14" spans="2:14" x14ac:dyDescent="0.5">
      <c r="B14" s="60"/>
      <c r="C14" s="13" t="s">
        <v>152</v>
      </c>
      <c r="D14" s="130">
        <v>15000</v>
      </c>
      <c r="E14" s="1" t="s">
        <v>171</v>
      </c>
      <c r="F14" s="259">
        <v>3.63</v>
      </c>
      <c r="G14" s="259">
        <v>5.45</v>
      </c>
      <c r="H14" s="84" t="s">
        <v>173</v>
      </c>
      <c r="I14" s="1"/>
      <c r="J14" s="13" t="s">
        <v>153</v>
      </c>
      <c r="K14" s="130">
        <v>25000</v>
      </c>
      <c r="L14" s="1" t="s">
        <v>171</v>
      </c>
      <c r="M14" s="259">
        <f>CalcRates!G24</f>
        <v>6.35</v>
      </c>
      <c r="N14" s="84" t="s">
        <v>173</v>
      </c>
    </row>
    <row r="15" spans="2:14" x14ac:dyDescent="0.5">
      <c r="B15" s="60"/>
      <c r="C15" s="13" t="s">
        <v>152</v>
      </c>
      <c r="D15" s="130">
        <v>25000</v>
      </c>
      <c r="E15" s="1" t="s">
        <v>171</v>
      </c>
      <c r="F15" s="259">
        <v>3.16</v>
      </c>
      <c r="G15" s="259">
        <v>4.74</v>
      </c>
      <c r="H15" s="84" t="s">
        <v>173</v>
      </c>
      <c r="I15" s="1"/>
      <c r="J15" s="130"/>
      <c r="K15" s="1"/>
      <c r="L15" s="1"/>
      <c r="M15" s="1"/>
      <c r="N15" s="84"/>
    </row>
    <row r="16" spans="2:14" x14ac:dyDescent="0.5">
      <c r="B16" s="60"/>
      <c r="C16" s="13" t="s">
        <v>152</v>
      </c>
      <c r="D16" s="130">
        <v>50000</v>
      </c>
      <c r="E16" s="1" t="s">
        <v>171</v>
      </c>
      <c r="F16" s="259">
        <v>2.69</v>
      </c>
      <c r="G16" s="259">
        <v>4.04</v>
      </c>
      <c r="H16" s="84" t="s">
        <v>173</v>
      </c>
      <c r="I16" s="1"/>
      <c r="J16" s="10"/>
      <c r="K16" s="1"/>
      <c r="L16" s="1"/>
      <c r="M16" s="1"/>
      <c r="N16" s="84"/>
    </row>
    <row r="17" spans="2:14" x14ac:dyDescent="0.5">
      <c r="B17" s="60"/>
      <c r="C17" s="13" t="s">
        <v>152</v>
      </c>
      <c r="D17" s="130">
        <v>100000</v>
      </c>
      <c r="E17" s="1" t="s">
        <v>171</v>
      </c>
      <c r="F17" s="259">
        <v>2.2200000000000002</v>
      </c>
      <c r="G17" s="259">
        <v>3.33</v>
      </c>
      <c r="H17" s="84" t="s">
        <v>173</v>
      </c>
      <c r="I17" s="1"/>
      <c r="J17" s="13"/>
      <c r="K17" s="130"/>
      <c r="L17" s="1"/>
      <c r="M17" s="258"/>
      <c r="N17" s="84"/>
    </row>
    <row r="18" spans="2:14" x14ac:dyDescent="0.5">
      <c r="B18" s="60"/>
      <c r="C18" s="13" t="s">
        <v>153</v>
      </c>
      <c r="D18" s="130">
        <v>200000</v>
      </c>
      <c r="E18" s="1" t="s">
        <v>171</v>
      </c>
      <c r="F18" s="259">
        <v>1.76</v>
      </c>
      <c r="G18" s="259">
        <v>2.64</v>
      </c>
      <c r="H18" s="84" t="s">
        <v>173</v>
      </c>
      <c r="I18" s="1"/>
      <c r="J18" s="13"/>
      <c r="K18" s="130"/>
      <c r="L18" s="1"/>
      <c r="M18" s="259"/>
      <c r="N18" s="84"/>
    </row>
    <row r="19" spans="2:14" x14ac:dyDescent="0.5">
      <c r="B19" s="67"/>
      <c r="C19" s="260"/>
      <c r="D19" s="20"/>
      <c r="E19" s="20"/>
      <c r="F19" s="20"/>
      <c r="G19" s="20"/>
      <c r="H19" s="85"/>
      <c r="I19" s="20"/>
      <c r="J19" s="20"/>
      <c r="K19" s="20"/>
      <c r="L19" s="20"/>
      <c r="M19" s="20"/>
      <c r="N19" s="85"/>
    </row>
    <row r="20" spans="2:14" x14ac:dyDescent="0.5">
      <c r="C20" s="261"/>
    </row>
    <row r="21" spans="2:14" x14ac:dyDescent="0.5">
      <c r="C21" s="261"/>
    </row>
    <row r="22" spans="2:14" x14ac:dyDescent="0.5">
      <c r="C22" s="261"/>
    </row>
    <row r="23" spans="2:14" x14ac:dyDescent="0.5">
      <c r="C23" s="261"/>
    </row>
    <row r="24" spans="2:14" x14ac:dyDescent="0.5">
      <c r="C24" s="261"/>
    </row>
  </sheetData>
  <mergeCells count="5">
    <mergeCell ref="C3:N3"/>
    <mergeCell ref="C4:N4"/>
    <mergeCell ref="C5:N5"/>
    <mergeCell ref="C8:H8"/>
    <mergeCell ref="J8:N8"/>
  </mergeCells>
  <printOptions horizontalCentered="1"/>
  <pageMargins left="0.8" right="0.55000000000000004" top="1.45" bottom="0.5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SAO</vt:lpstr>
      <vt:lpstr>Adj</vt:lpstr>
      <vt:lpstr>DeprAdj</vt:lpstr>
      <vt:lpstr>DSch</vt:lpstr>
      <vt:lpstr>Al_Dep</vt:lpstr>
      <vt:lpstr>AlocOM</vt:lpstr>
      <vt:lpstr>AlocSum</vt:lpstr>
      <vt:lpstr>CalcRates</vt:lpstr>
      <vt:lpstr>Rates</vt:lpstr>
      <vt:lpstr>Bills</vt:lpstr>
      <vt:lpstr>ExBA</vt:lpstr>
      <vt:lpstr>PropBA</vt:lpstr>
      <vt:lpstr>Al_Dep!Print_Area</vt:lpstr>
      <vt:lpstr>AlocOM!Print_Area</vt:lpstr>
      <vt:lpstr>AlocSum!Print_Area</vt:lpstr>
      <vt:lpstr>Bills!Print_Area</vt:lpstr>
      <vt:lpstr>CalcRates!Print_Area</vt:lpstr>
      <vt:lpstr>DeprAdj!Print_Area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2020-07-06T16:26:16Z</dcterms:created>
  <dcterms:modified xsi:type="dcterms:W3CDTF">2024-03-27T14:59:35Z</dcterms:modified>
</cp:coreProperties>
</file>