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4 Cases\2024-00016 Rockport Offset True-up\07_Testimony\Supplemental\"/>
    </mc:Choice>
  </mc:AlternateContent>
  <xr:revisionPtr revIDLastSave="0" documentId="13_ncr:1_{3078E16B-8511-4B71-A325-936298990447}" xr6:coauthVersionLast="47" xr6:coauthVersionMax="47" xr10:uidLastSave="{00000000-0000-0000-0000-000000000000}"/>
  <bookViews>
    <workbookView xWindow="-120" yWindow="-120" windowWidth="29040" windowHeight="15720" tabRatio="813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2.0 P2 2023-00159" sheetId="17" r:id="rId4"/>
    <sheet name="PPA Form 2.0 P3" sheetId="16" r:id="rId5"/>
    <sheet name="PPA Form 3.0" sheetId="3" r:id="rId6"/>
    <sheet name="PPA Form 3.0a" sheetId="4" r:id="rId7"/>
    <sheet name="PPA Form 4.0" sheetId="5" r:id="rId8"/>
    <sheet name="PPA Form 5.0" sheetId="6" r:id="rId9"/>
    <sheet name="Retail vs TO" sheetId="7" r:id="rId10"/>
    <sheet name="Input Sheet" sheetId="10" r:id="rId11"/>
    <sheet name="GRCF" sheetId="11" r:id="rId12"/>
    <sheet name="Rockport Deferral" sheetId="12" r:id="rId13"/>
    <sheet name="Rockport Savings-Offset" sheetId="9" r:id="rId14"/>
    <sheet name="Ln 5 and Ln 13" sheetId="14" r:id="rId15"/>
  </sheets>
  <externalReferences>
    <externalReference r:id="rId16"/>
  </externalReferences>
  <definedNames>
    <definedName name="Katy" localSheetId="12">#REF!</definedName>
    <definedName name="Katy">#REF!</definedName>
    <definedName name="Marshall_Rate">'[1]Property Tax'!$B$2</definedName>
    <definedName name="PC_Percent">'[1]Property Tax'!$B$6</definedName>
    <definedName name="_xlnm.Print_Area" localSheetId="11">GRCF!$A$1:$S$38</definedName>
    <definedName name="_xlnm.Print_Area" localSheetId="10">'Input Sheet'!$A$1:$D$16</definedName>
    <definedName name="_xlnm.Print_Area" localSheetId="0">'PPA Form 1.0'!$A$1:$J$50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2.0 P2 2023-00159'!$B$1:$N$31</definedName>
    <definedName name="_xlnm.Print_Area" localSheetId="4">'PPA Form 2.0 P3'!$B$1:$N$31</definedName>
    <definedName name="_xlnm.Print_Area" localSheetId="5">'PPA Form 3.0'!$A$1:$G$42</definedName>
    <definedName name="_xlnm.Print_Area" localSheetId="6">'PPA Form 3.0a'!$A$1:$P$60</definedName>
    <definedName name="_xlnm.Print_Area" localSheetId="7">'PPA Form 4.0'!$A$1:$G$25</definedName>
    <definedName name="_xlnm.Print_Area" localSheetId="8">'PPA Form 5.0'!$A$1:$F$29</definedName>
    <definedName name="_xlnm.Print_Area" localSheetId="9">'Retail vs TO'!$A$1:$G$37</definedName>
    <definedName name="_xlnm.Print_Area" localSheetId="12">'Rockport Deferral'!$A$2:$L$134</definedName>
    <definedName name="_xlnm.Print_Area" localSheetId="13">'Rockport Savings-Offset'!$A$1:$I$31</definedName>
    <definedName name="_xlnm.Print_Titles" localSheetId="12">'Rockport Deferral'!$2:$9</definedName>
    <definedName name="tim" localSheetId="11">#REF!</definedName>
    <definedName name="tim" localSheetId="12">#REF!</definedName>
    <definedName name="tim">#REF!</definedName>
    <definedName name="WV_List">'[1]Property Tax'!$B$4</definedName>
    <definedName name="Z_0BD4BC22_E7A2_4140_8384_5A5B3339DEED_.wvu.PrintArea" localSheetId="11" hidden="1">GRCF!$A$1:$S$38</definedName>
    <definedName name="Z_0BD4BC22_E7A2_4140_8384_5A5B3339DEED_.wvu.PrintArea" localSheetId="10" hidden="1">'Input Sheet'!$A$1:$D$16</definedName>
    <definedName name="Z_0BD4BC22_E7A2_4140_8384_5A5B3339DEED_.wvu.PrintArea" localSheetId="0" hidden="1">'PPA Form 1.0'!$A$1:$J$50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2.0 P2 2023-00159'!$B$1:$N$29</definedName>
    <definedName name="Z_0BD4BC22_E7A2_4140_8384_5A5B3339DEED_.wvu.PrintArea" localSheetId="4" hidden="1">'PPA Form 2.0 P3'!$B$1:$N$29</definedName>
    <definedName name="Z_0BD4BC22_E7A2_4140_8384_5A5B3339DEED_.wvu.PrintArea" localSheetId="5" hidden="1">'PPA Form 3.0'!$A$1:$G$39</definedName>
    <definedName name="Z_0BD4BC22_E7A2_4140_8384_5A5B3339DEED_.wvu.PrintArea" localSheetId="6" hidden="1">'PPA Form 3.0a'!$A$1:$P$60</definedName>
    <definedName name="Z_0BD4BC22_E7A2_4140_8384_5A5B3339DEED_.wvu.PrintArea" localSheetId="7" hidden="1">'PPA Form 4.0'!$A$1:$G$25</definedName>
    <definedName name="Z_0BD4BC22_E7A2_4140_8384_5A5B3339DEED_.wvu.PrintArea" localSheetId="8" hidden="1">'PPA Form 5.0'!$A$1:$F$29</definedName>
    <definedName name="Z_0BD4BC22_E7A2_4140_8384_5A5B3339DEED_.wvu.PrintArea" localSheetId="9" hidden="1">'Retail vs TO'!$A$1:$E$20</definedName>
    <definedName name="Z_0BD4BC22_E7A2_4140_8384_5A5B3339DEED_.wvu.PrintArea" localSheetId="12" hidden="1">'Rockport Deferral'!$A$2:$L$134</definedName>
    <definedName name="Z_0BD4BC22_E7A2_4140_8384_5A5B3339DEED_.wvu.PrintArea" localSheetId="13" hidden="1">'Rockport Savings-Offset'!$A$1:$I$31</definedName>
    <definedName name="Z_0BD4BC22_E7A2_4140_8384_5A5B3339DEED_.wvu.PrintTitles" localSheetId="12" hidden="1">'Rockport Deferral'!$2:$9</definedName>
    <definedName name="Z_0BD4BC22_E7A2_4140_8384_5A5B3339DEED_.wvu.Rows" localSheetId="11" hidden="1">GRCF!$17:$18</definedName>
    <definedName name="Z_4EF176FC_448F_4BD8_8859_C810312E84E7_.wvu.PrintArea" localSheetId="11" hidden="1">GRCF!$A$1:$S$38</definedName>
    <definedName name="Z_4EF176FC_448F_4BD8_8859_C810312E84E7_.wvu.PrintArea" localSheetId="10" hidden="1">'Input Sheet'!$A$1:$D$16</definedName>
    <definedName name="Z_4EF176FC_448F_4BD8_8859_C810312E84E7_.wvu.PrintArea" localSheetId="0" hidden="1">'PPA Form 1.0'!$A$1:$J$50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2.0 P2 2023-00159'!$B$1:$N$29</definedName>
    <definedName name="Z_4EF176FC_448F_4BD8_8859_C810312E84E7_.wvu.PrintArea" localSheetId="4" hidden="1">'PPA Form 2.0 P3'!$B$1:$N$29</definedName>
    <definedName name="Z_4EF176FC_448F_4BD8_8859_C810312E84E7_.wvu.PrintArea" localSheetId="5" hidden="1">'PPA Form 3.0'!$A$1:$G$39</definedName>
    <definedName name="Z_4EF176FC_448F_4BD8_8859_C810312E84E7_.wvu.PrintArea" localSheetId="6" hidden="1">'PPA Form 3.0a'!$A$1:$P$60</definedName>
    <definedName name="Z_4EF176FC_448F_4BD8_8859_C810312E84E7_.wvu.PrintArea" localSheetId="7" hidden="1">'PPA Form 4.0'!$A$1:$G$25</definedName>
    <definedName name="Z_4EF176FC_448F_4BD8_8859_C810312E84E7_.wvu.PrintArea" localSheetId="8" hidden="1">'PPA Form 5.0'!$A$1:$F$29</definedName>
    <definedName name="Z_4EF176FC_448F_4BD8_8859_C810312E84E7_.wvu.PrintArea" localSheetId="9" hidden="1">'Retail vs TO'!$A$1:$E$20</definedName>
    <definedName name="Z_4EF176FC_448F_4BD8_8859_C810312E84E7_.wvu.PrintArea" localSheetId="12" hidden="1">'Rockport Deferral'!$A$2:$L$134</definedName>
    <definedName name="Z_4EF176FC_448F_4BD8_8859_C810312E84E7_.wvu.PrintArea" localSheetId="13" hidden="1">'Rockport Savings-Offset'!$A$1:$I$31</definedName>
    <definedName name="Z_4EF176FC_448F_4BD8_8859_C810312E84E7_.wvu.PrintTitles" localSheetId="12" hidden="1">'Rockport Deferral'!$2:$9</definedName>
    <definedName name="Z_4EF176FC_448F_4BD8_8859_C810312E84E7_.wvu.Rows" localSheetId="11" hidden="1">GRCF!$17:$18</definedName>
    <definedName name="Z_4EF176FC_448F_4BD8_8859_C810312E84E7_.wvu.Rows" localSheetId="12" hidden="1">'Rockport Deferral'!$81:$132</definedName>
    <definedName name="Z_567BA860_460A_4CE0_A629_0EA7372574F1_.wvu.PrintArea" localSheetId="11" hidden="1">GRCF!$A$1:$S$38</definedName>
    <definedName name="Z_567BA860_460A_4CE0_A629_0EA7372574F1_.wvu.PrintArea" localSheetId="10" hidden="1">'Input Sheet'!$A$1:$D$16</definedName>
    <definedName name="Z_567BA860_460A_4CE0_A629_0EA7372574F1_.wvu.PrintArea" localSheetId="0" hidden="1">'PPA Form 1.0'!$A$1:$J$50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2.0 P2 2023-00159'!$B$1:$N$29</definedName>
    <definedName name="Z_567BA860_460A_4CE0_A629_0EA7372574F1_.wvu.PrintArea" localSheetId="4" hidden="1">'PPA Form 2.0 P3'!$B$1:$N$29</definedName>
    <definedName name="Z_567BA860_460A_4CE0_A629_0EA7372574F1_.wvu.PrintArea" localSheetId="5" hidden="1">'PPA Form 3.0'!$A$1:$G$39</definedName>
    <definedName name="Z_567BA860_460A_4CE0_A629_0EA7372574F1_.wvu.PrintArea" localSheetId="6" hidden="1">'PPA Form 3.0a'!$A$1:$P$60</definedName>
    <definedName name="Z_567BA860_460A_4CE0_A629_0EA7372574F1_.wvu.PrintArea" localSheetId="7" hidden="1">'PPA Form 4.0'!$A$1:$G$25</definedName>
    <definedName name="Z_567BA860_460A_4CE0_A629_0EA7372574F1_.wvu.PrintArea" localSheetId="8" hidden="1">'PPA Form 5.0'!$A$1:$F$29</definedName>
    <definedName name="Z_567BA860_460A_4CE0_A629_0EA7372574F1_.wvu.PrintArea" localSheetId="9" hidden="1">'Retail vs TO'!$A$1:$E$20</definedName>
    <definedName name="Z_567BA860_460A_4CE0_A629_0EA7372574F1_.wvu.PrintArea" localSheetId="12" hidden="1">'Rockport Deferral'!$A$2:$L$134</definedName>
    <definedName name="Z_567BA860_460A_4CE0_A629_0EA7372574F1_.wvu.PrintArea" localSheetId="13" hidden="1">'Rockport Savings-Offset'!$A$1:$I$31</definedName>
    <definedName name="Z_567BA860_460A_4CE0_A629_0EA7372574F1_.wvu.PrintTitles" localSheetId="12" hidden="1">'Rockport Deferral'!$2:$9</definedName>
    <definedName name="Z_567BA860_460A_4CE0_A629_0EA7372574F1_.wvu.Rows" localSheetId="11" hidden="1">GRCF!$17:$18</definedName>
    <definedName name="Z_567BA860_460A_4CE0_A629_0EA7372574F1_.wvu.Rows" localSheetId="12" hidden="1">'Rockport Deferral'!$81:$132</definedName>
  </definedNames>
  <calcPr calcId="191029"/>
  <customWorkbookViews>
    <customWorkbookView name="s290792 - Personal View" guid="{4EF176FC-448F-4BD8-8859-C810312E84E7}" mergeInterval="0" personalView="1" maximized="1" xWindow="-8" yWindow="-8" windowWidth="1936" windowHeight="1056" tabRatio="813" activeSheetId="6"/>
    <customWorkbookView name="s207409 - Personal View" guid="{567BA860-460A-4CE0-A629-0EA7372574F1}" mergeInterval="0" personalView="1" maximized="1" windowWidth="1600" windowHeight="675" tabRatio="813" activeSheetId="1"/>
    <customWorkbookView name="s203707 - Personal View" guid="{0BD4BC22-E7A2-4140-8384-5A5B3339DEED}" mergeInterval="0" personalView="1" maximized="1" xWindow="2869" yWindow="-11" windowWidth="2902" windowHeight="1582" tabRatio="81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3" i="9"/>
  <c r="E16" i="9"/>
  <c r="I27" i="17"/>
  <c r="C27" i="17"/>
  <c r="I26" i="17"/>
  <c r="C26" i="17"/>
  <c r="I25" i="17"/>
  <c r="C25" i="17"/>
  <c r="D24" i="17"/>
  <c r="C24" i="17"/>
  <c r="I23" i="17"/>
  <c r="E23" i="17"/>
  <c r="C23" i="17"/>
  <c r="D22" i="17"/>
  <c r="C22" i="17"/>
  <c r="F22" i="17" s="1"/>
  <c r="I21" i="17"/>
  <c r="C21" i="17"/>
  <c r="F21" i="17" s="1"/>
  <c r="I20" i="17"/>
  <c r="C20" i="17"/>
  <c r="F20" i="17" s="1"/>
  <c r="D29" i="17" l="1"/>
  <c r="F23" i="17"/>
  <c r="C29" i="17"/>
  <c r="F24" i="17"/>
  <c r="F25" i="17"/>
  <c r="F26" i="17"/>
  <c r="F27" i="17"/>
  <c r="F29" i="17" l="1"/>
  <c r="I27" i="16" l="1"/>
  <c r="C27" i="16"/>
  <c r="I26" i="16"/>
  <c r="C26" i="16"/>
  <c r="I25" i="16"/>
  <c r="C25" i="16"/>
  <c r="D24" i="16"/>
  <c r="C24" i="16"/>
  <c r="I23" i="16"/>
  <c r="E23" i="16"/>
  <c r="C23" i="16"/>
  <c r="D22" i="16"/>
  <c r="C22" i="16"/>
  <c r="I21" i="16"/>
  <c r="C21" i="16"/>
  <c r="F21" i="16" s="1"/>
  <c r="I20" i="16"/>
  <c r="C20" i="16"/>
  <c r="F20" i="16" s="1"/>
  <c r="F23" i="16" l="1"/>
  <c r="D29" i="16"/>
  <c r="F22" i="16"/>
  <c r="C29" i="16"/>
  <c r="F24" i="16"/>
  <c r="F25" i="16"/>
  <c r="F26" i="16"/>
  <c r="F27" i="16"/>
  <c r="F29" i="16" l="1"/>
  <c r="G19" i="1" l="1"/>
  <c r="C24" i="14" l="1"/>
  <c r="D24" i="14" s="1"/>
  <c r="C21" i="14"/>
  <c r="D21" i="14" s="1"/>
  <c r="C18" i="14"/>
  <c r="D18" i="14" s="1"/>
  <c r="D26" i="14" l="1"/>
  <c r="G37" i="1" s="1"/>
  <c r="C110" i="7"/>
  <c r="C103" i="7"/>
  <c r="C106" i="7" s="1"/>
  <c r="C112" i="7" l="1"/>
  <c r="C114" i="7" s="1"/>
  <c r="C116" i="7" s="1"/>
  <c r="P42" i="4" l="1"/>
  <c r="C28" i="3" s="1"/>
  <c r="G28" i="3" s="1"/>
  <c r="P38" i="4" l="1"/>
  <c r="P36" i="4"/>
  <c r="P34" i="4"/>
  <c r="I32" i="4"/>
  <c r="H17" i="1" l="1"/>
  <c r="I27" i="15"/>
  <c r="C27" i="15"/>
  <c r="F27" i="15" s="1"/>
  <c r="I26" i="15"/>
  <c r="C26" i="15"/>
  <c r="F26" i="15" s="1"/>
  <c r="I25" i="15"/>
  <c r="C25" i="15"/>
  <c r="F25" i="15" s="1"/>
  <c r="D24" i="15"/>
  <c r="C24" i="15"/>
  <c r="F24" i="15" s="1"/>
  <c r="I23" i="15"/>
  <c r="E23" i="15"/>
  <c r="C23" i="15"/>
  <c r="D22" i="15"/>
  <c r="C22" i="15"/>
  <c r="F22" i="15" s="1"/>
  <c r="I21" i="15"/>
  <c r="C21" i="15"/>
  <c r="F21" i="15" s="1"/>
  <c r="I20" i="15"/>
  <c r="C20" i="15"/>
  <c r="B10" i="14"/>
  <c r="B11" i="14" s="1"/>
  <c r="B4" i="14" s="1"/>
  <c r="B5" i="14" s="1"/>
  <c r="G21" i="1" s="1"/>
  <c r="J17" i="1" l="1"/>
  <c r="I17" i="1"/>
  <c r="F23" i="15"/>
  <c r="D29" i="15"/>
  <c r="C29" i="15"/>
  <c r="F20" i="15"/>
  <c r="F29" i="15" l="1"/>
  <c r="G27" i="1"/>
  <c r="H27" i="1" s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J37" i="1" l="1"/>
  <c r="I37" i="1"/>
  <c r="D75" i="12"/>
  <c r="E75" i="12" s="1"/>
  <c r="D83" i="12"/>
  <c r="E83" i="12" s="1"/>
  <c r="D86" i="12"/>
  <c r="E86" i="12" s="1"/>
  <c r="D87" i="12"/>
  <c r="E87" i="12" s="1"/>
  <c r="D103" i="12"/>
  <c r="E103" i="12" s="1"/>
  <c r="E23" i="12"/>
  <c r="G23" i="12" s="1"/>
  <c r="E35" i="12"/>
  <c r="G35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G26" i="12"/>
  <c r="G51" i="12"/>
  <c r="C53" i="12"/>
  <c r="E52" i="12"/>
  <c r="G15" i="12"/>
  <c r="C40" i="12"/>
  <c r="E39" i="12"/>
  <c r="J12" i="12"/>
  <c r="H12" i="12" l="1"/>
  <c r="H13" i="12" s="1"/>
  <c r="H14" i="12" s="1"/>
  <c r="H15" i="12" s="1"/>
  <c r="E53" i="12"/>
  <c r="C54" i="12"/>
  <c r="G27" i="12"/>
  <c r="G39" i="12"/>
  <c r="C41" i="12"/>
  <c r="E40" i="12"/>
  <c r="G16" i="12"/>
  <c r="L12" i="12"/>
  <c r="C29" i="12"/>
  <c r="E28" i="12"/>
  <c r="G52" i="12"/>
  <c r="F14" i="12"/>
  <c r="C18" i="12"/>
  <c r="E17" i="12"/>
  <c r="I12" i="12" l="1"/>
  <c r="J13" i="12" s="1"/>
  <c r="L13" i="12" s="1"/>
  <c r="I13" i="12"/>
  <c r="J14" i="12" s="1"/>
  <c r="G28" i="12"/>
  <c r="H16" i="12"/>
  <c r="C30" i="12"/>
  <c r="E29" i="12"/>
  <c r="C42" i="12"/>
  <c r="E41" i="12"/>
  <c r="C55" i="12"/>
  <c r="E54" i="12"/>
  <c r="I14" i="12"/>
  <c r="J15" i="12" s="1"/>
  <c r="F15" i="12"/>
  <c r="G53" i="12"/>
  <c r="G17" i="12"/>
  <c r="G40" i="12"/>
  <c r="C19" i="12"/>
  <c r="E18" i="12"/>
  <c r="L14" i="12" l="1"/>
  <c r="L15" i="12" s="1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F18" i="12"/>
  <c r="L18" i="12" l="1"/>
  <c r="C46" i="12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F19" i="12"/>
  <c r="G44" i="12"/>
  <c r="G21" i="12"/>
  <c r="H20" i="12"/>
  <c r="L19" i="12" l="1"/>
  <c r="G58" i="12"/>
  <c r="H21" i="12"/>
  <c r="I19" i="12"/>
  <c r="J20" i="12" s="1"/>
  <c r="F20" i="12"/>
  <c r="E59" i="12"/>
  <c r="C60" i="12"/>
  <c r="G46" i="12"/>
  <c r="G34" i="12"/>
  <c r="G33" i="12"/>
  <c r="G45" i="12"/>
  <c r="H22" i="12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L20" i="12" l="1"/>
  <c r="I20" i="12"/>
  <c r="J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L21" i="12" l="1"/>
  <c r="G60" i="12"/>
  <c r="H59" i="12"/>
  <c r="E61" i="12"/>
  <c r="C62" i="12"/>
  <c r="I21" i="12"/>
  <c r="J22" i="12" s="1"/>
  <c r="F22" i="12"/>
  <c r="L22" i="12" l="1"/>
  <c r="I22" i="12"/>
  <c r="J23" i="12" s="1"/>
  <c r="F23" i="12"/>
  <c r="H60" i="12"/>
  <c r="E62" i="12"/>
  <c r="C63" i="12"/>
  <c r="G61" i="12"/>
  <c r="L23" i="12" l="1"/>
  <c r="H61" i="12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I25" i="12"/>
  <c r="J26" i="12" s="1"/>
  <c r="L26" i="12" s="1"/>
  <c r="F26" i="12"/>
  <c r="C66" i="12"/>
  <c r="E65" i="12"/>
  <c r="H64" i="12" l="1"/>
  <c r="E66" i="12"/>
  <c r="C67" i="12"/>
  <c r="G65" i="12"/>
  <c r="I26" i="12"/>
  <c r="J27" i="12" s="1"/>
  <c r="L27" i="12" s="1"/>
  <c r="F27" i="12"/>
  <c r="H65" i="12" l="1"/>
  <c r="G66" i="12"/>
  <c r="I27" i="12"/>
  <c r="J28" i="12" s="1"/>
  <c r="L28" i="12" s="1"/>
  <c r="F28" i="12"/>
  <c r="E67" i="12"/>
  <c r="C68" i="12"/>
  <c r="H66" i="12" l="1"/>
  <c r="G67" i="12"/>
  <c r="I28" i="12"/>
  <c r="J29" i="12" s="1"/>
  <c r="L29" i="12" s="1"/>
  <c r="F29" i="12"/>
  <c r="E68" i="12"/>
  <c r="C69" i="12"/>
  <c r="H67" i="12" l="1"/>
  <c r="G68" i="12"/>
  <c r="I29" i="12"/>
  <c r="J30" i="12" s="1"/>
  <c r="L30" i="12" s="1"/>
  <c r="F30" i="12"/>
  <c r="E69" i="12"/>
  <c r="C70" i="12"/>
  <c r="H68" i="12" l="1"/>
  <c r="G69" i="12"/>
  <c r="I30" i="12"/>
  <c r="J31" i="12" s="1"/>
  <c r="L31" i="12" s="1"/>
  <c r="F31" i="12"/>
  <c r="E70" i="12"/>
  <c r="C71" i="12"/>
  <c r="H69" i="12" l="1"/>
  <c r="E71" i="12"/>
  <c r="C133" i="12"/>
  <c r="G70" i="12"/>
  <c r="I31" i="12"/>
  <c r="J32" i="12" s="1"/>
  <c r="L32" i="12" s="1"/>
  <c r="F32" i="12"/>
  <c r="H70" i="12" l="1"/>
  <c r="G71" i="12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H72" i="12" s="1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G133" i="12" l="1"/>
  <c r="I34" i="12"/>
  <c r="J35" i="12" s="1"/>
  <c r="L35" i="12" s="1"/>
  <c r="F35" i="12"/>
  <c r="H73" i="12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l="1"/>
  <c r="L49" i="12" s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F56" i="12"/>
  <c r="L56" i="12" l="1"/>
  <c r="I56" i="12"/>
  <c r="J57" i="12" s="1"/>
  <c r="F57" i="12"/>
  <c r="L57" i="12" l="1"/>
  <c r="I57" i="12"/>
  <c r="J58" i="12" s="1"/>
  <c r="F58" i="12"/>
  <c r="L58" i="12" l="1"/>
  <c r="I58" i="12"/>
  <c r="J59" i="12" s="1"/>
  <c r="F59" i="12"/>
  <c r="L59" i="12" l="1"/>
  <c r="I59" i="12"/>
  <c r="J60" i="12" s="1"/>
  <c r="F60" i="12"/>
  <c r="L60" i="12" l="1"/>
  <c r="I60" i="12"/>
  <c r="J61" i="12" s="1"/>
  <c r="F61" i="12"/>
  <c r="L61" i="12" l="1"/>
  <c r="I61" i="12"/>
  <c r="J62" i="12" s="1"/>
  <c r="F62" i="12"/>
  <c r="L62" i="12" l="1"/>
  <c r="I62" i="12"/>
  <c r="J63" i="12" s="1"/>
  <c r="F63" i="12"/>
  <c r="L63" i="12" l="1"/>
  <c r="I63" i="12"/>
  <c r="J64" i="12" s="1"/>
  <c r="F64" i="12"/>
  <c r="L64" i="12" l="1"/>
  <c r="I64" i="12"/>
  <c r="J65" i="12" s="1"/>
  <c r="F65" i="12"/>
  <c r="L65" i="12" l="1"/>
  <c r="I65" i="12"/>
  <c r="J66" i="12" s="1"/>
  <c r="F66" i="12"/>
  <c r="L66" i="12" l="1"/>
  <c r="I66" i="12"/>
  <c r="J67" i="12" s="1"/>
  <c r="F67" i="12"/>
  <c r="L67" i="12" l="1"/>
  <c r="I67" i="12"/>
  <c r="J68" i="12" s="1"/>
  <c r="F68" i="12"/>
  <c r="L68" i="12" l="1"/>
  <c r="I68" i="12"/>
  <c r="J69" i="12" s="1"/>
  <c r="F69" i="12"/>
  <c r="L69" i="12" l="1"/>
  <c r="I69" i="12"/>
  <c r="J70" i="12" s="1"/>
  <c r="F70" i="12"/>
  <c r="L70" i="12" l="1"/>
  <c r="I70" i="12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 s="1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L83" i="12" s="1"/>
  <c r="I82" i="12"/>
  <c r="I83" i="12" l="1"/>
  <c r="K84" i="12"/>
  <c r="L84" i="12" s="1"/>
  <c r="K85" i="12" l="1"/>
  <c r="L85" i="12" s="1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L89" i="12" s="1"/>
  <c r="I88" i="12"/>
  <c r="K90" i="12" l="1"/>
  <c r="L90" i="12" s="1"/>
  <c r="I89" i="12"/>
  <c r="K91" i="12" l="1"/>
  <c r="L91" i="12" s="1"/>
  <c r="I90" i="12"/>
  <c r="K92" i="12" l="1"/>
  <c r="L92" i="12" s="1"/>
  <c r="I91" i="12"/>
  <c r="K93" i="12" l="1"/>
  <c r="L93" i="12" s="1"/>
  <c r="I92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L97" i="12" s="1"/>
  <c r="I96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L101" i="12" s="1"/>
  <c r="I100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L105" i="12" s="1"/>
  <c r="I104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L109" i="12" s="1"/>
  <c r="I108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L113" i="12" s="1"/>
  <c r="I112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L117" i="12" s="1"/>
  <c r="I116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L121" i="12" s="1"/>
  <c r="I120" i="12"/>
  <c r="K122" i="12" l="1"/>
  <c r="L122" i="12" s="1"/>
  <c r="I121" i="12"/>
  <c r="I122" i="12" l="1"/>
  <c r="K123" i="12"/>
  <c r="L123" i="12" s="1"/>
  <c r="K124" i="12" l="1"/>
  <c r="L124" i="12" s="1"/>
  <c r="I123" i="12"/>
  <c r="K125" i="12" l="1"/>
  <c r="L125" i="12" s="1"/>
  <c r="I124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L129" i="12" s="1"/>
  <c r="I128" i="12"/>
  <c r="K130" i="12" l="1"/>
  <c r="L130" i="12" s="1"/>
  <c r="I129" i="12"/>
  <c r="I130" i="12" l="1"/>
  <c r="K131" i="12"/>
  <c r="L131" i="12" s="1"/>
  <c r="K132" i="12" l="1"/>
  <c r="K133" i="12" s="1"/>
  <c r="I131" i="12"/>
  <c r="L132" i="12" l="1"/>
  <c r="I132" i="12" s="1"/>
  <c r="P40" i="4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67" i="11" s="1"/>
  <c r="S69" i="11" s="1"/>
  <c r="S48" i="1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A52" i="6"/>
  <c r="A53" i="6" s="1"/>
  <c r="A54" i="6" s="1"/>
  <c r="A58" i="6" s="1"/>
  <c r="A60" i="6" s="1"/>
  <c r="P44" i="4" l="1"/>
  <c r="P30" i="4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 s="1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D53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I13" i="1" s="1"/>
  <c r="J13" i="1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M55" i="4" s="1"/>
  <c r="N53" i="4"/>
  <c r="N55" i="4" s="1"/>
  <c r="P49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J27" i="4"/>
  <c r="J28" i="4" s="1"/>
  <c r="J51" i="4"/>
  <c r="P51" i="4" s="1"/>
  <c r="K55" i="4"/>
  <c r="E39" i="3" l="1"/>
  <c r="I11" i="1"/>
  <c r="J53" i="4"/>
  <c r="G11" i="1"/>
  <c r="H11" i="1" s="1"/>
  <c r="E38" i="3"/>
  <c r="B38" i="3"/>
  <c r="P28" i="4"/>
  <c r="P53" i="4"/>
  <c r="P27" i="4"/>
  <c r="G24" i="3" s="1"/>
  <c r="G33" i="3" s="1"/>
  <c r="B39" i="3"/>
  <c r="E40" i="3" l="1"/>
  <c r="C39" i="3" s="1"/>
  <c r="I15" i="1"/>
  <c r="I23" i="1" s="1"/>
  <c r="I25" i="1" s="1"/>
  <c r="I33" i="1" s="1"/>
  <c r="J11" i="1"/>
  <c r="J15" i="1" s="1"/>
  <c r="C38" i="3"/>
  <c r="G15" i="1" l="1"/>
  <c r="G23" i="1" s="1"/>
  <c r="J55" i="4"/>
  <c r="G25" i="1" l="1"/>
  <c r="G33" i="1" s="1"/>
  <c r="H15" i="1"/>
  <c r="A11" i="9"/>
  <c r="H23" i="1" l="1"/>
  <c r="H25" i="1" s="1"/>
  <c r="H33" i="1" s="1"/>
  <c r="J23" i="1"/>
  <c r="J25" i="1" s="1"/>
  <c r="D23" i="9"/>
  <c r="D27" i="9" s="1"/>
  <c r="D29" i="9" s="1"/>
  <c r="E31" i="9" s="1"/>
  <c r="J31" i="1" s="1"/>
  <c r="J33" i="1" l="1"/>
  <c r="A8" i="6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39" i="1" s="1"/>
  <c r="A49" i="1"/>
  <c r="A51" i="1" s="1"/>
  <c r="A53" i="1" s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 l="1"/>
  <c r="S9" i="1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H35" i="1" s="1"/>
  <c r="I35" i="1" s="1"/>
  <c r="I39" i="1" s="1"/>
  <c r="F25" i="2"/>
  <c r="F29" i="2" s="1"/>
  <c r="C29" i="2"/>
  <c r="I42" i="1" l="1"/>
  <c r="I43" i="1"/>
  <c r="H39" i="1"/>
  <c r="H43" i="1" s="1"/>
  <c r="J35" i="1"/>
  <c r="J39" i="1" s="1"/>
  <c r="G39" i="1"/>
  <c r="H42" i="1" l="1"/>
  <c r="H44" i="1" s="1"/>
  <c r="I44" i="1"/>
  <c r="J43" i="1"/>
  <c r="J42" i="1"/>
  <c r="J44" i="1" s="1"/>
  <c r="G42" i="1"/>
  <c r="G43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G51" i="1"/>
  <c r="H51" i="1" l="1"/>
  <c r="I51" i="1" s="1"/>
  <c r="I53" i="1" s="1"/>
  <c r="G53" i="1"/>
  <c r="I57" i="1" l="1"/>
  <c r="I58" i="1"/>
  <c r="H9" i="17" s="1"/>
  <c r="H53" i="1"/>
  <c r="J51" i="1"/>
  <c r="J53" i="1" s="1"/>
  <c r="G57" i="1"/>
  <c r="G58" i="1"/>
  <c r="H9" i="2" s="1"/>
  <c r="H58" i="1"/>
  <c r="H9" i="15" s="1"/>
  <c r="H57" i="1"/>
  <c r="H23" i="17" l="1"/>
  <c r="H25" i="17"/>
  <c r="H26" i="17"/>
  <c r="H21" i="17"/>
  <c r="H27" i="17"/>
  <c r="H22" i="17"/>
  <c r="K22" i="17" s="1"/>
  <c r="H20" i="17"/>
  <c r="H24" i="17"/>
  <c r="K24" i="17" s="1"/>
  <c r="G9" i="17"/>
  <c r="I59" i="1"/>
  <c r="J57" i="1"/>
  <c r="J58" i="1"/>
  <c r="H9" i="16" s="1"/>
  <c r="H21" i="15"/>
  <c r="H23" i="15"/>
  <c r="H25" i="15"/>
  <c r="H27" i="15"/>
  <c r="H22" i="15"/>
  <c r="K22" i="15" s="1"/>
  <c r="H26" i="15"/>
  <c r="H24" i="15"/>
  <c r="K24" i="15" s="1"/>
  <c r="H20" i="15"/>
  <c r="G9" i="15"/>
  <c r="H59" i="1"/>
  <c r="H20" i="2"/>
  <c r="H23" i="2"/>
  <c r="H25" i="2"/>
  <c r="H27" i="2"/>
  <c r="H21" i="2"/>
  <c r="H24" i="2"/>
  <c r="K24" i="2" s="1"/>
  <c r="H26" i="2"/>
  <c r="H22" i="2"/>
  <c r="K22" i="2" s="1"/>
  <c r="G9" i="2"/>
  <c r="G59" i="1"/>
  <c r="H29" i="17" l="1"/>
  <c r="I9" i="17"/>
  <c r="G24" i="17"/>
  <c r="I24" i="17" s="1"/>
  <c r="M24" i="17" s="1"/>
  <c r="N24" i="17" s="1"/>
  <c r="G22" i="17"/>
  <c r="I22" i="17" s="1"/>
  <c r="M22" i="17" s="1"/>
  <c r="N22" i="17" s="1"/>
  <c r="G23" i="17"/>
  <c r="K23" i="17" s="1"/>
  <c r="M23" i="17" s="1"/>
  <c r="N23" i="17" s="1"/>
  <c r="G27" i="17"/>
  <c r="K27" i="17" s="1"/>
  <c r="M27" i="17" s="1"/>
  <c r="N27" i="17" s="1"/>
  <c r="G25" i="17"/>
  <c r="K25" i="17" s="1"/>
  <c r="M25" i="17" s="1"/>
  <c r="N25" i="17" s="1"/>
  <c r="G26" i="17"/>
  <c r="K26" i="17" s="1"/>
  <c r="M26" i="17" s="1"/>
  <c r="N26" i="17" s="1"/>
  <c r="G20" i="17"/>
  <c r="G21" i="17"/>
  <c r="K21" i="17" s="1"/>
  <c r="M21" i="17" s="1"/>
  <c r="N21" i="17" s="1"/>
  <c r="H29" i="15"/>
  <c r="H24" i="16"/>
  <c r="K24" i="16" s="1"/>
  <c r="H27" i="16"/>
  <c r="H20" i="16"/>
  <c r="H26" i="16"/>
  <c r="H21" i="16"/>
  <c r="H22" i="16"/>
  <c r="K22" i="16" s="1"/>
  <c r="H23" i="16"/>
  <c r="H25" i="16"/>
  <c r="J59" i="1"/>
  <c r="G9" i="16"/>
  <c r="G20" i="2"/>
  <c r="G22" i="2"/>
  <c r="I22" i="2" s="1"/>
  <c r="M22" i="2" s="1"/>
  <c r="N22" i="2" s="1"/>
  <c r="G25" i="2"/>
  <c r="K25" i="2" s="1"/>
  <c r="M25" i="2" s="1"/>
  <c r="N25" i="2" s="1"/>
  <c r="G21" i="2"/>
  <c r="K21" i="2" s="1"/>
  <c r="M21" i="2" s="1"/>
  <c r="N21" i="2" s="1"/>
  <c r="I9" i="2"/>
  <c r="G27" i="2"/>
  <c r="K27" i="2" s="1"/>
  <c r="M27" i="2" s="1"/>
  <c r="N27" i="2" s="1"/>
  <c r="G26" i="2"/>
  <c r="K26" i="2" s="1"/>
  <c r="M26" i="2" s="1"/>
  <c r="N26" i="2" s="1"/>
  <c r="G24" i="2"/>
  <c r="I24" i="2" s="1"/>
  <c r="M24" i="2" s="1"/>
  <c r="N24" i="2" s="1"/>
  <c r="G23" i="2"/>
  <c r="K23" i="2" s="1"/>
  <c r="M23" i="2" s="1"/>
  <c r="N23" i="2" s="1"/>
  <c r="H29" i="2"/>
  <c r="G21" i="15"/>
  <c r="K21" i="15" s="1"/>
  <c r="M21" i="15" s="1"/>
  <c r="N21" i="15" s="1"/>
  <c r="G22" i="15"/>
  <c r="I22" i="15" s="1"/>
  <c r="M22" i="15" s="1"/>
  <c r="N22" i="15" s="1"/>
  <c r="G20" i="15"/>
  <c r="G25" i="15"/>
  <c r="K25" i="15" s="1"/>
  <c r="M25" i="15" s="1"/>
  <c r="N25" i="15" s="1"/>
  <c r="G26" i="15"/>
  <c r="K26" i="15" s="1"/>
  <c r="M26" i="15" s="1"/>
  <c r="N26" i="15" s="1"/>
  <c r="G27" i="15"/>
  <c r="K27" i="15" s="1"/>
  <c r="M27" i="15" s="1"/>
  <c r="N27" i="15" s="1"/>
  <c r="G23" i="15"/>
  <c r="K23" i="15" s="1"/>
  <c r="M23" i="15" s="1"/>
  <c r="N23" i="15" s="1"/>
  <c r="G24" i="15"/>
  <c r="I24" i="15" s="1"/>
  <c r="M24" i="15" s="1"/>
  <c r="N24" i="15" s="1"/>
  <c r="I9" i="15"/>
  <c r="G29" i="17" l="1"/>
  <c r="K20" i="17"/>
  <c r="M20" i="17" s="1"/>
  <c r="I9" i="16"/>
  <c r="G24" i="16"/>
  <c r="I24" i="16" s="1"/>
  <c r="M24" i="16" s="1"/>
  <c r="N24" i="16" s="1"/>
  <c r="G20" i="16"/>
  <c r="G21" i="16"/>
  <c r="K21" i="16" s="1"/>
  <c r="M21" i="16" s="1"/>
  <c r="N21" i="16" s="1"/>
  <c r="G23" i="16"/>
  <c r="K23" i="16" s="1"/>
  <c r="M23" i="16" s="1"/>
  <c r="N23" i="16" s="1"/>
  <c r="G22" i="16"/>
  <c r="I22" i="16" s="1"/>
  <c r="M22" i="16" s="1"/>
  <c r="N22" i="16" s="1"/>
  <c r="G25" i="16"/>
  <c r="K25" i="16" s="1"/>
  <c r="M25" i="16" s="1"/>
  <c r="N25" i="16" s="1"/>
  <c r="G26" i="16"/>
  <c r="K26" i="16" s="1"/>
  <c r="M26" i="16" s="1"/>
  <c r="N26" i="16" s="1"/>
  <c r="G27" i="16"/>
  <c r="K27" i="16" s="1"/>
  <c r="M27" i="16" s="1"/>
  <c r="N27" i="16" s="1"/>
  <c r="H29" i="16"/>
  <c r="K20" i="15"/>
  <c r="M20" i="15" s="1"/>
  <c r="G29" i="15"/>
  <c r="G29" i="2"/>
  <c r="K20" i="2"/>
  <c r="M20" i="2" s="1"/>
  <c r="M29" i="17" l="1"/>
  <c r="N20" i="17"/>
  <c r="N29" i="17" s="1"/>
  <c r="K20" i="16"/>
  <c r="M20" i="16" s="1"/>
  <c r="G29" i="16"/>
  <c r="N20" i="2"/>
  <c r="N29" i="2" s="1"/>
  <c r="M29" i="2"/>
  <c r="N20" i="15"/>
  <c r="N29" i="15" s="1"/>
  <c r="M29" i="15"/>
  <c r="N20" i="16" l="1"/>
  <c r="N29" i="16" s="1"/>
  <c r="M29" i="16"/>
</calcChain>
</file>

<file path=xl/sharedStrings.xml><?xml version="1.0" encoding="utf-8"?>
<sst xmlns="http://schemas.openxmlformats.org/spreadsheetml/2006/main" count="859" uniqueCount="334">
  <si>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</si>
  <si>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</si>
  <si>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</si>
  <si>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</si>
  <si>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</si>
  <si>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</si>
  <si>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</si>
  <si>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</si>
  <si>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</si>
  <si>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</si>
  <si>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</si>
  <si>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</si>
  <si>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</si>
  <si>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</si>
  <si>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</si>
  <si>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</si>
  <si>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</si>
  <si>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</si>
  <si>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</si>
  <si>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</si>
  <si>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</si>
  <si>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</si>
  <si>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</si>
  <si>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</si>
  <si>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</si>
  <si>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</si>
  <si>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</si>
  <si>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</si>
  <si>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</si>
  <si>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</si>
  <si>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</si>
  <si>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</si>
  <si>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</si>
  <si>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</si>
  <si>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</si>
  <si>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</si>
  <si>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</si>
  <si>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</si>
  <si>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</si>
  <si>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</si>
  <si>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</si>
  <si>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</si>
  <si>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</si>
  <si>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</si>
  <si>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</si>
  <si>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</si>
  <si>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</si>
  <si>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</si>
  <si>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</si>
  <si>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</si>
  <si>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</si>
  <si>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</si>
  <si>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</si>
  <si>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</si>
  <si>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</si>
  <si>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</si>
  <si>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</si>
  <si>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</si>
  <si>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</si>
  <si>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</si>
  <si>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</si>
  <si>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</si>
  <si>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</si>
  <si>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</si>
  <si>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</si>
  <si>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</si>
  <si>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</si>
  <si>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</si>
  <si>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</si>
  <si>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</si>
  <si>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</si>
  <si>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</si>
  <si>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</si>
  <si>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</si>
  <si>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</si>
  <si>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</si>
  <si>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</si>
  <si>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</si>
  <si>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</si>
  <si>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</si>
  <si>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</si>
  <si>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</si>
  <si>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</si>
  <si>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</si>
  <si>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</si>
  <si>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</si>
  <si>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</si>
  <si>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</si>
  <si>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</si>
  <si>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</si>
  <si>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</si>
  <si>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</si>
  <si>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</si>
  <si>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</si>
  <si>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</si>
  <si>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</si>
  <si>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</si>
  <si>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</si>
  <si>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</si>
  <si>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</si>
  <si>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</si>
  <si>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</si>
  <si>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</si>
  <si>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</si>
  <si>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</si>
  <si>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</si>
  <si>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</si>
  <si>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</si>
  <si>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</si>
  <si>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</si>
  <si>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</si>
  <si>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</si>
  <si>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</si>
  <si>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</si>
  <si>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</si>
  <si>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</si>
  <si>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</si>
  <si>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</si>
  <si>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</si>
  <si>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</si>
  <si>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</si>
  <si>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</si>
  <si>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</si>
  <si>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</si>
  <si>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</si>
  <si>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</si>
  <si>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</si>
  <si>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</si>
  <si>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</si>
  <si>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</si>
  <si>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</si>
  <si>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</si>
  <si>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</si>
  <si>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</si>
  <si>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</si>
  <si>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</si>
  <si>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</si>
  <si>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</si>
  <si>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</si>
  <si>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</si>
  <si>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</si>
  <si>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</si>
  <si>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</si>
  <si>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</si>
  <si>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</si>
  <si>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</si>
  <si>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</si>
  <si>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</si>
  <si>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</si>
  <si>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</si>
  <si>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</si>
  <si>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</si>
  <si>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</si>
  <si>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</si>
  <si>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</si>
  <si>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</si>
  <si>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</si>
  <si>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</si>
  <si>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</si>
  <si>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</si>
  <si>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</si>
  <si>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</si>
  <si>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</si>
  <si>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</si>
  <si>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</si>
  <si>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</si>
  <si>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</si>
  <si>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</si>
  <si>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</si>
  <si>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</si>
  <si>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</si>
  <si>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</si>
  <si>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</si>
  <si>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</si>
  <si>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</si>
  <si>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</si>
  <si>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</si>
  <si>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</si>
  <si>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</si>
  <si>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</si>
  <si>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</si>
  <si>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</si>
  <si>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</si>
  <si>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</si>
  <si>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</si>
  <si>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</si>
  <si>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</si>
  <si>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</si>
  <si>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</si>
  <si>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</si>
  <si>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</si>
  <si>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</si>
  <si>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</si>
  <si>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</si>
  <si>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</si>
  <si>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</si>
  <si>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</si>
  <si>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</si>
  <si>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</si>
  <si>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</si>
  <si>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</si>
  <si>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</si>
  <si>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</si>
  <si>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</si>
  <si>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</si>
  <si>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</si>
  <si>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</si>
  <si>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</si>
  <si>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</si>
  <si>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</si>
  <si>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</si>
  <si>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</si>
  <si>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</si>
  <si>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</si>
  <si>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</si>
  <si>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</si>
  <si>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</si>
  <si>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</si>
  <si>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</si>
  <si>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</si>
  <si>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</si>
  <si>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</si>
  <si>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</si>
  <si>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</si>
  <si>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</si>
  <si>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</si>
  <si>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</si>
  <si>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</si>
  <si>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</si>
  <si>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</si>
  <si>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</si>
  <si>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</si>
  <si>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</si>
  <si>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</si>
  <si>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</si>
  <si>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</si>
  <si>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</si>
  <si>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</si>
  <si>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</si>
  <si>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</si>
  <si>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</si>
  <si>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</si>
  <si>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</si>
  <si>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</si>
  <si>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</si>
  <si>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</si>
  <si>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</si>
  <si>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</si>
  <si>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</si>
  <si>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</si>
  <si>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</si>
  <si>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</si>
  <si>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</si>
  <si>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</si>
  <si>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</si>
  <si>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</si>
  <si>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</si>
  <si>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</si>
  <si>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</si>
  <si>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</si>
  <si>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</si>
  <si>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</si>
  <si>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</si>
  <si>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</si>
  <si>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</si>
  <si>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</si>
  <si>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</si>
  <si>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</si>
  <si>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</si>
  <si>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</si>
  <si>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</si>
  <si>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</si>
  <si>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</si>
  <si>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</si>
  <si>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</si>
  <si>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</si>
  <si>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</si>
  <si>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</si>
  <si>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</si>
  <si>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</si>
  <si>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</si>
  <si>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</si>
  <si>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</si>
  <si>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</si>
  <si>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</si>
  <si>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</si>
  <si>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 xml:space="preserve">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</si>
  <si>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</si>
  <si>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</si>
  <si>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</si>
  <si>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</si>
  <si>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</si>
  <si>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</si>
  <si>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</si>
  <si>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</si>
  <si>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</si>
  <si>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</si>
  <si>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</si>
  <si>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</si>
  <si>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</si>
  <si>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</si>
  <si>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</si>
  <si>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</si>
  <si>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</si>
  <si>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</si>
  <si>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</si>
  <si>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</si>
  <si>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</si>
  <si>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</si>
  <si>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</si>
  <si>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</si>
  <si>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</si>
  <si>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</si>
  <si>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</si>
  <si>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</si>
  <si>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</si>
  <si>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</si>
  <si>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</si>
  <si>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</si>
  <si>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</si>
  <si>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Actual June 2023 Over/Under Recovery Balance - Form 3.0a (Excluding amount to be securitized)</t>
  </si>
  <si>
    <t>For ~March 1, 2024 through New Rates</t>
  </si>
  <si>
    <t>For ~January 15, 2024 through February 29, 2024</t>
  </si>
  <si>
    <t>Actual*</t>
  </si>
  <si>
    <t>Phase 2
As Filed
Aug 15, 2023</t>
  </si>
  <si>
    <t>Phase 2*
2023-00159</t>
  </si>
  <si>
    <t>Phase 3**
Rockport True Up</t>
  </si>
  <si>
    <t>Changes necessary for January 19, 2024 Order in Case No. 2023-00159.</t>
  </si>
  <si>
    <t>Changes necessary for Rockport True Up per the Commission-approved 2017-00179 Settlement Agreement.</t>
  </si>
  <si>
    <t xml:space="preserve">Reflects preliminary, unaudited financial results as of 2023-year end. </t>
  </si>
  <si>
    <t>Phase 1
As Filed 
Aug 15, 2023</t>
  </si>
  <si>
    <t>For January 16, 2024 through February 29, 2024</t>
  </si>
  <si>
    <t>For  October 2023 Billing through ~January 15, 2024</t>
  </si>
  <si>
    <t>Estimate - Commission Order in Case No. 2020-00174
Actual - Commission Order in Case No. 2023-00159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</si>
</sst>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%"/>
    <numFmt numFmtId="183" formatCode="0.00000%"/>
    <numFmt numFmtId="184" formatCode="&quot;$&quot;#,##0.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  <font>
      <b/>
      <i/>
      <u/>
      <sz val="10"/>
      <name val="Times New Roman"/>
      <family val="1"/>
    </font>
    <font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</cellStyleXfs>
  <cellXfs count="39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3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2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0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1" fillId="25" borderId="0" xfId="56" applyNumberFormat="1" applyFont="1" applyFill="1" applyBorder="1"/>
    <xf numFmtId="10" fontId="42" fillId="25" borderId="0" xfId="56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0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0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2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3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4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5" fontId="39" fillId="27" borderId="0" xfId="0" applyNumberFormat="1" applyFont="1" applyFill="1"/>
    <xf numFmtId="165" fontId="39" fillId="27" borderId="0" xfId="1" applyNumberFormat="1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184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171" fontId="39" fillId="0" borderId="0" xfId="54" applyNumberFormat="1" applyFont="1" applyFill="1" applyBorder="1" applyAlignment="1">
      <alignment vertical="center"/>
    </xf>
    <xf numFmtId="171" fontId="40" fillId="0" borderId="0" xfId="54" applyNumberFormat="1" applyFont="1" applyFill="1" applyBorder="1"/>
    <xf numFmtId="165" fontId="39" fillId="28" borderId="0" xfId="1" applyNumberFormat="1" applyFont="1" applyFill="1" applyBorder="1" applyAlignment="1"/>
    <xf numFmtId="171" fontId="39" fillId="0" borderId="0" xfId="54" applyNumberFormat="1" applyFont="1" applyFill="1" applyAlignment="1"/>
    <xf numFmtId="178" fontId="39" fillId="0" borderId="0" xfId="785" applyNumberFormat="1" applyFont="1" applyFill="1" applyAlignment="1"/>
    <xf numFmtId="0" fontId="39" fillId="29" borderId="0" xfId="0" applyFont="1" applyFill="1"/>
    <xf numFmtId="0" fontId="65" fillId="28" borderId="0" xfId="0" applyFont="1" applyFill="1" applyAlignment="1">
      <alignment horizontal="center"/>
    </xf>
    <xf numFmtId="0" fontId="40" fillId="28" borderId="0" xfId="0" applyFont="1" applyFill="1" applyAlignment="1">
      <alignment horizontal="center"/>
    </xf>
    <xf numFmtId="0" fontId="39" fillId="28" borderId="0" xfId="0" applyFont="1" applyFill="1"/>
    <xf numFmtId="0" fontId="41" fillId="0" borderId="0" xfId="0" applyFont="1" applyFill="1" applyAlignment="1">
      <alignment horizontal="center" wrapText="1"/>
    </xf>
    <xf numFmtId="0" fontId="41" fillId="29" borderId="0" xfId="0" applyFont="1" applyFill="1" applyAlignment="1">
      <alignment horizontal="center" wrapText="1"/>
    </xf>
    <xf numFmtId="165" fontId="39" fillId="29" borderId="0" xfId="1" applyNumberFormat="1" applyFont="1" applyFill="1" applyBorder="1" applyAlignment="1"/>
    <xf numFmtId="0" fontId="41" fillId="28" borderId="0" xfId="0" applyFont="1" applyFill="1" applyAlignment="1">
      <alignment horizontal="center" wrapText="1"/>
    </xf>
    <xf numFmtId="0" fontId="66" fillId="0" borderId="0" xfId="0" applyFont="1" applyFill="1" applyAlignment="1"/>
    <xf numFmtId="0" fontId="39" fillId="29" borderId="0" xfId="0" applyFont="1" applyFill="1" applyAlignment="1">
      <alignment horizontal="right"/>
    </xf>
    <xf numFmtId="0" fontId="39" fillId="28" borderId="0" xfId="0" applyFont="1" applyFill="1" applyAlignment="1">
      <alignment horizontal="right"/>
    </xf>
    <xf numFmtId="0" fontId="39" fillId="25" borderId="0" xfId="0" applyFont="1" applyFill="1" applyAlignment="1">
      <alignment vertical="top" wrapText="1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2" fillId="29" borderId="0" xfId="0" applyFont="1" applyFill="1" applyAlignment="1">
      <alignment horizontal="center"/>
    </xf>
    <xf numFmtId="0" fontId="52" fillId="2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175" fontId="51" fillId="0" borderId="0" xfId="0" applyNumberFormat="1" applyFont="1" applyFill="1"/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  <pageSetUpPr fitToPage="1"/>
  </sheetPr>
  <dimension ref="A1:T66"/>
  <sheetViews>
    <sheetView showGridLines="0" tabSelected="1" zoomScale="90" zoomScaleNormal="90" workbookViewId="0">
      <pane xSplit="6" ySplit="10" topLeftCell="G25" activePane="bottomRight" state="frozen"/>
      <selection pane="topRight" activeCell="G1" sqref="G1"/>
      <selection pane="bottomLeft" activeCell="A11" sqref="A11"/>
      <selection pane="bottomRight" activeCell="M5" sqref="M5"/>
    </sheetView>
  </sheetViews>
  <sheetFormatPr defaultColWidth="9.140625" defaultRowHeight="12.75"/>
  <cols>
    <col min="1" max="1" width="6.28515625" style="47" customWidth="1"/>
    <col min="2" max="2" width="34" style="46" customWidth="1"/>
    <col min="3" max="3" width="15.7109375" style="46" customWidth="1"/>
    <col min="4" max="4" width="16.28515625" style="46" customWidth="1"/>
    <col min="5" max="5" width="13.140625" style="46" customWidth="1"/>
    <col min="6" max="6" width="14.7109375" style="46" customWidth="1"/>
    <col min="7" max="7" width="16.5703125" style="49" customWidth="1"/>
    <col min="8" max="10" width="16.5703125" style="46" customWidth="1"/>
    <col min="11" max="11" width="3.140625" style="46" customWidth="1"/>
    <col min="12" max="12" width="14.85546875" style="46" customWidth="1"/>
    <col min="13" max="13" width="21.42578125" style="46" bestFit="1" customWidth="1"/>
    <col min="14" max="14" width="43.5703125" style="46" bestFit="1" customWidth="1"/>
    <col min="15" max="15" width="13.28515625" style="46" bestFit="1" customWidth="1"/>
    <col min="16" max="16" width="10" style="46" bestFit="1" customWidth="1"/>
    <col min="17" max="17" width="9.140625" style="46"/>
    <col min="18" max="18" width="12.5703125" style="46" bestFit="1" customWidth="1"/>
    <col min="19" max="19" width="9.140625" style="46"/>
    <col min="20" max="20" width="10" style="46" bestFit="1" customWidth="1"/>
    <col min="21" max="16384" width="9.140625" style="46"/>
  </cols>
  <sheetData>
    <row r="1" spans="1:20">
      <c r="G1" s="48" t="s">
        <v>96</v>
      </c>
    </row>
    <row r="3" spans="1:20">
      <c r="A3" s="381" t="s">
        <v>0</v>
      </c>
      <c r="B3" s="381"/>
      <c r="C3" s="381"/>
      <c r="D3" s="381"/>
      <c r="E3" s="381"/>
      <c r="F3" s="381"/>
      <c r="G3" s="381"/>
    </row>
    <row r="4" spans="1:20">
      <c r="A4" s="380" t="s">
        <v>250</v>
      </c>
      <c r="B4" s="380"/>
      <c r="C4" s="380"/>
      <c r="D4" s="380"/>
      <c r="E4" s="380"/>
      <c r="F4" s="380"/>
      <c r="G4" s="380"/>
    </row>
    <row r="5" spans="1:20">
      <c r="A5" s="380" t="s">
        <v>292</v>
      </c>
      <c r="B5" s="380"/>
      <c r="C5" s="380"/>
      <c r="D5" s="380"/>
      <c r="E5" s="380"/>
      <c r="F5" s="380"/>
      <c r="G5" s="380"/>
    </row>
    <row r="6" spans="1:20" ht="12.75" customHeight="1">
      <c r="A6" s="381"/>
      <c r="B6" s="381"/>
      <c r="C6" s="381"/>
      <c r="D6" s="381"/>
      <c r="E6" s="381"/>
      <c r="F6" s="381"/>
      <c r="G6" s="381"/>
    </row>
    <row r="7" spans="1:20">
      <c r="A7" s="84"/>
      <c r="B7" s="84"/>
      <c r="C7" s="84"/>
      <c r="D7" s="84"/>
      <c r="E7" s="84"/>
      <c r="F7" s="84"/>
      <c r="G7" s="84"/>
      <c r="M7" s="47"/>
      <c r="N7" s="47"/>
    </row>
    <row r="8" spans="1:20">
      <c r="A8" s="84"/>
      <c r="B8" s="84"/>
      <c r="C8" s="84"/>
      <c r="D8" s="84"/>
      <c r="E8" s="84"/>
      <c r="F8" s="84"/>
      <c r="G8" s="84"/>
      <c r="M8" s="47"/>
      <c r="N8" s="47"/>
    </row>
    <row r="9" spans="1:20" ht="38.25">
      <c r="A9" s="50" t="s">
        <v>103</v>
      </c>
      <c r="B9" s="50" t="s">
        <v>2</v>
      </c>
      <c r="G9" s="371" t="s">
        <v>330</v>
      </c>
      <c r="H9" s="371" t="s">
        <v>324</v>
      </c>
      <c r="I9" s="372" t="s">
        <v>325</v>
      </c>
      <c r="J9" s="374" t="s">
        <v>326</v>
      </c>
    </row>
    <row r="10" spans="1:20" ht="5.25" customHeight="1">
      <c r="A10" s="50"/>
      <c r="B10" s="50"/>
      <c r="G10" s="50"/>
      <c r="H10" s="50"/>
      <c r="I10" s="50"/>
      <c r="J10" s="50"/>
    </row>
    <row r="11" spans="1:20" s="83" customFormat="1">
      <c r="A11" s="51">
        <v>-1</v>
      </c>
      <c r="B11" s="379" t="s">
        <v>297</v>
      </c>
      <c r="C11" s="379"/>
      <c r="D11" s="379"/>
      <c r="E11" s="379"/>
      <c r="F11" s="379"/>
      <c r="G11" s="85">
        <f>'PPA Form 3.0'!G22+'PPA Form 3.0'!G29+'PPA Form 3.0'!G31+'PPA Form 3.0'!G28</f>
        <v>133102314.90267557</v>
      </c>
      <c r="H11" s="85">
        <f>G11</f>
        <v>133102314.90267557</v>
      </c>
      <c r="I11" s="373">
        <f>+'PPA Form 3.0'!G28+'PPA Form 3.0'!G29</f>
        <v>6491327.2100000009</v>
      </c>
      <c r="J11" s="85">
        <f>I11</f>
        <v>6491327.2100000009</v>
      </c>
      <c r="L11" s="86"/>
      <c r="M11" s="87"/>
      <c r="N11" s="88"/>
    </row>
    <row r="12" spans="1:20" s="83" customFormat="1">
      <c r="A12" s="320"/>
      <c r="B12" s="319"/>
      <c r="C12" s="319"/>
      <c r="D12" s="319"/>
      <c r="E12" s="319"/>
      <c r="F12" s="319"/>
      <c r="G12" s="85"/>
      <c r="H12" s="85"/>
      <c r="I12" s="85"/>
      <c r="J12" s="85"/>
      <c r="M12" s="87"/>
      <c r="N12" s="88"/>
    </row>
    <row r="13" spans="1:20" s="83" customFormat="1" ht="14.45" customHeight="1">
      <c r="A13" s="51">
        <f>A11-1</f>
        <v>-2</v>
      </c>
      <c r="B13" s="89" t="s">
        <v>169</v>
      </c>
      <c r="C13" s="319"/>
      <c r="D13" s="319"/>
      <c r="E13" s="319"/>
      <c r="F13" s="319"/>
      <c r="G13" s="85">
        <f>'PPA Form 3.0'!G23+'PPA Form 3.0'!G30</f>
        <v>98165700</v>
      </c>
      <c r="H13" s="85">
        <f>G13</f>
        <v>98165700</v>
      </c>
      <c r="I13" s="373">
        <f>+'PPA Form 3.0'!G30</f>
        <v>1269204</v>
      </c>
      <c r="J13" s="85">
        <f>I13</f>
        <v>1269204</v>
      </c>
      <c r="L13" s="88"/>
      <c r="M13" s="87"/>
      <c r="N13" s="88"/>
    </row>
    <row r="14" spans="1:20" s="83" customFormat="1">
      <c r="A14" s="320"/>
      <c r="B14" s="319"/>
      <c r="C14" s="319"/>
      <c r="D14" s="319"/>
      <c r="E14" s="319"/>
      <c r="F14" s="319"/>
      <c r="G14" s="85"/>
      <c r="H14" s="85"/>
      <c r="I14" s="85"/>
      <c r="J14" s="85"/>
      <c r="M14" s="87"/>
      <c r="N14" s="88"/>
    </row>
    <row r="15" spans="1:20" s="83" customFormat="1">
      <c r="A15" s="51">
        <f>A13-1</f>
        <v>-3</v>
      </c>
      <c r="B15" s="89" t="s">
        <v>275</v>
      </c>
      <c r="C15" s="319"/>
      <c r="D15" s="319"/>
      <c r="E15" s="319"/>
      <c r="F15" s="319"/>
      <c r="G15" s="85">
        <f>'PPA Form 3.0'!G33</f>
        <v>34936614.902675569</v>
      </c>
      <c r="H15" s="85">
        <f>G15</f>
        <v>34936614.902675569</v>
      </c>
      <c r="I15" s="85">
        <f>+I11-I13</f>
        <v>5222123.2100000009</v>
      </c>
      <c r="J15" s="85">
        <f>+J11-J13</f>
        <v>5222123.2100000009</v>
      </c>
      <c r="L15" s="88"/>
      <c r="M15" s="87"/>
      <c r="N15" s="88"/>
      <c r="T15" s="88"/>
    </row>
    <row r="16" spans="1:20" s="83" customFormat="1">
      <c r="A16" s="51"/>
      <c r="B16" s="89"/>
      <c r="C16" s="319"/>
      <c r="D16" s="319"/>
      <c r="E16" s="319"/>
      <c r="F16" s="319"/>
      <c r="G16" s="85"/>
      <c r="H16" s="85"/>
      <c r="I16" s="85"/>
      <c r="J16" s="85"/>
      <c r="L16" s="90"/>
      <c r="M16" s="87"/>
      <c r="N16" s="88"/>
    </row>
    <row r="17" spans="1:14" s="83" customFormat="1">
      <c r="A17" s="51">
        <f>A15-1</f>
        <v>-4</v>
      </c>
      <c r="B17" s="89" t="s">
        <v>298</v>
      </c>
      <c r="C17" s="319"/>
      <c r="D17" s="319"/>
      <c r="E17" s="319"/>
      <c r="F17" s="319"/>
      <c r="G17" s="85">
        <v>0</v>
      </c>
      <c r="H17" s="85">
        <f>G17</f>
        <v>0</v>
      </c>
      <c r="I17" s="85">
        <f>H17</f>
        <v>0</v>
      </c>
      <c r="J17" s="85">
        <f>H17</f>
        <v>0</v>
      </c>
      <c r="L17" s="90"/>
      <c r="M17" s="87"/>
      <c r="N17" s="88"/>
    </row>
    <row r="18" spans="1:14" s="83" customFormat="1">
      <c r="A18" s="51"/>
      <c r="B18" s="89"/>
      <c r="C18" s="319"/>
      <c r="D18" s="319"/>
      <c r="E18" s="319"/>
      <c r="F18" s="319"/>
      <c r="G18" s="85"/>
      <c r="H18" s="85"/>
      <c r="I18" s="85"/>
      <c r="J18" s="85"/>
      <c r="M18" s="87"/>
      <c r="N18" s="88"/>
    </row>
    <row r="19" spans="1:14" s="83" customFormat="1">
      <c r="A19" s="318" t="s">
        <v>318</v>
      </c>
      <c r="B19" s="89" t="s">
        <v>173</v>
      </c>
      <c r="C19" s="89"/>
      <c r="D19" s="319"/>
      <c r="E19" s="319"/>
      <c r="F19" s="319"/>
      <c r="G19" s="85">
        <f>-'Ln 5 and Ln 13'!B3</f>
        <v>-40831141</v>
      </c>
      <c r="H19" s="85">
        <v>0</v>
      </c>
      <c r="I19" s="85">
        <v>0</v>
      </c>
      <c r="J19" s="85">
        <v>0</v>
      </c>
      <c r="M19" s="87"/>
      <c r="N19" s="88"/>
    </row>
    <row r="20" spans="1:14" s="83" customFormat="1">
      <c r="A20" s="51"/>
      <c r="B20" s="89"/>
      <c r="C20" s="319"/>
      <c r="D20" s="319"/>
      <c r="E20" s="319"/>
      <c r="F20" s="319"/>
      <c r="G20" s="85"/>
      <c r="H20" s="85"/>
      <c r="I20" s="85"/>
      <c r="J20" s="85"/>
      <c r="M20" s="87"/>
      <c r="N20" s="88"/>
    </row>
    <row r="21" spans="1:14" s="83" customFormat="1">
      <c r="A21" s="318" t="s">
        <v>319</v>
      </c>
      <c r="B21" s="89" t="s">
        <v>296</v>
      </c>
      <c r="C21" s="319"/>
      <c r="D21" s="319"/>
      <c r="E21" s="319"/>
      <c r="F21" s="319"/>
      <c r="G21" s="85">
        <f>-('Ln 5 and Ln 13'!B5/106)*365</f>
        <v>-8857661.2008962315</v>
      </c>
      <c r="H21" s="85">
        <v>0</v>
      </c>
      <c r="I21" s="85">
        <v>0</v>
      </c>
      <c r="J21" s="85">
        <v>0</v>
      </c>
      <c r="M21" s="87"/>
      <c r="N21" s="88"/>
    </row>
    <row r="22" spans="1:14" s="83" customFormat="1">
      <c r="A22" s="320"/>
      <c r="B22" s="319"/>
      <c r="C22" s="319"/>
      <c r="D22" s="319"/>
      <c r="E22" s="319"/>
      <c r="F22" s="319"/>
      <c r="G22" s="85"/>
      <c r="H22" s="85"/>
      <c r="I22" s="85"/>
      <c r="J22" s="85"/>
      <c r="M22" s="87"/>
      <c r="N22" s="88"/>
    </row>
    <row r="23" spans="1:14" s="83" customFormat="1">
      <c r="A23" s="51">
        <v>-6</v>
      </c>
      <c r="B23" s="83" t="s">
        <v>181</v>
      </c>
      <c r="G23" s="88">
        <f>G15+G17+G19+G21</f>
        <v>-14752187.298220662</v>
      </c>
      <c r="H23" s="88">
        <f>H15+H17+H19+H21</f>
        <v>34936614.902675569</v>
      </c>
      <c r="I23" s="88">
        <f>I15+I17+I19+I21</f>
        <v>5222123.2100000009</v>
      </c>
      <c r="J23" s="88">
        <f>J15+J17+J19+J21</f>
        <v>5222123.2100000009</v>
      </c>
      <c r="M23" s="87"/>
      <c r="N23" s="88"/>
    </row>
    <row r="24" spans="1:14" s="83" customFormat="1">
      <c r="A24" s="51"/>
    </row>
    <row r="25" spans="1:14" s="83" customFormat="1">
      <c r="A25" s="51">
        <f>A23-1</f>
        <v>-7</v>
      </c>
      <c r="B25" s="89" t="s">
        <v>270</v>
      </c>
      <c r="C25" s="319"/>
      <c r="D25" s="319"/>
      <c r="E25" s="319"/>
      <c r="F25" s="319"/>
      <c r="G25" s="85">
        <f>G23*0.006093</f>
        <v>-89885.077208058501</v>
      </c>
      <c r="H25" s="85">
        <f>H23*0.006093</f>
        <v>212868.79460200225</v>
      </c>
      <c r="I25" s="85">
        <f>I23*0.006093</f>
        <v>31818.396718530006</v>
      </c>
      <c r="J25" s="85">
        <f>J23*0.006093</f>
        <v>31818.396718530006</v>
      </c>
    </row>
    <row r="26" spans="1:14" s="83" customFormat="1">
      <c r="A26" s="51"/>
      <c r="B26" s="89"/>
      <c r="C26" s="319"/>
      <c r="D26" s="319"/>
      <c r="E26" s="319"/>
      <c r="F26" s="319"/>
      <c r="G26" s="85"/>
      <c r="H26" s="85"/>
      <c r="I26" s="85"/>
      <c r="J26" s="85"/>
    </row>
    <row r="27" spans="1:14">
      <c r="A27" s="51">
        <f>A25-1</f>
        <v>-8</v>
      </c>
      <c r="B27" s="89" t="s">
        <v>182</v>
      </c>
      <c r="C27" s="319"/>
      <c r="D27" s="319"/>
      <c r="E27" s="319"/>
      <c r="F27" s="319"/>
      <c r="G27" s="85">
        <f>'Rockport Deferral'!D5</f>
        <v>13539509.601463126</v>
      </c>
      <c r="H27" s="85">
        <f>G27</f>
        <v>13539509.601463126</v>
      </c>
      <c r="I27" s="373">
        <v>0</v>
      </c>
      <c r="J27" s="85">
        <v>0</v>
      </c>
      <c r="K27" s="83"/>
      <c r="L27" s="83"/>
    </row>
    <row r="28" spans="1:14" s="83" customFormat="1">
      <c r="A28" s="51"/>
      <c r="B28" s="89"/>
      <c r="C28" s="319"/>
      <c r="D28" s="319"/>
      <c r="E28" s="319"/>
      <c r="F28" s="319"/>
      <c r="G28" s="85"/>
      <c r="H28" s="85"/>
      <c r="I28" s="85"/>
      <c r="J28" s="85"/>
    </row>
    <row r="29" spans="1:14" s="83" customFormat="1">
      <c r="A29" s="51">
        <f>A27-1</f>
        <v>-9</v>
      </c>
      <c r="B29" s="89" t="s">
        <v>177</v>
      </c>
      <c r="C29" s="319"/>
      <c r="D29" s="319"/>
      <c r="E29" s="319"/>
      <c r="F29" s="319"/>
      <c r="G29" s="85">
        <v>22785645.301422402</v>
      </c>
      <c r="H29" s="85">
        <v>0</v>
      </c>
      <c r="I29" s="85">
        <v>0</v>
      </c>
      <c r="J29" s="85">
        <v>0</v>
      </c>
      <c r="L29" s="366"/>
      <c r="M29" s="365"/>
    </row>
    <row r="30" spans="1:14" s="83" customFormat="1">
      <c r="A30" s="51"/>
      <c r="B30" s="89"/>
      <c r="C30" s="319"/>
      <c r="D30" s="319"/>
      <c r="E30" s="319"/>
      <c r="F30" s="319"/>
      <c r="G30" s="85"/>
      <c r="H30" s="85"/>
      <c r="I30" s="85"/>
      <c r="J30" s="85"/>
    </row>
    <row r="31" spans="1:14" s="83" customFormat="1">
      <c r="A31" s="51">
        <f>A29-1</f>
        <v>-10</v>
      </c>
      <c r="B31" s="89" t="s">
        <v>178</v>
      </c>
      <c r="C31" s="319"/>
      <c r="D31" s="319"/>
      <c r="E31" s="319"/>
      <c r="F31" s="319"/>
      <c r="G31" s="85">
        <v>0</v>
      </c>
      <c r="H31" s="85">
        <v>0</v>
      </c>
      <c r="I31" s="85">
        <v>0</v>
      </c>
      <c r="J31" s="364">
        <f>'Rockport Savings-Offset'!E31</f>
        <v>18045495.808577597</v>
      </c>
      <c r="K31" s="230"/>
      <c r="L31" s="230"/>
    </row>
    <row r="32" spans="1:14" s="83" customFormat="1">
      <c r="A32" s="51"/>
      <c r="B32" s="89"/>
      <c r="C32" s="319"/>
      <c r="D32" s="319"/>
      <c r="E32" s="319"/>
      <c r="F32" s="319"/>
      <c r="G32" s="85"/>
      <c r="H32" s="85"/>
      <c r="I32" s="85"/>
      <c r="J32" s="85"/>
      <c r="K32" s="230"/>
    </row>
    <row r="33" spans="1:18" s="83" customFormat="1">
      <c r="A33" s="51">
        <f>A31-1</f>
        <v>-11</v>
      </c>
      <c r="B33" s="89" t="s">
        <v>179</v>
      </c>
      <c r="C33" s="319"/>
      <c r="D33" s="319"/>
      <c r="E33" s="319"/>
      <c r="F33" s="319"/>
      <c r="G33" s="85">
        <f>G23+G25+G27+G29+G31</f>
        <v>21483082.527456805</v>
      </c>
      <c r="H33" s="85">
        <f>H23+H25+H27+H29+H31</f>
        <v>48688993.298740692</v>
      </c>
      <c r="I33" s="85">
        <f>I23+I25+I27+I29+I31</f>
        <v>5253941.6067185309</v>
      </c>
      <c r="J33" s="85">
        <f>J23+J25+J27+J29+J31</f>
        <v>23299437.41529613</v>
      </c>
      <c r="P33" s="88"/>
    </row>
    <row r="34" spans="1:18" s="83" customFormat="1" ht="14.1" customHeight="1">
      <c r="A34" s="51"/>
      <c r="B34" s="89"/>
      <c r="C34" s="319"/>
      <c r="D34" s="319"/>
      <c r="E34" s="319"/>
      <c r="F34" s="319"/>
      <c r="G34" s="85"/>
      <c r="H34" s="85"/>
      <c r="I34" s="85"/>
      <c r="J34" s="85"/>
    </row>
    <row r="35" spans="1:18" s="83" customFormat="1">
      <c r="A35" s="51">
        <f>A33-1</f>
        <v>-12</v>
      </c>
      <c r="B35" s="46" t="s">
        <v>299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I35" s="85">
        <f>H35</f>
        <v>18863907.822324447</v>
      </c>
      <c r="J35" s="85">
        <f>H35</f>
        <v>18863907.822324447</v>
      </c>
      <c r="K35" s="46"/>
    </row>
    <row r="36" spans="1:18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I36" s="85"/>
      <c r="J36" s="85"/>
      <c r="K36" s="46"/>
      <c r="O36" s="90"/>
    </row>
    <row r="37" spans="1:18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30">
        <f>'Ln 5 and Ln 13'!D26</f>
        <v>19893023.742427956</v>
      </c>
      <c r="H37" s="330">
        <f>G37</f>
        <v>19893023.742427956</v>
      </c>
      <c r="I37" s="330">
        <f>H37</f>
        <v>19893023.742427956</v>
      </c>
      <c r="J37" s="330">
        <f>H37</f>
        <v>19893023.742427956</v>
      </c>
      <c r="K37" s="46"/>
      <c r="L37" s="46"/>
      <c r="O37" s="88"/>
    </row>
    <row r="38" spans="1:18" s="83" customFormat="1" ht="18.600000000000001" customHeight="1">
      <c r="A38" s="51"/>
      <c r="B38" s="46"/>
      <c r="C38" s="46"/>
      <c r="D38" s="46"/>
      <c r="E38" s="46"/>
      <c r="F38" s="46"/>
      <c r="G38" s="85"/>
      <c r="H38" s="85"/>
      <c r="I38" s="85"/>
      <c r="J38" s="85"/>
      <c r="K38" s="46"/>
      <c r="L38" s="46"/>
      <c r="O38" s="90"/>
      <c r="R38" s="90"/>
    </row>
    <row r="39" spans="1:18" s="83" customFormat="1" ht="13.5" thickBot="1">
      <c r="A39" s="51">
        <f>A37-1</f>
        <v>-14</v>
      </c>
      <c r="B39" s="46" t="s">
        <v>251</v>
      </c>
      <c r="C39" s="46"/>
      <c r="D39" s="46"/>
      <c r="E39" s="46"/>
      <c r="F39" s="46"/>
      <c r="G39" s="331">
        <f>G33-G35+G37</f>
        <v>22512198.447560314</v>
      </c>
      <c r="H39" s="331">
        <f>H33-H35+H37</f>
        <v>49718109.218844205</v>
      </c>
      <c r="I39" s="331">
        <f>I33-I35+I37</f>
        <v>6283057.5268220399</v>
      </c>
      <c r="J39" s="331">
        <f>J33-J35+J37</f>
        <v>24328553.335399639</v>
      </c>
      <c r="K39" s="46"/>
      <c r="L39" s="46"/>
    </row>
    <row r="40" spans="1:18" ht="13.5" thickTop="1">
      <c r="H40" s="83"/>
      <c r="I40" s="83"/>
      <c r="J40" s="83"/>
      <c r="K40" s="83"/>
      <c r="L40" s="83"/>
    </row>
    <row r="41" spans="1:18">
      <c r="H41" s="83"/>
      <c r="I41" s="83"/>
      <c r="J41" s="83"/>
      <c r="K41" s="83"/>
      <c r="L41" s="83"/>
    </row>
    <row r="42" spans="1:18">
      <c r="E42" s="45" t="s">
        <v>8</v>
      </c>
      <c r="F42" s="46" t="s">
        <v>3</v>
      </c>
      <c r="G42" s="332">
        <f>G39*'PPA Form 3.0'!$C$38</f>
        <v>21655254.002819661</v>
      </c>
      <c r="H42" s="332">
        <f>H39*'PPA Form 3.0'!$C$38</f>
        <v>47825550.497964822</v>
      </c>
      <c r="I42" s="332">
        <f>I39*'PPA Form 3.0'!$C$38</f>
        <v>6043888.0269556427</v>
      </c>
      <c r="J42" s="332">
        <f>J39*'PPA Form 3.0'!$C$38</f>
        <v>23402467.920955952</v>
      </c>
    </row>
    <row r="43" spans="1:18">
      <c r="D43" s="91"/>
      <c r="E43" s="45" t="s">
        <v>9</v>
      </c>
      <c r="F43" s="46" t="s">
        <v>5</v>
      </c>
      <c r="G43" s="333">
        <f>G39*'PPA Form 3.0'!$C$39</f>
        <v>856944.44474065572</v>
      </c>
      <c r="H43" s="333">
        <f>H39*'PPA Form 3.0'!$C$39</f>
        <v>1892558.7208793894</v>
      </c>
      <c r="I43" s="333">
        <f>I39*'PPA Form 3.0'!$C$39</f>
        <v>239169.49986639837</v>
      </c>
      <c r="J43" s="333">
        <f>J39*'PPA Form 3.0'!$C$39</f>
        <v>926085.41444368917</v>
      </c>
    </row>
    <row r="44" spans="1:18">
      <c r="G44" s="53">
        <f>SUM(G42:G43)</f>
        <v>22512198.447560318</v>
      </c>
      <c r="H44" s="53">
        <f>SUM(H42:H43)</f>
        <v>49718109.218844213</v>
      </c>
      <c r="I44" s="53">
        <f>SUM(I42:I43)</f>
        <v>6283057.5268220408</v>
      </c>
      <c r="J44" s="53">
        <f>SUM(J42:J43)</f>
        <v>24328553.335399643</v>
      </c>
      <c r="L44" s="53"/>
    </row>
    <row r="45" spans="1:18">
      <c r="D45" s="93"/>
      <c r="E45" s="91"/>
    </row>
    <row r="46" spans="1:18">
      <c r="D46" s="93"/>
      <c r="E46" s="91"/>
    </row>
    <row r="47" spans="1:18">
      <c r="E47" s="93"/>
    </row>
    <row r="48" spans="1:18">
      <c r="A48" s="322"/>
      <c r="B48" s="323"/>
      <c r="C48" s="323"/>
      <c r="D48" s="324"/>
      <c r="E48" s="324"/>
      <c r="F48" s="323"/>
      <c r="G48" s="325"/>
      <c r="H48" s="323"/>
      <c r="I48" s="323"/>
      <c r="J48" s="323"/>
      <c r="K48" s="323"/>
    </row>
    <row r="49" spans="1:11">
      <c r="A49" s="51">
        <f>A35</f>
        <v>-12</v>
      </c>
      <c r="B49" s="89" t="s">
        <v>298</v>
      </c>
      <c r="G49" s="85"/>
      <c r="H49" s="85"/>
      <c r="I49" s="85"/>
      <c r="K49" s="323"/>
    </row>
    <row r="50" spans="1:11">
      <c r="A50" s="51" t="s">
        <v>45</v>
      </c>
      <c r="G50" s="85"/>
      <c r="H50" s="85"/>
      <c r="I50" s="85"/>
      <c r="K50" s="323"/>
    </row>
    <row r="51" spans="1:11">
      <c r="A51" s="51">
        <f>A49-1</f>
        <v>-13</v>
      </c>
      <c r="B51" s="46" t="s">
        <v>320</v>
      </c>
      <c r="G51" s="330">
        <f>'PPA Form 3.0a'!O58-52093669.94</f>
        <v>1.5607848763465881E-3</v>
      </c>
      <c r="H51" s="330">
        <f>G51</f>
        <v>1.5607848763465881E-3</v>
      </c>
      <c r="I51" s="330">
        <f>H51</f>
        <v>1.5607848763465881E-3</v>
      </c>
      <c r="J51" s="330">
        <f>H51</f>
        <v>1.5607848763465881E-3</v>
      </c>
      <c r="K51" s="323"/>
    </row>
    <row r="52" spans="1:11">
      <c r="A52" s="51"/>
      <c r="G52" s="85"/>
      <c r="H52" s="85"/>
      <c r="I52" s="85"/>
      <c r="J52" s="85"/>
      <c r="K52" s="323"/>
    </row>
    <row r="53" spans="1:11" ht="13.5" thickBot="1">
      <c r="A53" s="51">
        <f>A51-1</f>
        <v>-14</v>
      </c>
      <c r="B53" s="46" t="s">
        <v>251</v>
      </c>
      <c r="G53" s="331">
        <f>G33-G49+G51</f>
        <v>21483082.52901759</v>
      </c>
      <c r="H53" s="331">
        <f>H33-H49+H51</f>
        <v>48688993.300301477</v>
      </c>
      <c r="I53" s="331">
        <f>I33-I49+I51</f>
        <v>5253941.6082793158</v>
      </c>
      <c r="J53" s="331">
        <f>J33-J49+J51</f>
        <v>23299437.416856915</v>
      </c>
      <c r="K53" s="323"/>
    </row>
    <row r="54" spans="1:11" ht="13.5" thickTop="1">
      <c r="A54" s="322"/>
      <c r="B54" s="323"/>
      <c r="C54" s="323"/>
      <c r="D54" s="326"/>
      <c r="E54" s="323"/>
      <c r="F54" s="327"/>
      <c r="G54" s="328"/>
      <c r="H54" s="323"/>
      <c r="I54" s="323"/>
      <c r="J54" s="323"/>
      <c r="K54" s="323"/>
    </row>
    <row r="55" spans="1:11">
      <c r="D55" s="94"/>
      <c r="F55" s="95"/>
      <c r="G55" s="96"/>
    </row>
    <row r="56" spans="1:11">
      <c r="D56" s="94"/>
      <c r="F56" s="95"/>
      <c r="G56" s="96"/>
    </row>
    <row r="57" spans="1:11">
      <c r="D57" s="94"/>
      <c r="E57" s="45" t="s">
        <v>8</v>
      </c>
      <c r="F57" s="46" t="s">
        <v>3</v>
      </c>
      <c r="G57" s="332">
        <f>G53*'PPA Form 3.0'!$C$38</f>
        <v>20665312.186772685</v>
      </c>
      <c r="H57" s="332">
        <f>H53*'PPA Form 3.0'!$C$38</f>
        <v>46835608.681917846</v>
      </c>
      <c r="I57" s="332">
        <f>I53*'PPA Form 3.0'!$C$38</f>
        <v>5053946.2109086672</v>
      </c>
      <c r="J57" s="332">
        <f>J53*'PPA Form 3.0'!$C$38</f>
        <v>22412526.104908977</v>
      </c>
    </row>
    <row r="58" spans="1:11">
      <c r="D58" s="94"/>
      <c r="E58" s="45" t="s">
        <v>9</v>
      </c>
      <c r="F58" s="46" t="s">
        <v>5</v>
      </c>
      <c r="G58" s="333">
        <f>G53*'PPA Form 3.0'!$C$39</f>
        <v>817770.34224490693</v>
      </c>
      <c r="H58" s="333">
        <f>H53*'PPA Form 3.0'!$C$39</f>
        <v>1853384.6183836404</v>
      </c>
      <c r="I58" s="333">
        <f>I53*'PPA Form 3.0'!$C$39</f>
        <v>199995.39737064959</v>
      </c>
      <c r="J58" s="333">
        <f>J53*'PPA Form 3.0'!$C$39</f>
        <v>886911.31194794038</v>
      </c>
    </row>
    <row r="59" spans="1:11">
      <c r="D59" s="94"/>
      <c r="G59" s="53">
        <f>SUM(G57:G58)</f>
        <v>21483082.529017594</v>
      </c>
      <c r="H59" s="53">
        <f>SUM(H57:H58)</f>
        <v>48688993.300301485</v>
      </c>
      <c r="I59" s="53">
        <f>SUM(I57:I58)</f>
        <v>5253941.6082793167</v>
      </c>
      <c r="J59" s="53">
        <f>SUM(J57:J58)</f>
        <v>23299437.416856918</v>
      </c>
      <c r="K59" s="53"/>
    </row>
    <row r="60" spans="1:11">
      <c r="D60" s="94"/>
      <c r="F60" s="95"/>
      <c r="G60" s="96"/>
    </row>
    <row r="61" spans="1:11">
      <c r="D61" s="94"/>
      <c r="F61" s="95"/>
      <c r="G61" s="96"/>
    </row>
    <row r="65" spans="1:6">
      <c r="A65" s="376" t="s">
        <v>186</v>
      </c>
      <c r="B65" s="367" t="s">
        <v>327</v>
      </c>
      <c r="C65" s="367"/>
      <c r="D65" s="367"/>
      <c r="E65" s="367"/>
      <c r="F65" s="367"/>
    </row>
    <row r="66" spans="1:6">
      <c r="A66" s="377" t="s">
        <v>58</v>
      </c>
      <c r="B66" s="370" t="s">
        <v>328</v>
      </c>
      <c r="C66" s="370"/>
      <c r="D66" s="370"/>
      <c r="E66" s="370"/>
      <c r="F66" s="370"/>
    </row>
  </sheetData>
  <customSheetViews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  <ignoredErrors>
    <ignoredError sqref="I11:I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zoomScaleNormal="100" workbookViewId="0">
      <selection activeCell="B111" sqref="B111"/>
    </sheetView>
  </sheetViews>
  <sheetFormatPr defaultColWidth="9.140625" defaultRowHeight="12.75"/>
  <cols>
    <col min="1" max="1" width="9.5703125" style="31" customWidth="1"/>
    <col min="2" max="2" width="66.85546875" style="31" customWidth="1"/>
    <col min="3" max="3" width="18" style="31" customWidth="1"/>
    <col min="4" max="4" width="9.140625" style="31"/>
    <col min="5" max="5" width="31.140625" style="31" bestFit="1" customWidth="1"/>
    <col min="6" max="16384" width="9.140625" style="31"/>
  </cols>
  <sheetData>
    <row r="1" spans="1:5">
      <c r="A1" s="37" t="s">
        <v>113</v>
      </c>
    </row>
    <row r="3" spans="1:5" ht="13.5" hidden="1">
      <c r="B3" s="388"/>
      <c r="C3" s="388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278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188</v>
      </c>
      <c r="C11" s="74">
        <v>7.0486908012783164E-2</v>
      </c>
      <c r="E11" s="31" t="s">
        <v>278</v>
      </c>
    </row>
    <row r="12" spans="1:5" ht="14.45" hidden="1" customHeight="1">
      <c r="A12" s="31" t="s">
        <v>129</v>
      </c>
      <c r="B12" s="75" t="s">
        <v>187</v>
      </c>
      <c r="C12" s="76">
        <v>6.7572499999999994E-2</v>
      </c>
      <c r="E12" s="31" t="s">
        <v>279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280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240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188</v>
      </c>
      <c r="C29" s="74">
        <v>7.2097999999999995E-2</v>
      </c>
      <c r="E29" s="31" t="s">
        <v>240</v>
      </c>
    </row>
    <row r="30" spans="1:8" hidden="1">
      <c r="A30" s="31" t="s">
        <v>129</v>
      </c>
      <c r="B30" s="75" t="s">
        <v>187</v>
      </c>
      <c r="C30" s="76">
        <v>6.7572499999999994E-2</v>
      </c>
      <c r="E30" s="31" t="s">
        <v>242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241</v>
      </c>
    </row>
    <row r="35" spans="1:8" ht="13.5" hidden="1">
      <c r="A35" s="79" t="s">
        <v>135</v>
      </c>
      <c r="B35" s="43" t="s">
        <v>249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253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188</v>
      </c>
      <c r="C48" s="74">
        <v>7.1297570000000005E-2</v>
      </c>
      <c r="E48" s="31" t="s">
        <v>253</v>
      </c>
    </row>
    <row r="49" spans="1:8" hidden="1">
      <c r="A49" s="31" t="s">
        <v>129</v>
      </c>
      <c r="B49" s="75" t="s">
        <v>187</v>
      </c>
      <c r="C49" s="76">
        <v>6.7572499999999994E-2</v>
      </c>
      <c r="E49" s="31" t="s">
        <v>242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254</v>
      </c>
    </row>
    <row r="54" spans="1:8" ht="13.5" hidden="1">
      <c r="A54" s="79" t="s">
        <v>135</v>
      </c>
      <c r="B54" s="43" t="s">
        <v>255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259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260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261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188</v>
      </c>
      <c r="C68" s="74">
        <v>6.7616723895354336E-2</v>
      </c>
      <c r="E68" s="31" t="s">
        <v>259</v>
      </c>
    </row>
    <row r="69" spans="1:8" hidden="1">
      <c r="A69" s="31" t="s">
        <v>129</v>
      </c>
      <c r="B69" s="75" t="s">
        <v>262</v>
      </c>
      <c r="C69" s="76">
        <v>6.283582141416949E-2</v>
      </c>
      <c r="E69" s="31" t="s">
        <v>259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263</v>
      </c>
    </row>
    <row r="74" spans="1:8" ht="13.5" hidden="1">
      <c r="A74" s="79" t="s">
        <v>135</v>
      </c>
      <c r="B74" s="43" t="s">
        <v>271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259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260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261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188</v>
      </c>
      <c r="C88" s="74">
        <v>6.4807046708744667E-2</v>
      </c>
      <c r="E88" s="31" t="s">
        <v>283</v>
      </c>
    </row>
    <row r="89" spans="1:5">
      <c r="A89" s="31" t="s">
        <v>129</v>
      </c>
      <c r="B89" s="75" t="s">
        <v>262</v>
      </c>
      <c r="C89" s="76">
        <v>6.283582141416949E-2</v>
      </c>
      <c r="E89" s="31" t="s">
        <v>283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284</v>
      </c>
    </row>
    <row r="94" spans="1:5" ht="13.5">
      <c r="A94" s="79" t="s">
        <v>135</v>
      </c>
      <c r="B94" s="43" t="s">
        <v>271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259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260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261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188</v>
      </c>
      <c r="C108" s="74">
        <v>6.4807046708744667E-2</v>
      </c>
      <c r="E108" s="31" t="s">
        <v>283</v>
      </c>
    </row>
    <row r="109" spans="1:8">
      <c r="A109" s="31" t="s">
        <v>129</v>
      </c>
      <c r="B109" s="75" t="s">
        <v>262</v>
      </c>
      <c r="C109" s="76">
        <v>6.283582141416949E-2</v>
      </c>
      <c r="E109" s="31" t="s">
        <v>283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284</v>
      </c>
    </row>
    <row r="114" spans="1:5" ht="13.5">
      <c r="A114" s="79" t="s">
        <v>135</v>
      </c>
      <c r="B114" s="43" t="s">
        <v>271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sqref="A1:XFD1048576"/>
    </sheetView>
  </sheetViews>
  <sheetFormatPr defaultColWidth="9.140625" defaultRowHeight="12.75"/>
  <cols>
    <col min="1" max="1" width="10.7109375" style="46" customWidth="1"/>
    <col min="2" max="2" width="5.140625" style="46" customWidth="1"/>
    <col min="3" max="3" width="17.28515625" style="46" customWidth="1"/>
    <col min="4" max="4" width="15" style="46" bestFit="1" customWidth="1"/>
    <col min="5" max="5" width="18.85546875" style="46" bestFit="1" customWidth="1"/>
    <col min="6" max="6" width="2.7109375" style="46" customWidth="1"/>
    <col min="7" max="7" width="12.28515625" style="46" bestFit="1" customWidth="1"/>
    <col min="8" max="8" width="11.140625" style="46" bestFit="1" customWidth="1"/>
    <col min="9" max="10" width="12.7109375" style="46" bestFit="1" customWidth="1"/>
    <col min="11" max="16384" width="9.140625" style="46"/>
  </cols>
  <sheetData>
    <row r="1" spans="1:10">
      <c r="A1" s="389" t="s">
        <v>42</v>
      </c>
      <c r="B1" s="389"/>
      <c r="C1" s="389"/>
      <c r="D1" s="389"/>
    </row>
    <row r="2" spans="1:10">
      <c r="A2" s="389" t="s">
        <v>307</v>
      </c>
      <c r="B2" s="389"/>
      <c r="C2" s="389"/>
      <c r="D2" s="389"/>
    </row>
    <row r="3" spans="1:10">
      <c r="A3" s="389" t="s">
        <v>233</v>
      </c>
      <c r="B3" s="389"/>
      <c r="C3" s="389"/>
      <c r="D3" s="389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274</v>
      </c>
      <c r="D5" s="36" t="s">
        <v>281</v>
      </c>
    </row>
    <row r="6" spans="1:10">
      <c r="A6" s="127" t="s">
        <v>36</v>
      </c>
      <c r="B6" s="126"/>
      <c r="C6" s="127">
        <v>1786715414</v>
      </c>
      <c r="D6" s="127" t="s">
        <v>282</v>
      </c>
      <c r="E6" s="53"/>
    </row>
    <row r="7" spans="1:10">
      <c r="A7" s="127" t="s">
        <v>93</v>
      </c>
      <c r="B7" s="126"/>
      <c r="C7" s="127">
        <v>592021597</v>
      </c>
      <c r="D7" s="127" t="s">
        <v>282</v>
      </c>
      <c r="E7" s="53"/>
      <c r="G7" s="47"/>
      <c r="H7" s="47"/>
      <c r="I7" s="47"/>
      <c r="J7" s="47"/>
    </row>
    <row r="8" spans="1:10" ht="14.4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45" customHeight="1">
      <c r="A9" s="127" t="s">
        <v>38</v>
      </c>
      <c r="B9" s="126"/>
      <c r="C9" s="127">
        <v>1664374</v>
      </c>
      <c r="D9" s="127" t="s">
        <v>282</v>
      </c>
      <c r="E9" s="53"/>
      <c r="G9" s="128"/>
      <c r="H9" s="128"/>
      <c r="I9" s="128"/>
      <c r="J9" s="128"/>
    </row>
    <row r="10" spans="1:10" ht="14.4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45" customHeight="1">
      <c r="A11" s="127" t="s">
        <v>39</v>
      </c>
      <c r="B11" s="126"/>
      <c r="C11" s="127">
        <v>1725981</v>
      </c>
      <c r="D11" s="127" t="s">
        <v>282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282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282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4EF176FC-448F-4BD8-8859-C810312E84E7}" fitToPage="1">
      <selection activeCell="N33" sqref="N33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6" activePane="bottomLeft" state="frozen"/>
      <selection pane="bottomLeft" activeCell="S50" sqref="S50"/>
    </sheetView>
  </sheetViews>
  <sheetFormatPr defaultColWidth="8.85546875" defaultRowHeight="12.75"/>
  <cols>
    <col min="1" max="1" width="10.7109375" style="241" customWidth="1"/>
    <col min="2" max="2" width="5" style="242" bestFit="1" customWidth="1"/>
    <col min="3" max="3" width="0.28515625" style="241" customWidth="1"/>
    <col min="4" max="4" width="12.7109375" style="241" customWidth="1"/>
    <col min="5" max="5" width="0.28515625" style="241" customWidth="1"/>
    <col min="6" max="6" width="15.7109375" style="241" customWidth="1"/>
    <col min="7" max="7" width="0.28515625" style="241" customWidth="1"/>
    <col min="8" max="8" width="12.85546875" style="241" customWidth="1"/>
    <col min="9" max="9" width="0.28515625" style="241" customWidth="1"/>
    <col min="10" max="10" width="12.7109375" style="241" customWidth="1"/>
    <col min="11" max="11" width="3.7109375" style="241" customWidth="1"/>
    <col min="12" max="12" width="0.28515625" style="241" customWidth="1"/>
    <col min="13" max="13" width="12.7109375" style="241" customWidth="1"/>
    <col min="14" max="14" width="0.28515625" style="241" customWidth="1"/>
    <col min="15" max="15" width="9.7109375" style="241" customWidth="1"/>
    <col min="16" max="16" width="0.28515625" style="241" customWidth="1"/>
    <col min="17" max="17" width="3.7109375" style="241" customWidth="1"/>
    <col min="18" max="18" width="0.28515625" style="241" customWidth="1"/>
    <col min="19" max="19" width="12" style="241" bestFit="1" customWidth="1"/>
    <col min="20" max="20" width="2.28515625" style="241" customWidth="1"/>
    <col min="21" max="16384" width="8.85546875" style="241"/>
  </cols>
  <sheetData>
    <row r="1" spans="2:20" ht="15" customHeight="1">
      <c r="B1" s="390" t="s">
        <v>71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2:20" ht="14.45" customHeight="1">
      <c r="B2" s="391" t="s">
        <v>107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4" spans="2:20">
      <c r="J4" s="242" t="s">
        <v>45</v>
      </c>
    </row>
    <row r="5" spans="2:20" ht="13.5" thickBot="1"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2:20" ht="30" customHeight="1" thickBot="1">
      <c r="B6" s="245" t="s">
        <v>46</v>
      </c>
      <c r="C6" s="246"/>
      <c r="D6" s="247" t="s">
        <v>47</v>
      </c>
      <c r="E6" s="248"/>
      <c r="F6" s="249" t="s">
        <v>48</v>
      </c>
      <c r="G6" s="248"/>
      <c r="H6" s="249" t="s">
        <v>49</v>
      </c>
      <c r="I6" s="248"/>
      <c r="J6" s="249" t="s">
        <v>50</v>
      </c>
      <c r="K6" s="250"/>
      <c r="L6" s="248"/>
      <c r="M6" s="249" t="s">
        <v>51</v>
      </c>
      <c r="N6" s="251"/>
      <c r="O6" s="252" t="s">
        <v>52</v>
      </c>
      <c r="P6" s="252"/>
      <c r="Q6" s="251"/>
      <c r="R6" s="251"/>
      <c r="S6" s="253" t="s">
        <v>53</v>
      </c>
      <c r="T6" s="254"/>
    </row>
    <row r="7" spans="2:20" ht="30" customHeight="1" thickBot="1">
      <c r="B7" s="255"/>
      <c r="C7" s="256"/>
      <c r="D7" s="257"/>
      <c r="E7" s="256"/>
      <c r="F7" s="258" t="s">
        <v>98</v>
      </c>
      <c r="G7" s="256"/>
      <c r="H7" s="257"/>
      <c r="I7" s="256"/>
      <c r="J7" s="257"/>
      <c r="K7" s="259"/>
      <c r="L7" s="256"/>
      <c r="M7" s="257"/>
      <c r="N7" s="260"/>
      <c r="O7" s="261"/>
      <c r="P7" s="261"/>
      <c r="Q7" s="260"/>
      <c r="R7" s="260"/>
      <c r="S7" s="262"/>
      <c r="T7" s="254"/>
    </row>
    <row r="8" spans="2:20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5"/>
      <c r="L8" s="264"/>
      <c r="M8" s="264"/>
      <c r="N8" s="264"/>
      <c r="O8" s="264"/>
      <c r="P8" s="264"/>
      <c r="Q8" s="264"/>
      <c r="R8" s="264"/>
      <c r="S8" s="266"/>
      <c r="T8" s="244"/>
    </row>
    <row r="9" spans="2:20" ht="15" customHeight="1">
      <c r="B9" s="267">
        <v>1</v>
      </c>
      <c r="C9" s="260"/>
      <c r="D9" s="260" t="s">
        <v>54</v>
      </c>
      <c r="E9" s="260"/>
      <c r="F9" s="268">
        <v>648913758</v>
      </c>
      <c r="G9" s="260"/>
      <c r="H9" s="269">
        <f>ROUND(F9/$F$14,4)-0.01</f>
        <v>0.53449999999999998</v>
      </c>
      <c r="I9" s="260"/>
      <c r="J9" s="270">
        <v>4.36E-2</v>
      </c>
      <c r="K9" s="271"/>
      <c r="L9" s="260"/>
      <c r="M9" s="269">
        <f>ROUND(H9*J9,4)</f>
        <v>2.3300000000000001E-2</v>
      </c>
      <c r="N9" s="260"/>
      <c r="O9" s="272">
        <f>O38</f>
        <v>1.005425</v>
      </c>
      <c r="P9" s="260"/>
      <c r="Q9" s="273"/>
      <c r="R9" s="260"/>
      <c r="S9" s="274">
        <f>ROUND(M9*O9,6)</f>
        <v>2.3425999999999999E-2</v>
      </c>
      <c r="T9" s="275"/>
    </row>
    <row r="10" spans="2:20" ht="15">
      <c r="B10" s="267">
        <f>+B9+1</f>
        <v>2</v>
      </c>
      <c r="C10" s="260"/>
      <c r="D10" s="260" t="s">
        <v>55</v>
      </c>
      <c r="E10" s="260"/>
      <c r="F10" s="268">
        <v>0</v>
      </c>
      <c r="G10" s="260"/>
      <c r="H10" s="269">
        <v>3.2000000000000001E-2</v>
      </c>
      <c r="I10" s="260"/>
      <c r="J10" s="270">
        <v>1.2500000000000001E-2</v>
      </c>
      <c r="K10" s="271"/>
      <c r="L10" s="260"/>
      <c r="M10" s="269">
        <f>ROUND(H10*J10,4)</f>
        <v>4.0000000000000002E-4</v>
      </c>
      <c r="N10" s="260"/>
      <c r="O10" s="272">
        <f>O38</f>
        <v>1.005425</v>
      </c>
      <c r="P10" s="260"/>
      <c r="Q10" s="260"/>
      <c r="R10" s="260"/>
      <c r="S10" s="274">
        <f>ROUND(M10*O10,6)</f>
        <v>4.0200000000000001E-4</v>
      </c>
      <c r="T10" s="275"/>
    </row>
    <row r="11" spans="2:20" ht="33" customHeight="1">
      <c r="B11" s="267">
        <f>+B10+1</f>
        <v>3</v>
      </c>
      <c r="C11" s="260"/>
      <c r="D11" s="256" t="s">
        <v>56</v>
      </c>
      <c r="E11" s="260"/>
      <c r="F11" s="268">
        <v>46105009</v>
      </c>
      <c r="G11" s="260"/>
      <c r="H11" s="269">
        <v>1.67E-2</v>
      </c>
      <c r="I11" s="260"/>
      <c r="J11" s="270">
        <v>1.95E-2</v>
      </c>
      <c r="K11" s="271"/>
      <c r="L11" s="260"/>
      <c r="M11" s="269">
        <f>ROUND(H11*J11,4)</f>
        <v>2.9999999999999997E-4</v>
      </c>
      <c r="N11" s="260"/>
      <c r="O11" s="272">
        <f>O38</f>
        <v>1.005425</v>
      </c>
      <c r="P11" s="260"/>
      <c r="Q11" s="260"/>
      <c r="R11" s="260"/>
      <c r="S11" s="274">
        <f>ROUND(M11*O11,6)</f>
        <v>3.0200000000000002E-4</v>
      </c>
      <c r="T11" s="275"/>
    </row>
    <row r="12" spans="2:20" ht="15">
      <c r="B12" s="267">
        <f>+B11+1</f>
        <v>4</v>
      </c>
      <c r="C12" s="260"/>
      <c r="D12" s="260" t="s">
        <v>57</v>
      </c>
      <c r="E12" s="260"/>
      <c r="F12" s="268">
        <v>496766726</v>
      </c>
      <c r="G12" s="260"/>
      <c r="H12" s="269">
        <f>ROUND(F12/$F$14,4)</f>
        <v>0.4168</v>
      </c>
      <c r="I12" s="260"/>
      <c r="J12" s="276">
        <v>9.7000000000000003E-2</v>
      </c>
      <c r="K12" s="277" t="s">
        <v>58</v>
      </c>
      <c r="L12" s="260"/>
      <c r="M12" s="269">
        <f>ROUND(H12*J12,4)</f>
        <v>4.0399999999999998E-2</v>
      </c>
      <c r="N12" s="260"/>
      <c r="O12" s="278">
        <f>S38</f>
        <v>1.3521160000000001</v>
      </c>
      <c r="P12" s="260"/>
      <c r="Q12" s="279"/>
      <c r="R12" s="260"/>
      <c r="S12" s="274">
        <f>ROUND(M12*O12,6)</f>
        <v>5.4625E-2</v>
      </c>
      <c r="T12" s="275"/>
    </row>
    <row r="13" spans="2:20" ht="15">
      <c r="B13" s="267"/>
      <c r="C13" s="260"/>
      <c r="D13" s="260"/>
      <c r="E13" s="260"/>
      <c r="F13" s="268"/>
      <c r="G13" s="260"/>
      <c r="H13" s="280"/>
      <c r="I13" s="260"/>
      <c r="J13" s="281"/>
      <c r="K13" s="271"/>
      <c r="L13" s="260"/>
      <c r="M13" s="280"/>
      <c r="N13" s="260"/>
      <c r="O13" s="261"/>
      <c r="P13" s="260"/>
      <c r="Q13" s="260"/>
      <c r="R13" s="260"/>
      <c r="S13" s="282"/>
      <c r="T13" s="283"/>
    </row>
    <row r="14" spans="2:20" ht="15">
      <c r="B14" s="267">
        <f>+B12+1</f>
        <v>5</v>
      </c>
      <c r="C14" s="260"/>
      <c r="D14" s="260" t="s">
        <v>59</v>
      </c>
      <c r="E14" s="260"/>
      <c r="F14" s="284">
        <f>SUM(F9:F12)</f>
        <v>1191785493</v>
      </c>
      <c r="G14" s="260"/>
      <c r="H14" s="285">
        <f>SUM(H9:H12)</f>
        <v>1</v>
      </c>
      <c r="I14" s="260"/>
      <c r="J14" s="281"/>
      <c r="K14" s="271"/>
      <c r="L14" s="260"/>
      <c r="M14" s="285" t="s">
        <v>45</v>
      </c>
      <c r="N14" s="260"/>
      <c r="O14" s="260"/>
      <c r="P14" s="260"/>
      <c r="Q14" s="260"/>
      <c r="R14" s="260"/>
      <c r="S14" s="286">
        <f>SUM(S9:S13)</f>
        <v>7.8754999999999992E-2</v>
      </c>
      <c r="T14" s="287"/>
    </row>
    <row r="15" spans="2:20" ht="15">
      <c r="B15" s="267"/>
      <c r="C15" s="260"/>
      <c r="D15" s="260"/>
      <c r="E15" s="260"/>
      <c r="F15" s="260"/>
      <c r="G15" s="260"/>
      <c r="H15" s="260"/>
      <c r="I15" s="260"/>
      <c r="J15" s="260"/>
      <c r="K15" s="271"/>
      <c r="L15" s="260"/>
      <c r="M15" s="260"/>
      <c r="N15" s="260"/>
      <c r="O15" s="260"/>
      <c r="P15" s="260"/>
      <c r="Q15" s="260"/>
      <c r="R15" s="260"/>
      <c r="S15" s="288"/>
      <c r="T15" s="244"/>
    </row>
    <row r="16" spans="2:20" ht="15.75" thickBot="1">
      <c r="B16" s="289"/>
      <c r="C16" s="290"/>
      <c r="D16" s="290"/>
      <c r="E16" s="290"/>
      <c r="F16" s="290"/>
      <c r="G16" s="290"/>
      <c r="H16" s="290"/>
      <c r="I16" s="290"/>
      <c r="J16" s="290"/>
      <c r="K16" s="291"/>
      <c r="L16" s="290"/>
      <c r="M16" s="290"/>
      <c r="N16" s="290"/>
      <c r="O16" s="290"/>
      <c r="P16" s="290"/>
      <c r="Q16" s="290"/>
      <c r="R16" s="290"/>
      <c r="S16" s="292"/>
      <c r="T16" s="244"/>
    </row>
    <row r="17" spans="2:24" hidden="1">
      <c r="B17" s="29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3"/>
      <c r="Q17" s="244"/>
      <c r="R17" s="244"/>
      <c r="S17" s="294"/>
      <c r="T17" s="244"/>
    </row>
    <row r="18" spans="2:24" ht="12" hidden="1" customHeight="1">
      <c r="B18" s="29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3"/>
      <c r="Q18" s="244"/>
      <c r="R18" s="244"/>
      <c r="S18" s="294"/>
      <c r="T18" s="244"/>
    </row>
    <row r="19" spans="2:24" ht="12" customHeight="1"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3"/>
      <c r="Q19" s="244"/>
      <c r="R19" s="244"/>
      <c r="S19" s="244"/>
      <c r="T19" s="244"/>
    </row>
    <row r="20" spans="2:24" ht="12" customHeight="1"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3"/>
      <c r="Q20" s="244"/>
      <c r="R20" s="244"/>
      <c r="S20" s="244"/>
      <c r="T20" s="244"/>
    </row>
    <row r="21" spans="2:24" ht="12" customHeight="1"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95" t="s">
        <v>60</v>
      </c>
      <c r="P21" s="295"/>
      <c r="S21" s="295" t="s">
        <v>61</v>
      </c>
      <c r="T21" s="244"/>
    </row>
    <row r="22" spans="2:24" ht="15">
      <c r="B22" s="279">
        <v>6</v>
      </c>
      <c r="C22" s="260"/>
      <c r="D22" s="273" t="s">
        <v>62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96">
        <v>100</v>
      </c>
      <c r="P22" s="260"/>
      <c r="Q22" s="260"/>
      <c r="R22" s="260"/>
      <c r="S22" s="297">
        <f>O22</f>
        <v>100</v>
      </c>
      <c r="T22" s="260"/>
      <c r="U22" s="298"/>
    </row>
    <row r="23" spans="2:24" ht="15">
      <c r="B23" s="279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9"/>
      <c r="T23" s="298"/>
      <c r="U23" s="298"/>
    </row>
    <row r="24" spans="2:24" ht="15">
      <c r="B24" s="279">
        <v>7</v>
      </c>
      <c r="C24" s="298"/>
      <c r="D24" s="300" t="s">
        <v>63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301">
        <v>0.34</v>
      </c>
      <c r="P24" s="298"/>
      <c r="Q24" s="298"/>
      <c r="R24" s="298"/>
      <c r="S24" s="299">
        <f>O24</f>
        <v>0.34</v>
      </c>
      <c r="T24" s="298"/>
      <c r="U24" s="298"/>
    </row>
    <row r="25" spans="2:24" ht="15">
      <c r="B25" s="279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9"/>
      <c r="T25" s="298"/>
      <c r="U25" s="298"/>
    </row>
    <row r="26" spans="2:24" ht="15">
      <c r="B26" s="279">
        <v>8</v>
      </c>
      <c r="C26" s="298"/>
      <c r="D26" s="300" t="s">
        <v>64</v>
      </c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>
        <v>0.1996</v>
      </c>
      <c r="P26" s="298"/>
      <c r="Q26" s="298"/>
      <c r="R26" s="298"/>
      <c r="S26" s="299">
        <f>O26</f>
        <v>0.1996</v>
      </c>
      <c r="T26" s="298"/>
      <c r="U26" s="298"/>
    </row>
    <row r="27" spans="2:24" ht="15">
      <c r="B27" s="279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300" t="s">
        <v>45</v>
      </c>
      <c r="P27" s="298"/>
      <c r="Q27" s="298"/>
      <c r="R27" s="298"/>
      <c r="S27" s="299"/>
      <c r="T27" s="298"/>
      <c r="U27" s="298"/>
    </row>
    <row r="28" spans="2:24" ht="15">
      <c r="B28" s="279">
        <v>9</v>
      </c>
      <c r="C28" s="298"/>
      <c r="D28" s="300" t="s">
        <v>65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301">
        <f>O22-O24-O26</f>
        <v>99.460399999999993</v>
      </c>
      <c r="P28" s="298"/>
      <c r="Q28" s="298"/>
      <c r="R28" s="298"/>
      <c r="S28" s="299">
        <f>S22-S24-S26</f>
        <v>99.460399999999993</v>
      </c>
      <c r="T28" s="298"/>
      <c r="U28" s="298"/>
    </row>
    <row r="29" spans="2:24" ht="15">
      <c r="B29" s="279"/>
      <c r="C29" s="298"/>
      <c r="D29" s="300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9"/>
      <c r="T29" s="298"/>
      <c r="U29" s="298"/>
      <c r="X29" s="241" t="s">
        <v>45</v>
      </c>
    </row>
    <row r="30" spans="2:24" ht="15">
      <c r="B30" s="279">
        <v>10</v>
      </c>
      <c r="C30" s="298"/>
      <c r="D30" s="298" t="s">
        <v>66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42"/>
      <c r="P30" s="298"/>
      <c r="Q30" s="298"/>
      <c r="R30" s="298"/>
      <c r="S30" s="299">
        <f>ROUND(S28*0.058742,6)</f>
        <v>5.8425029999999998</v>
      </c>
      <c r="T30" s="298"/>
      <c r="U30" s="298"/>
    </row>
    <row r="31" spans="2:24" ht="15">
      <c r="B31" s="279"/>
      <c r="C31" s="298"/>
      <c r="D31" s="300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302"/>
      <c r="P31" s="298"/>
      <c r="Q31" s="298"/>
      <c r="R31" s="298"/>
      <c r="S31" s="299"/>
      <c r="T31" s="298"/>
      <c r="U31" s="298"/>
    </row>
    <row r="32" spans="2:24" ht="15">
      <c r="B32" s="279">
        <v>11</v>
      </c>
      <c r="C32" s="298"/>
      <c r="D32" s="298" t="s">
        <v>67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302"/>
      <c r="P32" s="298"/>
      <c r="Q32" s="298"/>
      <c r="R32" s="298"/>
      <c r="S32" s="299">
        <f>S28-S30</f>
        <v>93.617896999999999</v>
      </c>
      <c r="T32" s="298"/>
      <c r="U32" s="298"/>
    </row>
    <row r="33" spans="1:21" ht="15">
      <c r="B33" s="279"/>
      <c r="C33" s="298"/>
      <c r="D33" s="300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9"/>
      <c r="T33" s="298"/>
      <c r="U33" s="298"/>
    </row>
    <row r="34" spans="1:21" ht="15">
      <c r="B34" s="279">
        <f>B32+1</f>
        <v>12</v>
      </c>
      <c r="C34" s="298"/>
      <c r="D34" s="298" t="s">
        <v>227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303">
        <f>S32*0.21</f>
        <v>19.659758369999999</v>
      </c>
      <c r="T34" s="298"/>
      <c r="U34" s="298"/>
    </row>
    <row r="35" spans="1:21" ht="15">
      <c r="B35" s="279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9"/>
      <c r="T35" s="298"/>
      <c r="U35" s="298"/>
    </row>
    <row r="36" spans="1:21" ht="15">
      <c r="B36" s="279">
        <f>B34+1</f>
        <v>13</v>
      </c>
      <c r="C36" s="298"/>
      <c r="D36" s="298" t="s">
        <v>68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9">
        <f>S32-S34</f>
        <v>73.958138630000008</v>
      </c>
      <c r="T36" s="298"/>
      <c r="U36" s="298"/>
    </row>
    <row r="37" spans="1:21" ht="15">
      <c r="B37" s="27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304"/>
      <c r="T37" s="298"/>
      <c r="U37" s="298"/>
    </row>
    <row r="38" spans="1:21" ht="15">
      <c r="B38" s="279">
        <f>B36+1</f>
        <v>14</v>
      </c>
      <c r="C38" s="298"/>
      <c r="D38" s="298" t="s">
        <v>69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305">
        <f>ROUND(100/O28,6)</f>
        <v>1.005425</v>
      </c>
      <c r="P38" s="298"/>
      <c r="Q38" s="298"/>
      <c r="R38" s="298"/>
      <c r="S38" s="306">
        <f>ROUND(100/S36,6)</f>
        <v>1.3521160000000001</v>
      </c>
      <c r="T38" s="298"/>
      <c r="U38" s="298"/>
    </row>
    <row r="39" spans="1:21" ht="15">
      <c r="B39" s="279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304"/>
      <c r="T39" s="298"/>
      <c r="U39" s="298"/>
    </row>
    <row r="40" spans="1:21">
      <c r="A40" s="307"/>
      <c r="B40" s="308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10"/>
      <c r="T40" s="298"/>
      <c r="U40" s="298"/>
    </row>
    <row r="41" spans="1:21">
      <c r="A41" s="242" t="s">
        <v>45</v>
      </c>
      <c r="B41" s="302"/>
      <c r="C41" s="298"/>
      <c r="D41" s="241" t="s">
        <v>45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304"/>
      <c r="T41" s="298"/>
      <c r="U41" s="298"/>
    </row>
    <row r="42" spans="1:21" ht="13.5" thickBot="1">
      <c r="A42" s="311" t="s">
        <v>45</v>
      </c>
      <c r="B42" s="312"/>
      <c r="C42" s="260" t="s">
        <v>70</v>
      </c>
      <c r="D42" s="260" t="s">
        <v>45</v>
      </c>
      <c r="E42" s="260"/>
      <c r="F42" s="260"/>
      <c r="G42" s="260"/>
      <c r="O42" s="298"/>
      <c r="P42" s="298"/>
      <c r="Q42" s="298"/>
      <c r="R42" s="298"/>
      <c r="S42" s="298"/>
      <c r="T42" s="298"/>
      <c r="U42" s="298"/>
    </row>
    <row r="43" spans="1:21" ht="26.25" thickBot="1">
      <c r="B43" s="245" t="s">
        <v>46</v>
      </c>
      <c r="C43" s="246"/>
      <c r="D43" s="247" t="s">
        <v>47</v>
      </c>
      <c r="E43" s="248"/>
      <c r="F43" s="249" t="s">
        <v>48</v>
      </c>
      <c r="G43" s="248"/>
      <c r="H43" s="249" t="s">
        <v>49</v>
      </c>
      <c r="I43" s="248"/>
      <c r="J43" s="249" t="s">
        <v>50</v>
      </c>
      <c r="K43" s="250"/>
      <c r="L43" s="248"/>
      <c r="M43" s="249" t="s">
        <v>51</v>
      </c>
      <c r="N43" s="251"/>
      <c r="O43" s="252" t="s">
        <v>52</v>
      </c>
      <c r="P43" s="252"/>
      <c r="Q43" s="251"/>
      <c r="R43" s="251"/>
      <c r="S43" s="253" t="s">
        <v>53</v>
      </c>
      <c r="T43" s="298"/>
      <c r="U43" s="298"/>
    </row>
    <row r="44" spans="1:21" ht="26.25" thickBot="1">
      <c r="B44" s="255"/>
      <c r="C44" s="256"/>
      <c r="D44" s="257"/>
      <c r="E44" s="256"/>
      <c r="F44" s="258" t="s">
        <v>268</v>
      </c>
      <c r="G44" s="256"/>
      <c r="H44" s="257"/>
      <c r="I44" s="256"/>
      <c r="J44" s="257"/>
      <c r="K44" s="259"/>
      <c r="L44" s="256"/>
      <c r="M44" s="257"/>
      <c r="N44" s="260"/>
      <c r="O44" s="261"/>
      <c r="P44" s="261"/>
      <c r="Q44" s="260"/>
      <c r="R44" s="260"/>
      <c r="S44" s="262"/>
      <c r="T44" s="260"/>
      <c r="U44" s="298"/>
    </row>
    <row r="45" spans="1:21">
      <c r="B45" s="263"/>
      <c r="C45" s="264"/>
      <c r="D45" s="264"/>
      <c r="E45" s="264"/>
      <c r="F45" s="264"/>
      <c r="G45" s="264"/>
      <c r="H45" s="264"/>
      <c r="I45" s="264"/>
      <c r="J45" s="264"/>
      <c r="K45" s="265"/>
      <c r="L45" s="264"/>
      <c r="M45" s="264"/>
      <c r="N45" s="264"/>
      <c r="O45" s="264"/>
      <c r="P45" s="264"/>
      <c r="Q45" s="264"/>
      <c r="R45" s="264"/>
      <c r="S45" s="266"/>
      <c r="T45" s="260"/>
      <c r="U45" s="298"/>
    </row>
    <row r="46" spans="1:21" ht="15">
      <c r="B46" s="267">
        <v>1</v>
      </c>
      <c r="C46" s="260"/>
      <c r="D46" s="260" t="s">
        <v>54</v>
      </c>
      <c r="E46" s="260"/>
      <c r="F46" s="268">
        <v>752127351</v>
      </c>
      <c r="G46" s="260"/>
      <c r="H46" s="269">
        <v>0.5373</v>
      </c>
      <c r="I46" s="260"/>
      <c r="J46" s="270">
        <v>3.8899999999999997E-2</v>
      </c>
      <c r="K46" s="271"/>
      <c r="L46" s="260"/>
      <c r="M46" s="269">
        <f>ROUND(H46*J46,4)</f>
        <v>2.0899999999999998E-2</v>
      </c>
      <c r="N46" s="260"/>
      <c r="O46" s="272">
        <f>O75</f>
        <v>1.0060929999999999</v>
      </c>
      <c r="P46" s="260"/>
      <c r="Q46" s="273"/>
      <c r="R46" s="260"/>
      <c r="S46" s="274">
        <f>ROUND(M46*O46,6)</f>
        <v>2.1027000000000001E-2</v>
      </c>
      <c r="T46" s="260"/>
      <c r="U46" s="298"/>
    </row>
    <row r="47" spans="1:21" ht="15">
      <c r="B47" s="267">
        <f>+B46+1</f>
        <v>2</v>
      </c>
      <c r="C47" s="260"/>
      <c r="D47" s="260" t="s">
        <v>55</v>
      </c>
      <c r="E47" s="260"/>
      <c r="F47" s="268">
        <v>0</v>
      </c>
      <c r="G47" s="260"/>
      <c r="H47" s="269">
        <v>0</v>
      </c>
      <c r="I47" s="260"/>
      <c r="J47" s="270">
        <v>2.23E-2</v>
      </c>
      <c r="K47" s="271"/>
      <c r="L47" s="260"/>
      <c r="M47" s="269">
        <f>ROUND(H47*J47,4)</f>
        <v>0</v>
      </c>
      <c r="N47" s="260"/>
      <c r="O47" s="272">
        <f>O75</f>
        <v>1.0060929999999999</v>
      </c>
      <c r="P47" s="260"/>
      <c r="Q47" s="260"/>
      <c r="R47" s="260"/>
      <c r="S47" s="274">
        <f>ROUND(M47*O47,6)</f>
        <v>0</v>
      </c>
      <c r="T47" s="260"/>
      <c r="U47" s="298"/>
    </row>
    <row r="48" spans="1:21" ht="26.25">
      <c r="B48" s="267">
        <f>+B47+1</f>
        <v>3</v>
      </c>
      <c r="C48" s="260"/>
      <c r="D48" s="256" t="s">
        <v>56</v>
      </c>
      <c r="E48" s="260"/>
      <c r="F48" s="268">
        <v>42248832</v>
      </c>
      <c r="G48" s="260"/>
      <c r="H48" s="269">
        <v>3.0200000000000001E-2</v>
      </c>
      <c r="I48" s="260"/>
      <c r="J48" s="270">
        <v>2.8000000000000001E-2</v>
      </c>
      <c r="K48" s="271"/>
      <c r="L48" s="260"/>
      <c r="M48" s="269">
        <f>ROUND(H48*J48,4)</f>
        <v>8.0000000000000004E-4</v>
      </c>
      <c r="N48" s="260"/>
      <c r="O48" s="272">
        <f>O75</f>
        <v>1.0060929999999999</v>
      </c>
      <c r="P48" s="260"/>
      <c r="Q48" s="260"/>
      <c r="R48" s="260"/>
      <c r="S48" s="274">
        <f>ROUND(M48*O48,6)</f>
        <v>8.0500000000000005E-4</v>
      </c>
      <c r="T48" s="260"/>
      <c r="U48" s="298"/>
    </row>
    <row r="49" spans="1:21" ht="15">
      <c r="B49" s="267">
        <f>+B48+1</f>
        <v>4</v>
      </c>
      <c r="C49" s="260"/>
      <c r="D49" s="260" t="s">
        <v>57</v>
      </c>
      <c r="E49" s="260"/>
      <c r="F49" s="268">
        <v>605509950</v>
      </c>
      <c r="G49" s="260"/>
      <c r="H49" s="269">
        <v>0.4325</v>
      </c>
      <c r="I49" s="260"/>
      <c r="J49" s="276">
        <v>9.0999999999999998E-2</v>
      </c>
      <c r="K49" s="277"/>
      <c r="L49" s="260"/>
      <c r="M49" s="269">
        <f>ROUND(H49*J49,4)</f>
        <v>3.9399999999999998E-2</v>
      </c>
      <c r="N49" s="260"/>
      <c r="O49" s="278">
        <f>S75</f>
        <v>1.3527309999999999</v>
      </c>
      <c r="P49" s="260"/>
      <c r="Q49" s="279"/>
      <c r="R49" s="260"/>
      <c r="S49" s="274">
        <f>ROUND(M49*O49,6)</f>
        <v>5.3297999999999998E-2</v>
      </c>
      <c r="T49" s="260"/>
      <c r="U49" s="298"/>
    </row>
    <row r="50" spans="1:21" ht="15">
      <c r="B50" s="267"/>
      <c r="C50" s="260"/>
      <c r="D50" s="260"/>
      <c r="E50" s="260"/>
      <c r="F50" s="268"/>
      <c r="G50" s="260"/>
      <c r="H50" s="280"/>
      <c r="I50" s="260"/>
      <c r="J50" s="281"/>
      <c r="K50" s="271"/>
      <c r="L50" s="260"/>
      <c r="M50" s="280"/>
      <c r="N50" s="260"/>
      <c r="O50" s="261"/>
      <c r="P50" s="260"/>
      <c r="Q50" s="260"/>
      <c r="R50" s="260"/>
      <c r="S50" s="274"/>
      <c r="T50" s="298"/>
      <c r="U50" s="298"/>
    </row>
    <row r="51" spans="1:21" ht="15">
      <c r="B51" s="267">
        <f>+B49+1</f>
        <v>5</v>
      </c>
      <c r="C51" s="260"/>
      <c r="D51" s="260" t="s">
        <v>59</v>
      </c>
      <c r="E51" s="260"/>
      <c r="F51" s="284">
        <f>SUM(F46:F49)</f>
        <v>1399886133</v>
      </c>
      <c r="G51" s="260"/>
      <c r="H51" s="285">
        <f>SUM(H46:H49)</f>
        <v>1</v>
      </c>
      <c r="I51" s="260"/>
      <c r="J51" s="281"/>
      <c r="K51" s="271"/>
      <c r="L51" s="260"/>
      <c r="M51" s="285" t="s">
        <v>45</v>
      </c>
      <c r="N51" s="260"/>
      <c r="O51" s="260"/>
      <c r="P51" s="260"/>
      <c r="Q51" s="260"/>
      <c r="R51" s="260"/>
      <c r="S51" s="313">
        <f>ROUND(SUM(S46:S50),3)</f>
        <v>7.4999999999999997E-2</v>
      </c>
    </row>
    <row r="52" spans="1:21" ht="15">
      <c r="B52" s="267"/>
      <c r="C52" s="260"/>
      <c r="D52" s="260"/>
      <c r="E52" s="260"/>
      <c r="F52" s="260"/>
      <c r="G52" s="260"/>
      <c r="H52" s="260"/>
      <c r="I52" s="260"/>
      <c r="J52" s="260"/>
      <c r="K52" s="271"/>
      <c r="L52" s="260"/>
      <c r="M52" s="260"/>
      <c r="N52" s="260"/>
      <c r="O52" s="260"/>
      <c r="P52" s="260"/>
      <c r="Q52" s="260"/>
      <c r="R52" s="260"/>
      <c r="S52" s="288"/>
    </row>
    <row r="53" spans="1:21" ht="15.75" thickBot="1">
      <c r="B53" s="289"/>
      <c r="C53" s="290"/>
      <c r="D53" s="290"/>
      <c r="E53" s="290"/>
      <c r="F53" s="290"/>
      <c r="G53" s="290"/>
      <c r="H53" s="290"/>
      <c r="I53" s="290"/>
      <c r="J53" s="290"/>
      <c r="K53" s="291"/>
      <c r="L53" s="290"/>
      <c r="M53" s="290"/>
      <c r="N53" s="290"/>
      <c r="O53" s="290"/>
      <c r="P53" s="290"/>
      <c r="Q53" s="290"/>
      <c r="R53" s="290"/>
      <c r="S53" s="292"/>
    </row>
    <row r="54" spans="1:21">
      <c r="A54" s="244"/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3"/>
      <c r="Q54" s="244"/>
      <c r="R54" s="244"/>
      <c r="S54" s="244"/>
      <c r="T54" s="244"/>
      <c r="U54" s="244"/>
    </row>
    <row r="55" spans="1:21">
      <c r="A55" s="244"/>
      <c r="B55" s="243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3"/>
      <c r="Q55" s="244"/>
      <c r="R55" s="244"/>
      <c r="S55" s="244"/>
      <c r="T55" s="244"/>
      <c r="U55" s="244"/>
    </row>
    <row r="56" spans="1:21">
      <c r="A56" s="244"/>
      <c r="B56" s="243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3"/>
      <c r="Q56" s="244"/>
      <c r="R56" s="244"/>
      <c r="S56" s="244"/>
      <c r="T56" s="244"/>
      <c r="U56" s="244"/>
    </row>
    <row r="57" spans="1:21">
      <c r="B57" s="243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3"/>
      <c r="Q57" s="244"/>
      <c r="R57" s="244"/>
      <c r="S57" s="244"/>
    </row>
    <row r="58" spans="1:21"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95" t="s">
        <v>60</v>
      </c>
      <c r="P58" s="295"/>
      <c r="S58" s="295" t="s">
        <v>61</v>
      </c>
    </row>
    <row r="59" spans="1:21" ht="15">
      <c r="B59" s="279">
        <v>6</v>
      </c>
      <c r="C59" s="260"/>
      <c r="D59" s="273" t="s">
        <v>62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96">
        <v>100</v>
      </c>
      <c r="P59" s="260"/>
      <c r="Q59" s="260"/>
      <c r="R59" s="260"/>
      <c r="S59" s="296">
        <f>O59</f>
        <v>100</v>
      </c>
    </row>
    <row r="60" spans="1:21" ht="15">
      <c r="B60" s="279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314"/>
    </row>
    <row r="61" spans="1:21" ht="15">
      <c r="B61" s="279">
        <v>7</v>
      </c>
      <c r="C61" s="298"/>
      <c r="D61" s="300" t="s">
        <v>63</v>
      </c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301">
        <v>0.41</v>
      </c>
      <c r="P61" s="298"/>
      <c r="Q61" s="298"/>
      <c r="R61" s="298"/>
      <c r="S61" s="314">
        <f>O61</f>
        <v>0.41</v>
      </c>
    </row>
    <row r="62" spans="1:21" ht="15">
      <c r="B62" s="279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314"/>
    </row>
    <row r="63" spans="1:21" ht="15">
      <c r="B63" s="279">
        <v>8</v>
      </c>
      <c r="C63" s="298"/>
      <c r="D63" s="300" t="s">
        <v>64</v>
      </c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>
        <v>0.1956</v>
      </c>
      <c r="P63" s="298"/>
      <c r="Q63" s="298"/>
      <c r="R63" s="298"/>
      <c r="S63" s="314">
        <f>O63</f>
        <v>0.1956</v>
      </c>
    </row>
    <row r="64" spans="1:21" ht="15">
      <c r="B64" s="279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300" t="s">
        <v>45</v>
      </c>
      <c r="P64" s="298"/>
      <c r="Q64" s="298"/>
      <c r="R64" s="298"/>
      <c r="S64" s="314"/>
    </row>
    <row r="65" spans="1:19" ht="15">
      <c r="B65" s="279">
        <v>9</v>
      </c>
      <c r="C65" s="298"/>
      <c r="D65" s="300" t="s">
        <v>65</v>
      </c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301">
        <f>O59-O61-O63</f>
        <v>99.394400000000005</v>
      </c>
      <c r="P65" s="298"/>
      <c r="Q65" s="298"/>
      <c r="R65" s="298"/>
      <c r="S65" s="314">
        <f>S59-S61-S63</f>
        <v>99.394400000000005</v>
      </c>
    </row>
    <row r="66" spans="1:19" ht="15">
      <c r="B66" s="279"/>
      <c r="C66" s="298"/>
      <c r="D66" s="300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314"/>
    </row>
    <row r="67" spans="1:19" ht="15">
      <c r="B67" s="279">
        <v>10</v>
      </c>
      <c r="C67" s="298"/>
      <c r="D67" s="298" t="s">
        <v>265</v>
      </c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42"/>
      <c r="P67" s="298"/>
      <c r="Q67" s="298"/>
      <c r="R67" s="298"/>
      <c r="S67" s="314">
        <f>S65*0.058545</f>
        <v>5.8190451479999998</v>
      </c>
    </row>
    <row r="68" spans="1:19" ht="15">
      <c r="B68" s="279"/>
      <c r="C68" s="298"/>
      <c r="D68" s="300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302"/>
      <c r="P68" s="298"/>
      <c r="Q68" s="298"/>
      <c r="R68" s="298"/>
      <c r="S68" s="314"/>
    </row>
    <row r="69" spans="1:19" ht="15">
      <c r="B69" s="279">
        <v>11</v>
      </c>
      <c r="C69" s="298"/>
      <c r="D69" s="298" t="s">
        <v>266</v>
      </c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302"/>
      <c r="P69" s="298"/>
      <c r="Q69" s="298"/>
      <c r="R69" s="298"/>
      <c r="S69" s="314">
        <f>S65-S67</f>
        <v>93.575354852000004</v>
      </c>
    </row>
    <row r="70" spans="1:19" ht="15">
      <c r="B70" s="279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315"/>
    </row>
    <row r="71" spans="1:19" ht="15">
      <c r="B71" s="279">
        <v>12</v>
      </c>
      <c r="C71" s="298"/>
      <c r="D71" s="298" t="s">
        <v>267</v>
      </c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315">
        <f>S69*0.21</f>
        <v>19.65082451892</v>
      </c>
    </row>
    <row r="72" spans="1:19" ht="15">
      <c r="B72" s="279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314"/>
    </row>
    <row r="73" spans="1:19" ht="15">
      <c r="B73" s="279">
        <v>13</v>
      </c>
      <c r="C73" s="298"/>
      <c r="D73" s="298" t="s">
        <v>68</v>
      </c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314">
        <f>S69-S71</f>
        <v>73.92453033308</v>
      </c>
    </row>
    <row r="74" spans="1:19" ht="15">
      <c r="B74" s="279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</row>
    <row r="75" spans="1:19" ht="15">
      <c r="B75" s="279">
        <v>14</v>
      </c>
      <c r="C75" s="298"/>
      <c r="D75" s="298" t="s">
        <v>69</v>
      </c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305">
        <f>ROUND(100/O65,6)</f>
        <v>1.0060929999999999</v>
      </c>
      <c r="P75" s="298"/>
      <c r="Q75" s="298"/>
      <c r="R75" s="298"/>
      <c r="S75" s="298">
        <f>ROUND(100/S73,6)</f>
        <v>1.3527309999999999</v>
      </c>
    </row>
    <row r="80" spans="1:19" ht="33" customHeight="1">
      <c r="A80" s="316" t="s">
        <v>186</v>
      </c>
      <c r="B80" s="302"/>
      <c r="C80" s="298"/>
      <c r="D80" s="392" t="s">
        <v>269</v>
      </c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</row>
  </sheetData>
  <customSheetViews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L64" sqref="L64"/>
    </sheetView>
  </sheetViews>
  <sheetFormatPr defaultRowHeight="15" outlineLevelRow="1"/>
  <cols>
    <col min="1" max="1" width="4.7109375" style="176" bestFit="1" customWidth="1"/>
    <col min="2" max="2" width="24.28515625" style="176" bestFit="1" customWidth="1"/>
    <col min="3" max="3" width="15.140625" style="176" bestFit="1" customWidth="1"/>
    <col min="4" max="4" width="12.28515625" style="176" bestFit="1" customWidth="1"/>
    <col min="5" max="5" width="15.140625" style="176" bestFit="1" customWidth="1"/>
    <col min="6" max="6" width="14.42578125" style="178" bestFit="1" customWidth="1"/>
    <col min="7" max="7" width="10.7109375" style="178" bestFit="1" customWidth="1"/>
    <col min="8" max="8" width="13" style="178" bestFit="1" customWidth="1"/>
    <col min="9" max="9" width="12.42578125" style="178" bestFit="1" customWidth="1"/>
    <col min="10" max="11" width="14.5703125" style="176" bestFit="1" customWidth="1"/>
    <col min="12" max="12" width="12.28515625" style="176" bestFit="1" customWidth="1"/>
    <col min="13" max="13" width="9.85546875" style="176" bestFit="1" customWidth="1"/>
    <col min="14" max="15" width="9.140625" style="176"/>
    <col min="16" max="16" width="23.28515625" style="176" bestFit="1" customWidth="1"/>
    <col min="17" max="19" width="9.140625" style="176"/>
    <col min="20" max="20" width="21.85546875" style="176" bestFit="1" customWidth="1"/>
    <col min="21" max="22" width="9.140625" style="176"/>
    <col min="23" max="23" width="14.28515625" style="176" bestFit="1" customWidth="1"/>
    <col min="24" max="29" width="9.140625" style="176"/>
    <col min="30" max="30" width="14.28515625" style="176" bestFit="1" customWidth="1"/>
    <col min="31" max="256" width="9.140625" style="176"/>
    <col min="257" max="257" width="4.7109375" style="176" bestFit="1" customWidth="1"/>
    <col min="258" max="258" width="24.28515625" style="176" bestFit="1" customWidth="1"/>
    <col min="259" max="259" width="11.85546875" style="176" bestFit="1" customWidth="1"/>
    <col min="260" max="260" width="12.28515625" style="176" bestFit="1" customWidth="1"/>
    <col min="261" max="261" width="12.5703125" style="176" bestFit="1" customWidth="1"/>
    <col min="262" max="262" width="12.28515625" style="176" bestFit="1" customWidth="1"/>
    <col min="263" max="263" width="10.7109375" style="176" bestFit="1" customWidth="1"/>
    <col min="264" max="265" width="12.42578125" style="176" bestFit="1" customWidth="1"/>
    <col min="266" max="266" width="12.140625" style="176" customWidth="1"/>
    <col min="267" max="267" width="14.5703125" style="176" bestFit="1" customWidth="1"/>
    <col min="268" max="268" width="11.85546875" style="176" bestFit="1" customWidth="1"/>
    <col min="269" max="269" width="9.85546875" style="176" bestFit="1" customWidth="1"/>
    <col min="270" max="512" width="9.140625" style="176"/>
    <col min="513" max="513" width="4.7109375" style="176" bestFit="1" customWidth="1"/>
    <col min="514" max="514" width="24.28515625" style="176" bestFit="1" customWidth="1"/>
    <col min="515" max="515" width="11.85546875" style="176" bestFit="1" customWidth="1"/>
    <col min="516" max="516" width="12.28515625" style="176" bestFit="1" customWidth="1"/>
    <col min="517" max="517" width="12.5703125" style="176" bestFit="1" customWidth="1"/>
    <col min="518" max="518" width="12.28515625" style="176" bestFit="1" customWidth="1"/>
    <col min="519" max="519" width="10.7109375" style="176" bestFit="1" customWidth="1"/>
    <col min="520" max="521" width="12.42578125" style="176" bestFit="1" customWidth="1"/>
    <col min="522" max="522" width="12.140625" style="176" customWidth="1"/>
    <col min="523" max="523" width="14.5703125" style="176" bestFit="1" customWidth="1"/>
    <col min="524" max="524" width="11.85546875" style="176" bestFit="1" customWidth="1"/>
    <col min="525" max="525" width="9.85546875" style="176" bestFit="1" customWidth="1"/>
    <col min="526" max="768" width="9.140625" style="176"/>
    <col min="769" max="769" width="4.7109375" style="176" bestFit="1" customWidth="1"/>
    <col min="770" max="770" width="24.28515625" style="176" bestFit="1" customWidth="1"/>
    <col min="771" max="771" width="11.85546875" style="176" bestFit="1" customWidth="1"/>
    <col min="772" max="772" width="12.28515625" style="176" bestFit="1" customWidth="1"/>
    <col min="773" max="773" width="12.5703125" style="176" bestFit="1" customWidth="1"/>
    <col min="774" max="774" width="12.28515625" style="176" bestFit="1" customWidth="1"/>
    <col min="775" max="775" width="10.7109375" style="176" bestFit="1" customWidth="1"/>
    <col min="776" max="777" width="12.42578125" style="176" bestFit="1" customWidth="1"/>
    <col min="778" max="778" width="12.140625" style="176" customWidth="1"/>
    <col min="779" max="779" width="14.5703125" style="176" bestFit="1" customWidth="1"/>
    <col min="780" max="780" width="11.85546875" style="176" bestFit="1" customWidth="1"/>
    <col min="781" max="781" width="9.85546875" style="176" bestFit="1" customWidth="1"/>
    <col min="782" max="1024" width="9.140625" style="176"/>
    <col min="1025" max="1025" width="4.7109375" style="176" bestFit="1" customWidth="1"/>
    <col min="1026" max="1026" width="24.28515625" style="176" bestFit="1" customWidth="1"/>
    <col min="1027" max="1027" width="11.85546875" style="176" bestFit="1" customWidth="1"/>
    <col min="1028" max="1028" width="12.28515625" style="176" bestFit="1" customWidth="1"/>
    <col min="1029" max="1029" width="12.5703125" style="176" bestFit="1" customWidth="1"/>
    <col min="1030" max="1030" width="12.28515625" style="176" bestFit="1" customWidth="1"/>
    <col min="1031" max="1031" width="10.7109375" style="176" bestFit="1" customWidth="1"/>
    <col min="1032" max="1033" width="12.42578125" style="176" bestFit="1" customWidth="1"/>
    <col min="1034" max="1034" width="12.140625" style="176" customWidth="1"/>
    <col min="1035" max="1035" width="14.5703125" style="176" bestFit="1" customWidth="1"/>
    <col min="1036" max="1036" width="11.85546875" style="176" bestFit="1" customWidth="1"/>
    <col min="1037" max="1037" width="9.85546875" style="176" bestFit="1" customWidth="1"/>
    <col min="1038" max="1280" width="9.140625" style="176"/>
    <col min="1281" max="1281" width="4.7109375" style="176" bestFit="1" customWidth="1"/>
    <col min="1282" max="1282" width="24.28515625" style="176" bestFit="1" customWidth="1"/>
    <col min="1283" max="1283" width="11.85546875" style="176" bestFit="1" customWidth="1"/>
    <col min="1284" max="1284" width="12.28515625" style="176" bestFit="1" customWidth="1"/>
    <col min="1285" max="1285" width="12.5703125" style="176" bestFit="1" customWidth="1"/>
    <col min="1286" max="1286" width="12.28515625" style="176" bestFit="1" customWidth="1"/>
    <col min="1287" max="1287" width="10.7109375" style="176" bestFit="1" customWidth="1"/>
    <col min="1288" max="1289" width="12.42578125" style="176" bestFit="1" customWidth="1"/>
    <col min="1290" max="1290" width="12.140625" style="176" customWidth="1"/>
    <col min="1291" max="1291" width="14.5703125" style="176" bestFit="1" customWidth="1"/>
    <col min="1292" max="1292" width="11.85546875" style="176" bestFit="1" customWidth="1"/>
    <col min="1293" max="1293" width="9.85546875" style="176" bestFit="1" customWidth="1"/>
    <col min="1294" max="1536" width="9.140625" style="176"/>
    <col min="1537" max="1537" width="4.7109375" style="176" bestFit="1" customWidth="1"/>
    <col min="1538" max="1538" width="24.28515625" style="176" bestFit="1" customWidth="1"/>
    <col min="1539" max="1539" width="11.85546875" style="176" bestFit="1" customWidth="1"/>
    <col min="1540" max="1540" width="12.28515625" style="176" bestFit="1" customWidth="1"/>
    <col min="1541" max="1541" width="12.5703125" style="176" bestFit="1" customWidth="1"/>
    <col min="1542" max="1542" width="12.28515625" style="176" bestFit="1" customWidth="1"/>
    <col min="1543" max="1543" width="10.7109375" style="176" bestFit="1" customWidth="1"/>
    <col min="1544" max="1545" width="12.42578125" style="176" bestFit="1" customWidth="1"/>
    <col min="1546" max="1546" width="12.140625" style="176" customWidth="1"/>
    <col min="1547" max="1547" width="14.5703125" style="176" bestFit="1" customWidth="1"/>
    <col min="1548" max="1548" width="11.85546875" style="176" bestFit="1" customWidth="1"/>
    <col min="1549" max="1549" width="9.85546875" style="176" bestFit="1" customWidth="1"/>
    <col min="1550" max="1792" width="9.140625" style="176"/>
    <col min="1793" max="1793" width="4.7109375" style="176" bestFit="1" customWidth="1"/>
    <col min="1794" max="1794" width="24.28515625" style="176" bestFit="1" customWidth="1"/>
    <col min="1795" max="1795" width="11.85546875" style="176" bestFit="1" customWidth="1"/>
    <col min="1796" max="1796" width="12.28515625" style="176" bestFit="1" customWidth="1"/>
    <col min="1797" max="1797" width="12.5703125" style="176" bestFit="1" customWidth="1"/>
    <col min="1798" max="1798" width="12.28515625" style="176" bestFit="1" customWidth="1"/>
    <col min="1799" max="1799" width="10.7109375" style="176" bestFit="1" customWidth="1"/>
    <col min="1800" max="1801" width="12.42578125" style="176" bestFit="1" customWidth="1"/>
    <col min="1802" max="1802" width="12.140625" style="176" customWidth="1"/>
    <col min="1803" max="1803" width="14.5703125" style="176" bestFit="1" customWidth="1"/>
    <col min="1804" max="1804" width="11.85546875" style="176" bestFit="1" customWidth="1"/>
    <col min="1805" max="1805" width="9.85546875" style="176" bestFit="1" customWidth="1"/>
    <col min="1806" max="2048" width="9.140625" style="176"/>
    <col min="2049" max="2049" width="4.7109375" style="176" bestFit="1" customWidth="1"/>
    <col min="2050" max="2050" width="24.28515625" style="176" bestFit="1" customWidth="1"/>
    <col min="2051" max="2051" width="11.85546875" style="176" bestFit="1" customWidth="1"/>
    <col min="2052" max="2052" width="12.28515625" style="176" bestFit="1" customWidth="1"/>
    <col min="2053" max="2053" width="12.5703125" style="176" bestFit="1" customWidth="1"/>
    <col min="2054" max="2054" width="12.28515625" style="176" bestFit="1" customWidth="1"/>
    <col min="2055" max="2055" width="10.7109375" style="176" bestFit="1" customWidth="1"/>
    <col min="2056" max="2057" width="12.42578125" style="176" bestFit="1" customWidth="1"/>
    <col min="2058" max="2058" width="12.140625" style="176" customWidth="1"/>
    <col min="2059" max="2059" width="14.5703125" style="176" bestFit="1" customWidth="1"/>
    <col min="2060" max="2060" width="11.85546875" style="176" bestFit="1" customWidth="1"/>
    <col min="2061" max="2061" width="9.85546875" style="176" bestFit="1" customWidth="1"/>
    <col min="2062" max="2304" width="9.140625" style="176"/>
    <col min="2305" max="2305" width="4.7109375" style="176" bestFit="1" customWidth="1"/>
    <col min="2306" max="2306" width="24.28515625" style="176" bestFit="1" customWidth="1"/>
    <col min="2307" max="2307" width="11.85546875" style="176" bestFit="1" customWidth="1"/>
    <col min="2308" max="2308" width="12.28515625" style="176" bestFit="1" customWidth="1"/>
    <col min="2309" max="2309" width="12.5703125" style="176" bestFit="1" customWidth="1"/>
    <col min="2310" max="2310" width="12.28515625" style="176" bestFit="1" customWidth="1"/>
    <col min="2311" max="2311" width="10.7109375" style="176" bestFit="1" customWidth="1"/>
    <col min="2312" max="2313" width="12.42578125" style="176" bestFit="1" customWidth="1"/>
    <col min="2314" max="2314" width="12.140625" style="176" customWidth="1"/>
    <col min="2315" max="2315" width="14.5703125" style="176" bestFit="1" customWidth="1"/>
    <col min="2316" max="2316" width="11.85546875" style="176" bestFit="1" customWidth="1"/>
    <col min="2317" max="2317" width="9.85546875" style="176" bestFit="1" customWidth="1"/>
    <col min="2318" max="2560" width="9.140625" style="176"/>
    <col min="2561" max="2561" width="4.7109375" style="176" bestFit="1" customWidth="1"/>
    <col min="2562" max="2562" width="24.28515625" style="176" bestFit="1" customWidth="1"/>
    <col min="2563" max="2563" width="11.85546875" style="176" bestFit="1" customWidth="1"/>
    <col min="2564" max="2564" width="12.28515625" style="176" bestFit="1" customWidth="1"/>
    <col min="2565" max="2565" width="12.5703125" style="176" bestFit="1" customWidth="1"/>
    <col min="2566" max="2566" width="12.28515625" style="176" bestFit="1" customWidth="1"/>
    <col min="2567" max="2567" width="10.7109375" style="176" bestFit="1" customWidth="1"/>
    <col min="2568" max="2569" width="12.42578125" style="176" bestFit="1" customWidth="1"/>
    <col min="2570" max="2570" width="12.140625" style="176" customWidth="1"/>
    <col min="2571" max="2571" width="14.5703125" style="176" bestFit="1" customWidth="1"/>
    <col min="2572" max="2572" width="11.85546875" style="176" bestFit="1" customWidth="1"/>
    <col min="2573" max="2573" width="9.85546875" style="176" bestFit="1" customWidth="1"/>
    <col min="2574" max="2816" width="9.140625" style="176"/>
    <col min="2817" max="2817" width="4.7109375" style="176" bestFit="1" customWidth="1"/>
    <col min="2818" max="2818" width="24.28515625" style="176" bestFit="1" customWidth="1"/>
    <col min="2819" max="2819" width="11.85546875" style="176" bestFit="1" customWidth="1"/>
    <col min="2820" max="2820" width="12.28515625" style="176" bestFit="1" customWidth="1"/>
    <col min="2821" max="2821" width="12.5703125" style="176" bestFit="1" customWidth="1"/>
    <col min="2822" max="2822" width="12.28515625" style="176" bestFit="1" customWidth="1"/>
    <col min="2823" max="2823" width="10.7109375" style="176" bestFit="1" customWidth="1"/>
    <col min="2824" max="2825" width="12.42578125" style="176" bestFit="1" customWidth="1"/>
    <col min="2826" max="2826" width="12.140625" style="176" customWidth="1"/>
    <col min="2827" max="2827" width="14.5703125" style="176" bestFit="1" customWidth="1"/>
    <col min="2828" max="2828" width="11.85546875" style="176" bestFit="1" customWidth="1"/>
    <col min="2829" max="2829" width="9.85546875" style="176" bestFit="1" customWidth="1"/>
    <col min="2830" max="3072" width="9.140625" style="176"/>
    <col min="3073" max="3073" width="4.7109375" style="176" bestFit="1" customWidth="1"/>
    <col min="3074" max="3074" width="24.28515625" style="176" bestFit="1" customWidth="1"/>
    <col min="3075" max="3075" width="11.85546875" style="176" bestFit="1" customWidth="1"/>
    <col min="3076" max="3076" width="12.28515625" style="176" bestFit="1" customWidth="1"/>
    <col min="3077" max="3077" width="12.5703125" style="176" bestFit="1" customWidth="1"/>
    <col min="3078" max="3078" width="12.28515625" style="176" bestFit="1" customWidth="1"/>
    <col min="3079" max="3079" width="10.7109375" style="176" bestFit="1" customWidth="1"/>
    <col min="3080" max="3081" width="12.42578125" style="176" bestFit="1" customWidth="1"/>
    <col min="3082" max="3082" width="12.140625" style="176" customWidth="1"/>
    <col min="3083" max="3083" width="14.5703125" style="176" bestFit="1" customWidth="1"/>
    <col min="3084" max="3084" width="11.85546875" style="176" bestFit="1" customWidth="1"/>
    <col min="3085" max="3085" width="9.85546875" style="176" bestFit="1" customWidth="1"/>
    <col min="3086" max="3328" width="9.140625" style="176"/>
    <col min="3329" max="3329" width="4.7109375" style="176" bestFit="1" customWidth="1"/>
    <col min="3330" max="3330" width="24.28515625" style="176" bestFit="1" customWidth="1"/>
    <col min="3331" max="3331" width="11.85546875" style="176" bestFit="1" customWidth="1"/>
    <col min="3332" max="3332" width="12.28515625" style="176" bestFit="1" customWidth="1"/>
    <col min="3333" max="3333" width="12.5703125" style="176" bestFit="1" customWidth="1"/>
    <col min="3334" max="3334" width="12.28515625" style="176" bestFit="1" customWidth="1"/>
    <col min="3335" max="3335" width="10.7109375" style="176" bestFit="1" customWidth="1"/>
    <col min="3336" max="3337" width="12.42578125" style="176" bestFit="1" customWidth="1"/>
    <col min="3338" max="3338" width="12.140625" style="176" customWidth="1"/>
    <col min="3339" max="3339" width="14.5703125" style="176" bestFit="1" customWidth="1"/>
    <col min="3340" max="3340" width="11.85546875" style="176" bestFit="1" customWidth="1"/>
    <col min="3341" max="3341" width="9.85546875" style="176" bestFit="1" customWidth="1"/>
    <col min="3342" max="3584" width="9.140625" style="176"/>
    <col min="3585" max="3585" width="4.7109375" style="176" bestFit="1" customWidth="1"/>
    <col min="3586" max="3586" width="24.28515625" style="176" bestFit="1" customWidth="1"/>
    <col min="3587" max="3587" width="11.85546875" style="176" bestFit="1" customWidth="1"/>
    <col min="3588" max="3588" width="12.28515625" style="176" bestFit="1" customWidth="1"/>
    <col min="3589" max="3589" width="12.5703125" style="176" bestFit="1" customWidth="1"/>
    <col min="3590" max="3590" width="12.28515625" style="176" bestFit="1" customWidth="1"/>
    <col min="3591" max="3591" width="10.7109375" style="176" bestFit="1" customWidth="1"/>
    <col min="3592" max="3593" width="12.42578125" style="176" bestFit="1" customWidth="1"/>
    <col min="3594" max="3594" width="12.140625" style="176" customWidth="1"/>
    <col min="3595" max="3595" width="14.5703125" style="176" bestFit="1" customWidth="1"/>
    <col min="3596" max="3596" width="11.85546875" style="176" bestFit="1" customWidth="1"/>
    <col min="3597" max="3597" width="9.85546875" style="176" bestFit="1" customWidth="1"/>
    <col min="3598" max="3840" width="9.140625" style="176"/>
    <col min="3841" max="3841" width="4.7109375" style="176" bestFit="1" customWidth="1"/>
    <col min="3842" max="3842" width="24.28515625" style="176" bestFit="1" customWidth="1"/>
    <col min="3843" max="3843" width="11.85546875" style="176" bestFit="1" customWidth="1"/>
    <col min="3844" max="3844" width="12.28515625" style="176" bestFit="1" customWidth="1"/>
    <col min="3845" max="3845" width="12.5703125" style="176" bestFit="1" customWidth="1"/>
    <col min="3846" max="3846" width="12.28515625" style="176" bestFit="1" customWidth="1"/>
    <col min="3847" max="3847" width="10.7109375" style="176" bestFit="1" customWidth="1"/>
    <col min="3848" max="3849" width="12.42578125" style="176" bestFit="1" customWidth="1"/>
    <col min="3850" max="3850" width="12.140625" style="176" customWidth="1"/>
    <col min="3851" max="3851" width="14.5703125" style="176" bestFit="1" customWidth="1"/>
    <col min="3852" max="3852" width="11.85546875" style="176" bestFit="1" customWidth="1"/>
    <col min="3853" max="3853" width="9.85546875" style="176" bestFit="1" customWidth="1"/>
    <col min="3854" max="4096" width="9.140625" style="176"/>
    <col min="4097" max="4097" width="4.7109375" style="176" bestFit="1" customWidth="1"/>
    <col min="4098" max="4098" width="24.28515625" style="176" bestFit="1" customWidth="1"/>
    <col min="4099" max="4099" width="11.85546875" style="176" bestFit="1" customWidth="1"/>
    <col min="4100" max="4100" width="12.28515625" style="176" bestFit="1" customWidth="1"/>
    <col min="4101" max="4101" width="12.5703125" style="176" bestFit="1" customWidth="1"/>
    <col min="4102" max="4102" width="12.28515625" style="176" bestFit="1" customWidth="1"/>
    <col min="4103" max="4103" width="10.7109375" style="176" bestFit="1" customWidth="1"/>
    <col min="4104" max="4105" width="12.42578125" style="176" bestFit="1" customWidth="1"/>
    <col min="4106" max="4106" width="12.140625" style="176" customWidth="1"/>
    <col min="4107" max="4107" width="14.5703125" style="176" bestFit="1" customWidth="1"/>
    <col min="4108" max="4108" width="11.85546875" style="176" bestFit="1" customWidth="1"/>
    <col min="4109" max="4109" width="9.85546875" style="176" bestFit="1" customWidth="1"/>
    <col min="4110" max="4352" width="9.140625" style="176"/>
    <col min="4353" max="4353" width="4.7109375" style="176" bestFit="1" customWidth="1"/>
    <col min="4354" max="4354" width="24.28515625" style="176" bestFit="1" customWidth="1"/>
    <col min="4355" max="4355" width="11.85546875" style="176" bestFit="1" customWidth="1"/>
    <col min="4356" max="4356" width="12.28515625" style="176" bestFit="1" customWidth="1"/>
    <col min="4357" max="4357" width="12.5703125" style="176" bestFit="1" customWidth="1"/>
    <col min="4358" max="4358" width="12.28515625" style="176" bestFit="1" customWidth="1"/>
    <col min="4359" max="4359" width="10.7109375" style="176" bestFit="1" customWidth="1"/>
    <col min="4360" max="4361" width="12.42578125" style="176" bestFit="1" customWidth="1"/>
    <col min="4362" max="4362" width="12.140625" style="176" customWidth="1"/>
    <col min="4363" max="4363" width="14.5703125" style="176" bestFit="1" customWidth="1"/>
    <col min="4364" max="4364" width="11.85546875" style="176" bestFit="1" customWidth="1"/>
    <col min="4365" max="4365" width="9.85546875" style="176" bestFit="1" customWidth="1"/>
    <col min="4366" max="4608" width="9.140625" style="176"/>
    <col min="4609" max="4609" width="4.7109375" style="176" bestFit="1" customWidth="1"/>
    <col min="4610" max="4610" width="24.28515625" style="176" bestFit="1" customWidth="1"/>
    <col min="4611" max="4611" width="11.85546875" style="176" bestFit="1" customWidth="1"/>
    <col min="4612" max="4612" width="12.28515625" style="176" bestFit="1" customWidth="1"/>
    <col min="4613" max="4613" width="12.5703125" style="176" bestFit="1" customWidth="1"/>
    <col min="4614" max="4614" width="12.28515625" style="176" bestFit="1" customWidth="1"/>
    <col min="4615" max="4615" width="10.7109375" style="176" bestFit="1" customWidth="1"/>
    <col min="4616" max="4617" width="12.42578125" style="176" bestFit="1" customWidth="1"/>
    <col min="4618" max="4618" width="12.140625" style="176" customWidth="1"/>
    <col min="4619" max="4619" width="14.5703125" style="176" bestFit="1" customWidth="1"/>
    <col min="4620" max="4620" width="11.85546875" style="176" bestFit="1" customWidth="1"/>
    <col min="4621" max="4621" width="9.85546875" style="176" bestFit="1" customWidth="1"/>
    <col min="4622" max="4864" width="9.140625" style="176"/>
    <col min="4865" max="4865" width="4.7109375" style="176" bestFit="1" customWidth="1"/>
    <col min="4866" max="4866" width="24.28515625" style="176" bestFit="1" customWidth="1"/>
    <col min="4867" max="4867" width="11.85546875" style="176" bestFit="1" customWidth="1"/>
    <col min="4868" max="4868" width="12.28515625" style="176" bestFit="1" customWidth="1"/>
    <col min="4869" max="4869" width="12.5703125" style="176" bestFit="1" customWidth="1"/>
    <col min="4870" max="4870" width="12.28515625" style="176" bestFit="1" customWidth="1"/>
    <col min="4871" max="4871" width="10.7109375" style="176" bestFit="1" customWidth="1"/>
    <col min="4872" max="4873" width="12.42578125" style="176" bestFit="1" customWidth="1"/>
    <col min="4874" max="4874" width="12.140625" style="176" customWidth="1"/>
    <col min="4875" max="4875" width="14.5703125" style="176" bestFit="1" customWidth="1"/>
    <col min="4876" max="4876" width="11.85546875" style="176" bestFit="1" customWidth="1"/>
    <col min="4877" max="4877" width="9.85546875" style="176" bestFit="1" customWidth="1"/>
    <col min="4878" max="5120" width="9.140625" style="176"/>
    <col min="5121" max="5121" width="4.7109375" style="176" bestFit="1" customWidth="1"/>
    <col min="5122" max="5122" width="24.28515625" style="176" bestFit="1" customWidth="1"/>
    <col min="5123" max="5123" width="11.85546875" style="176" bestFit="1" customWidth="1"/>
    <col min="5124" max="5124" width="12.28515625" style="176" bestFit="1" customWidth="1"/>
    <col min="5125" max="5125" width="12.5703125" style="176" bestFit="1" customWidth="1"/>
    <col min="5126" max="5126" width="12.28515625" style="176" bestFit="1" customWidth="1"/>
    <col min="5127" max="5127" width="10.7109375" style="176" bestFit="1" customWidth="1"/>
    <col min="5128" max="5129" width="12.42578125" style="176" bestFit="1" customWidth="1"/>
    <col min="5130" max="5130" width="12.140625" style="176" customWidth="1"/>
    <col min="5131" max="5131" width="14.5703125" style="176" bestFit="1" customWidth="1"/>
    <col min="5132" max="5132" width="11.85546875" style="176" bestFit="1" customWidth="1"/>
    <col min="5133" max="5133" width="9.85546875" style="176" bestFit="1" customWidth="1"/>
    <col min="5134" max="5376" width="9.140625" style="176"/>
    <col min="5377" max="5377" width="4.7109375" style="176" bestFit="1" customWidth="1"/>
    <col min="5378" max="5378" width="24.28515625" style="176" bestFit="1" customWidth="1"/>
    <col min="5379" max="5379" width="11.85546875" style="176" bestFit="1" customWidth="1"/>
    <col min="5380" max="5380" width="12.28515625" style="176" bestFit="1" customWidth="1"/>
    <col min="5381" max="5381" width="12.5703125" style="176" bestFit="1" customWidth="1"/>
    <col min="5382" max="5382" width="12.28515625" style="176" bestFit="1" customWidth="1"/>
    <col min="5383" max="5383" width="10.7109375" style="176" bestFit="1" customWidth="1"/>
    <col min="5384" max="5385" width="12.42578125" style="176" bestFit="1" customWidth="1"/>
    <col min="5386" max="5386" width="12.140625" style="176" customWidth="1"/>
    <col min="5387" max="5387" width="14.5703125" style="176" bestFit="1" customWidth="1"/>
    <col min="5388" max="5388" width="11.85546875" style="176" bestFit="1" customWidth="1"/>
    <col min="5389" max="5389" width="9.85546875" style="176" bestFit="1" customWidth="1"/>
    <col min="5390" max="5632" width="9.140625" style="176"/>
    <col min="5633" max="5633" width="4.7109375" style="176" bestFit="1" customWidth="1"/>
    <col min="5634" max="5634" width="24.28515625" style="176" bestFit="1" customWidth="1"/>
    <col min="5635" max="5635" width="11.85546875" style="176" bestFit="1" customWidth="1"/>
    <col min="5636" max="5636" width="12.28515625" style="176" bestFit="1" customWidth="1"/>
    <col min="5637" max="5637" width="12.5703125" style="176" bestFit="1" customWidth="1"/>
    <col min="5638" max="5638" width="12.28515625" style="176" bestFit="1" customWidth="1"/>
    <col min="5639" max="5639" width="10.7109375" style="176" bestFit="1" customWidth="1"/>
    <col min="5640" max="5641" width="12.42578125" style="176" bestFit="1" customWidth="1"/>
    <col min="5642" max="5642" width="12.140625" style="176" customWidth="1"/>
    <col min="5643" max="5643" width="14.5703125" style="176" bestFit="1" customWidth="1"/>
    <col min="5644" max="5644" width="11.85546875" style="176" bestFit="1" customWidth="1"/>
    <col min="5645" max="5645" width="9.85546875" style="176" bestFit="1" customWidth="1"/>
    <col min="5646" max="5888" width="9.140625" style="176"/>
    <col min="5889" max="5889" width="4.7109375" style="176" bestFit="1" customWidth="1"/>
    <col min="5890" max="5890" width="24.28515625" style="176" bestFit="1" customWidth="1"/>
    <col min="5891" max="5891" width="11.85546875" style="176" bestFit="1" customWidth="1"/>
    <col min="5892" max="5892" width="12.28515625" style="176" bestFit="1" customWidth="1"/>
    <col min="5893" max="5893" width="12.5703125" style="176" bestFit="1" customWidth="1"/>
    <col min="5894" max="5894" width="12.28515625" style="176" bestFit="1" customWidth="1"/>
    <col min="5895" max="5895" width="10.7109375" style="176" bestFit="1" customWidth="1"/>
    <col min="5896" max="5897" width="12.42578125" style="176" bestFit="1" customWidth="1"/>
    <col min="5898" max="5898" width="12.140625" style="176" customWidth="1"/>
    <col min="5899" max="5899" width="14.5703125" style="176" bestFit="1" customWidth="1"/>
    <col min="5900" max="5900" width="11.85546875" style="176" bestFit="1" customWidth="1"/>
    <col min="5901" max="5901" width="9.85546875" style="176" bestFit="1" customWidth="1"/>
    <col min="5902" max="6144" width="9.140625" style="176"/>
    <col min="6145" max="6145" width="4.7109375" style="176" bestFit="1" customWidth="1"/>
    <col min="6146" max="6146" width="24.28515625" style="176" bestFit="1" customWidth="1"/>
    <col min="6147" max="6147" width="11.85546875" style="176" bestFit="1" customWidth="1"/>
    <col min="6148" max="6148" width="12.28515625" style="176" bestFit="1" customWidth="1"/>
    <col min="6149" max="6149" width="12.5703125" style="176" bestFit="1" customWidth="1"/>
    <col min="6150" max="6150" width="12.28515625" style="176" bestFit="1" customWidth="1"/>
    <col min="6151" max="6151" width="10.7109375" style="176" bestFit="1" customWidth="1"/>
    <col min="6152" max="6153" width="12.42578125" style="176" bestFit="1" customWidth="1"/>
    <col min="6154" max="6154" width="12.140625" style="176" customWidth="1"/>
    <col min="6155" max="6155" width="14.5703125" style="176" bestFit="1" customWidth="1"/>
    <col min="6156" max="6156" width="11.85546875" style="176" bestFit="1" customWidth="1"/>
    <col min="6157" max="6157" width="9.85546875" style="176" bestFit="1" customWidth="1"/>
    <col min="6158" max="6400" width="9.140625" style="176"/>
    <col min="6401" max="6401" width="4.7109375" style="176" bestFit="1" customWidth="1"/>
    <col min="6402" max="6402" width="24.28515625" style="176" bestFit="1" customWidth="1"/>
    <col min="6403" max="6403" width="11.85546875" style="176" bestFit="1" customWidth="1"/>
    <col min="6404" max="6404" width="12.28515625" style="176" bestFit="1" customWidth="1"/>
    <col min="6405" max="6405" width="12.5703125" style="176" bestFit="1" customWidth="1"/>
    <col min="6406" max="6406" width="12.28515625" style="176" bestFit="1" customWidth="1"/>
    <col min="6407" max="6407" width="10.7109375" style="176" bestFit="1" customWidth="1"/>
    <col min="6408" max="6409" width="12.42578125" style="176" bestFit="1" customWidth="1"/>
    <col min="6410" max="6410" width="12.140625" style="176" customWidth="1"/>
    <col min="6411" max="6411" width="14.5703125" style="176" bestFit="1" customWidth="1"/>
    <col min="6412" max="6412" width="11.85546875" style="176" bestFit="1" customWidth="1"/>
    <col min="6413" max="6413" width="9.85546875" style="176" bestFit="1" customWidth="1"/>
    <col min="6414" max="6656" width="9.140625" style="176"/>
    <col min="6657" max="6657" width="4.7109375" style="176" bestFit="1" customWidth="1"/>
    <col min="6658" max="6658" width="24.28515625" style="176" bestFit="1" customWidth="1"/>
    <col min="6659" max="6659" width="11.85546875" style="176" bestFit="1" customWidth="1"/>
    <col min="6660" max="6660" width="12.28515625" style="176" bestFit="1" customWidth="1"/>
    <col min="6661" max="6661" width="12.5703125" style="176" bestFit="1" customWidth="1"/>
    <col min="6662" max="6662" width="12.28515625" style="176" bestFit="1" customWidth="1"/>
    <col min="6663" max="6663" width="10.7109375" style="176" bestFit="1" customWidth="1"/>
    <col min="6664" max="6665" width="12.42578125" style="176" bestFit="1" customWidth="1"/>
    <col min="6666" max="6666" width="12.140625" style="176" customWidth="1"/>
    <col min="6667" max="6667" width="14.5703125" style="176" bestFit="1" customWidth="1"/>
    <col min="6668" max="6668" width="11.85546875" style="176" bestFit="1" customWidth="1"/>
    <col min="6669" max="6669" width="9.85546875" style="176" bestFit="1" customWidth="1"/>
    <col min="6670" max="6912" width="9.140625" style="176"/>
    <col min="6913" max="6913" width="4.7109375" style="176" bestFit="1" customWidth="1"/>
    <col min="6914" max="6914" width="24.28515625" style="176" bestFit="1" customWidth="1"/>
    <col min="6915" max="6915" width="11.85546875" style="176" bestFit="1" customWidth="1"/>
    <col min="6916" max="6916" width="12.28515625" style="176" bestFit="1" customWidth="1"/>
    <col min="6917" max="6917" width="12.5703125" style="176" bestFit="1" customWidth="1"/>
    <col min="6918" max="6918" width="12.28515625" style="176" bestFit="1" customWidth="1"/>
    <col min="6919" max="6919" width="10.7109375" style="176" bestFit="1" customWidth="1"/>
    <col min="6920" max="6921" width="12.42578125" style="176" bestFit="1" customWidth="1"/>
    <col min="6922" max="6922" width="12.140625" style="176" customWidth="1"/>
    <col min="6923" max="6923" width="14.5703125" style="176" bestFit="1" customWidth="1"/>
    <col min="6924" max="6924" width="11.85546875" style="176" bestFit="1" customWidth="1"/>
    <col min="6925" max="6925" width="9.85546875" style="176" bestFit="1" customWidth="1"/>
    <col min="6926" max="7168" width="9.140625" style="176"/>
    <col min="7169" max="7169" width="4.7109375" style="176" bestFit="1" customWidth="1"/>
    <col min="7170" max="7170" width="24.28515625" style="176" bestFit="1" customWidth="1"/>
    <col min="7171" max="7171" width="11.85546875" style="176" bestFit="1" customWidth="1"/>
    <col min="7172" max="7172" width="12.28515625" style="176" bestFit="1" customWidth="1"/>
    <col min="7173" max="7173" width="12.5703125" style="176" bestFit="1" customWidth="1"/>
    <col min="7174" max="7174" width="12.28515625" style="176" bestFit="1" customWidth="1"/>
    <col min="7175" max="7175" width="10.7109375" style="176" bestFit="1" customWidth="1"/>
    <col min="7176" max="7177" width="12.42578125" style="176" bestFit="1" customWidth="1"/>
    <col min="7178" max="7178" width="12.140625" style="176" customWidth="1"/>
    <col min="7179" max="7179" width="14.5703125" style="176" bestFit="1" customWidth="1"/>
    <col min="7180" max="7180" width="11.85546875" style="176" bestFit="1" customWidth="1"/>
    <col min="7181" max="7181" width="9.85546875" style="176" bestFit="1" customWidth="1"/>
    <col min="7182" max="7424" width="9.140625" style="176"/>
    <col min="7425" max="7425" width="4.7109375" style="176" bestFit="1" customWidth="1"/>
    <col min="7426" max="7426" width="24.28515625" style="176" bestFit="1" customWidth="1"/>
    <col min="7427" max="7427" width="11.85546875" style="176" bestFit="1" customWidth="1"/>
    <col min="7428" max="7428" width="12.28515625" style="176" bestFit="1" customWidth="1"/>
    <col min="7429" max="7429" width="12.5703125" style="176" bestFit="1" customWidth="1"/>
    <col min="7430" max="7430" width="12.28515625" style="176" bestFit="1" customWidth="1"/>
    <col min="7431" max="7431" width="10.7109375" style="176" bestFit="1" customWidth="1"/>
    <col min="7432" max="7433" width="12.42578125" style="176" bestFit="1" customWidth="1"/>
    <col min="7434" max="7434" width="12.140625" style="176" customWidth="1"/>
    <col min="7435" max="7435" width="14.5703125" style="176" bestFit="1" customWidth="1"/>
    <col min="7436" max="7436" width="11.85546875" style="176" bestFit="1" customWidth="1"/>
    <col min="7437" max="7437" width="9.85546875" style="176" bestFit="1" customWidth="1"/>
    <col min="7438" max="7680" width="9.140625" style="176"/>
    <col min="7681" max="7681" width="4.7109375" style="176" bestFit="1" customWidth="1"/>
    <col min="7682" max="7682" width="24.28515625" style="176" bestFit="1" customWidth="1"/>
    <col min="7683" max="7683" width="11.85546875" style="176" bestFit="1" customWidth="1"/>
    <col min="7684" max="7684" width="12.28515625" style="176" bestFit="1" customWidth="1"/>
    <col min="7685" max="7685" width="12.5703125" style="176" bestFit="1" customWidth="1"/>
    <col min="7686" max="7686" width="12.28515625" style="176" bestFit="1" customWidth="1"/>
    <col min="7687" max="7687" width="10.7109375" style="176" bestFit="1" customWidth="1"/>
    <col min="7688" max="7689" width="12.42578125" style="176" bestFit="1" customWidth="1"/>
    <col min="7690" max="7690" width="12.140625" style="176" customWidth="1"/>
    <col min="7691" max="7691" width="14.5703125" style="176" bestFit="1" customWidth="1"/>
    <col min="7692" max="7692" width="11.85546875" style="176" bestFit="1" customWidth="1"/>
    <col min="7693" max="7693" width="9.85546875" style="176" bestFit="1" customWidth="1"/>
    <col min="7694" max="7936" width="9.140625" style="176"/>
    <col min="7937" max="7937" width="4.7109375" style="176" bestFit="1" customWidth="1"/>
    <col min="7938" max="7938" width="24.28515625" style="176" bestFit="1" customWidth="1"/>
    <col min="7939" max="7939" width="11.85546875" style="176" bestFit="1" customWidth="1"/>
    <col min="7940" max="7940" width="12.28515625" style="176" bestFit="1" customWidth="1"/>
    <col min="7941" max="7941" width="12.5703125" style="176" bestFit="1" customWidth="1"/>
    <col min="7942" max="7942" width="12.28515625" style="176" bestFit="1" customWidth="1"/>
    <col min="7943" max="7943" width="10.7109375" style="176" bestFit="1" customWidth="1"/>
    <col min="7944" max="7945" width="12.42578125" style="176" bestFit="1" customWidth="1"/>
    <col min="7946" max="7946" width="12.140625" style="176" customWidth="1"/>
    <col min="7947" max="7947" width="14.5703125" style="176" bestFit="1" customWidth="1"/>
    <col min="7948" max="7948" width="11.85546875" style="176" bestFit="1" customWidth="1"/>
    <col min="7949" max="7949" width="9.85546875" style="176" bestFit="1" customWidth="1"/>
    <col min="7950" max="8192" width="9.140625" style="176"/>
    <col min="8193" max="8193" width="4.7109375" style="176" bestFit="1" customWidth="1"/>
    <col min="8194" max="8194" width="24.28515625" style="176" bestFit="1" customWidth="1"/>
    <col min="8195" max="8195" width="11.85546875" style="176" bestFit="1" customWidth="1"/>
    <col min="8196" max="8196" width="12.28515625" style="176" bestFit="1" customWidth="1"/>
    <col min="8197" max="8197" width="12.5703125" style="176" bestFit="1" customWidth="1"/>
    <col min="8198" max="8198" width="12.28515625" style="176" bestFit="1" customWidth="1"/>
    <col min="8199" max="8199" width="10.7109375" style="176" bestFit="1" customWidth="1"/>
    <col min="8200" max="8201" width="12.42578125" style="176" bestFit="1" customWidth="1"/>
    <col min="8202" max="8202" width="12.140625" style="176" customWidth="1"/>
    <col min="8203" max="8203" width="14.5703125" style="176" bestFit="1" customWidth="1"/>
    <col min="8204" max="8204" width="11.85546875" style="176" bestFit="1" customWidth="1"/>
    <col min="8205" max="8205" width="9.85546875" style="176" bestFit="1" customWidth="1"/>
    <col min="8206" max="8448" width="9.140625" style="176"/>
    <col min="8449" max="8449" width="4.7109375" style="176" bestFit="1" customWidth="1"/>
    <col min="8450" max="8450" width="24.28515625" style="176" bestFit="1" customWidth="1"/>
    <col min="8451" max="8451" width="11.85546875" style="176" bestFit="1" customWidth="1"/>
    <col min="8452" max="8452" width="12.28515625" style="176" bestFit="1" customWidth="1"/>
    <col min="8453" max="8453" width="12.5703125" style="176" bestFit="1" customWidth="1"/>
    <col min="8454" max="8454" width="12.28515625" style="176" bestFit="1" customWidth="1"/>
    <col min="8455" max="8455" width="10.7109375" style="176" bestFit="1" customWidth="1"/>
    <col min="8456" max="8457" width="12.42578125" style="176" bestFit="1" customWidth="1"/>
    <col min="8458" max="8458" width="12.140625" style="176" customWidth="1"/>
    <col min="8459" max="8459" width="14.5703125" style="176" bestFit="1" customWidth="1"/>
    <col min="8460" max="8460" width="11.85546875" style="176" bestFit="1" customWidth="1"/>
    <col min="8461" max="8461" width="9.85546875" style="176" bestFit="1" customWidth="1"/>
    <col min="8462" max="8704" width="9.140625" style="176"/>
    <col min="8705" max="8705" width="4.7109375" style="176" bestFit="1" customWidth="1"/>
    <col min="8706" max="8706" width="24.28515625" style="176" bestFit="1" customWidth="1"/>
    <col min="8707" max="8707" width="11.85546875" style="176" bestFit="1" customWidth="1"/>
    <col min="8708" max="8708" width="12.28515625" style="176" bestFit="1" customWidth="1"/>
    <col min="8709" max="8709" width="12.5703125" style="176" bestFit="1" customWidth="1"/>
    <col min="8710" max="8710" width="12.28515625" style="176" bestFit="1" customWidth="1"/>
    <col min="8711" max="8711" width="10.7109375" style="176" bestFit="1" customWidth="1"/>
    <col min="8712" max="8713" width="12.42578125" style="176" bestFit="1" customWidth="1"/>
    <col min="8714" max="8714" width="12.140625" style="176" customWidth="1"/>
    <col min="8715" max="8715" width="14.5703125" style="176" bestFit="1" customWidth="1"/>
    <col min="8716" max="8716" width="11.85546875" style="176" bestFit="1" customWidth="1"/>
    <col min="8717" max="8717" width="9.85546875" style="176" bestFit="1" customWidth="1"/>
    <col min="8718" max="8960" width="9.140625" style="176"/>
    <col min="8961" max="8961" width="4.7109375" style="176" bestFit="1" customWidth="1"/>
    <col min="8962" max="8962" width="24.28515625" style="176" bestFit="1" customWidth="1"/>
    <col min="8963" max="8963" width="11.85546875" style="176" bestFit="1" customWidth="1"/>
    <col min="8964" max="8964" width="12.28515625" style="176" bestFit="1" customWidth="1"/>
    <col min="8965" max="8965" width="12.5703125" style="176" bestFit="1" customWidth="1"/>
    <col min="8966" max="8966" width="12.28515625" style="176" bestFit="1" customWidth="1"/>
    <col min="8967" max="8967" width="10.7109375" style="176" bestFit="1" customWidth="1"/>
    <col min="8968" max="8969" width="12.42578125" style="176" bestFit="1" customWidth="1"/>
    <col min="8970" max="8970" width="12.140625" style="176" customWidth="1"/>
    <col min="8971" max="8971" width="14.5703125" style="176" bestFit="1" customWidth="1"/>
    <col min="8972" max="8972" width="11.85546875" style="176" bestFit="1" customWidth="1"/>
    <col min="8973" max="8973" width="9.85546875" style="176" bestFit="1" customWidth="1"/>
    <col min="8974" max="9216" width="9.140625" style="176"/>
    <col min="9217" max="9217" width="4.7109375" style="176" bestFit="1" customWidth="1"/>
    <col min="9218" max="9218" width="24.28515625" style="176" bestFit="1" customWidth="1"/>
    <col min="9219" max="9219" width="11.85546875" style="176" bestFit="1" customWidth="1"/>
    <col min="9220" max="9220" width="12.28515625" style="176" bestFit="1" customWidth="1"/>
    <col min="9221" max="9221" width="12.5703125" style="176" bestFit="1" customWidth="1"/>
    <col min="9222" max="9222" width="12.28515625" style="176" bestFit="1" customWidth="1"/>
    <col min="9223" max="9223" width="10.7109375" style="176" bestFit="1" customWidth="1"/>
    <col min="9224" max="9225" width="12.42578125" style="176" bestFit="1" customWidth="1"/>
    <col min="9226" max="9226" width="12.140625" style="176" customWidth="1"/>
    <col min="9227" max="9227" width="14.5703125" style="176" bestFit="1" customWidth="1"/>
    <col min="9228" max="9228" width="11.85546875" style="176" bestFit="1" customWidth="1"/>
    <col min="9229" max="9229" width="9.85546875" style="176" bestFit="1" customWidth="1"/>
    <col min="9230" max="9472" width="9.140625" style="176"/>
    <col min="9473" max="9473" width="4.7109375" style="176" bestFit="1" customWidth="1"/>
    <col min="9474" max="9474" width="24.28515625" style="176" bestFit="1" customWidth="1"/>
    <col min="9475" max="9475" width="11.85546875" style="176" bestFit="1" customWidth="1"/>
    <col min="9476" max="9476" width="12.28515625" style="176" bestFit="1" customWidth="1"/>
    <col min="9477" max="9477" width="12.5703125" style="176" bestFit="1" customWidth="1"/>
    <col min="9478" max="9478" width="12.28515625" style="176" bestFit="1" customWidth="1"/>
    <col min="9479" max="9479" width="10.7109375" style="176" bestFit="1" customWidth="1"/>
    <col min="9480" max="9481" width="12.42578125" style="176" bestFit="1" customWidth="1"/>
    <col min="9482" max="9482" width="12.140625" style="176" customWidth="1"/>
    <col min="9483" max="9483" width="14.5703125" style="176" bestFit="1" customWidth="1"/>
    <col min="9484" max="9484" width="11.85546875" style="176" bestFit="1" customWidth="1"/>
    <col min="9485" max="9485" width="9.85546875" style="176" bestFit="1" customWidth="1"/>
    <col min="9486" max="9728" width="9.140625" style="176"/>
    <col min="9729" max="9729" width="4.7109375" style="176" bestFit="1" customWidth="1"/>
    <col min="9730" max="9730" width="24.28515625" style="176" bestFit="1" customWidth="1"/>
    <col min="9731" max="9731" width="11.85546875" style="176" bestFit="1" customWidth="1"/>
    <col min="9732" max="9732" width="12.28515625" style="176" bestFit="1" customWidth="1"/>
    <col min="9733" max="9733" width="12.5703125" style="176" bestFit="1" customWidth="1"/>
    <col min="9734" max="9734" width="12.28515625" style="176" bestFit="1" customWidth="1"/>
    <col min="9735" max="9735" width="10.7109375" style="176" bestFit="1" customWidth="1"/>
    <col min="9736" max="9737" width="12.42578125" style="176" bestFit="1" customWidth="1"/>
    <col min="9738" max="9738" width="12.140625" style="176" customWidth="1"/>
    <col min="9739" max="9739" width="14.5703125" style="176" bestFit="1" customWidth="1"/>
    <col min="9740" max="9740" width="11.85546875" style="176" bestFit="1" customWidth="1"/>
    <col min="9741" max="9741" width="9.85546875" style="176" bestFit="1" customWidth="1"/>
    <col min="9742" max="9984" width="9.140625" style="176"/>
    <col min="9985" max="9985" width="4.7109375" style="176" bestFit="1" customWidth="1"/>
    <col min="9986" max="9986" width="24.28515625" style="176" bestFit="1" customWidth="1"/>
    <col min="9987" max="9987" width="11.85546875" style="176" bestFit="1" customWidth="1"/>
    <col min="9988" max="9988" width="12.28515625" style="176" bestFit="1" customWidth="1"/>
    <col min="9989" max="9989" width="12.5703125" style="176" bestFit="1" customWidth="1"/>
    <col min="9990" max="9990" width="12.28515625" style="176" bestFit="1" customWidth="1"/>
    <col min="9991" max="9991" width="10.7109375" style="176" bestFit="1" customWidth="1"/>
    <col min="9992" max="9993" width="12.42578125" style="176" bestFit="1" customWidth="1"/>
    <col min="9994" max="9994" width="12.140625" style="176" customWidth="1"/>
    <col min="9995" max="9995" width="14.5703125" style="176" bestFit="1" customWidth="1"/>
    <col min="9996" max="9996" width="11.85546875" style="176" bestFit="1" customWidth="1"/>
    <col min="9997" max="9997" width="9.85546875" style="176" bestFit="1" customWidth="1"/>
    <col min="9998" max="10240" width="9.140625" style="176"/>
    <col min="10241" max="10241" width="4.7109375" style="176" bestFit="1" customWidth="1"/>
    <col min="10242" max="10242" width="24.28515625" style="176" bestFit="1" customWidth="1"/>
    <col min="10243" max="10243" width="11.85546875" style="176" bestFit="1" customWidth="1"/>
    <col min="10244" max="10244" width="12.28515625" style="176" bestFit="1" customWidth="1"/>
    <col min="10245" max="10245" width="12.5703125" style="176" bestFit="1" customWidth="1"/>
    <col min="10246" max="10246" width="12.28515625" style="176" bestFit="1" customWidth="1"/>
    <col min="10247" max="10247" width="10.7109375" style="176" bestFit="1" customWidth="1"/>
    <col min="10248" max="10249" width="12.42578125" style="176" bestFit="1" customWidth="1"/>
    <col min="10250" max="10250" width="12.140625" style="176" customWidth="1"/>
    <col min="10251" max="10251" width="14.5703125" style="176" bestFit="1" customWidth="1"/>
    <col min="10252" max="10252" width="11.85546875" style="176" bestFit="1" customWidth="1"/>
    <col min="10253" max="10253" width="9.85546875" style="176" bestFit="1" customWidth="1"/>
    <col min="10254" max="10496" width="9.140625" style="176"/>
    <col min="10497" max="10497" width="4.7109375" style="176" bestFit="1" customWidth="1"/>
    <col min="10498" max="10498" width="24.28515625" style="176" bestFit="1" customWidth="1"/>
    <col min="10499" max="10499" width="11.85546875" style="176" bestFit="1" customWidth="1"/>
    <col min="10500" max="10500" width="12.28515625" style="176" bestFit="1" customWidth="1"/>
    <col min="10501" max="10501" width="12.5703125" style="176" bestFit="1" customWidth="1"/>
    <col min="10502" max="10502" width="12.28515625" style="176" bestFit="1" customWidth="1"/>
    <col min="10503" max="10503" width="10.7109375" style="176" bestFit="1" customWidth="1"/>
    <col min="10504" max="10505" width="12.42578125" style="176" bestFit="1" customWidth="1"/>
    <col min="10506" max="10506" width="12.140625" style="176" customWidth="1"/>
    <col min="10507" max="10507" width="14.5703125" style="176" bestFit="1" customWidth="1"/>
    <col min="10508" max="10508" width="11.85546875" style="176" bestFit="1" customWidth="1"/>
    <col min="10509" max="10509" width="9.85546875" style="176" bestFit="1" customWidth="1"/>
    <col min="10510" max="10752" width="9.140625" style="176"/>
    <col min="10753" max="10753" width="4.7109375" style="176" bestFit="1" customWidth="1"/>
    <col min="10754" max="10754" width="24.28515625" style="176" bestFit="1" customWidth="1"/>
    <col min="10755" max="10755" width="11.85546875" style="176" bestFit="1" customWidth="1"/>
    <col min="10756" max="10756" width="12.28515625" style="176" bestFit="1" customWidth="1"/>
    <col min="10757" max="10757" width="12.5703125" style="176" bestFit="1" customWidth="1"/>
    <col min="10758" max="10758" width="12.28515625" style="176" bestFit="1" customWidth="1"/>
    <col min="10759" max="10759" width="10.7109375" style="176" bestFit="1" customWidth="1"/>
    <col min="10760" max="10761" width="12.42578125" style="176" bestFit="1" customWidth="1"/>
    <col min="10762" max="10762" width="12.140625" style="176" customWidth="1"/>
    <col min="10763" max="10763" width="14.5703125" style="176" bestFit="1" customWidth="1"/>
    <col min="10764" max="10764" width="11.85546875" style="176" bestFit="1" customWidth="1"/>
    <col min="10765" max="10765" width="9.85546875" style="176" bestFit="1" customWidth="1"/>
    <col min="10766" max="11008" width="9.140625" style="176"/>
    <col min="11009" max="11009" width="4.7109375" style="176" bestFit="1" customWidth="1"/>
    <col min="11010" max="11010" width="24.28515625" style="176" bestFit="1" customWidth="1"/>
    <col min="11011" max="11011" width="11.85546875" style="176" bestFit="1" customWidth="1"/>
    <col min="11012" max="11012" width="12.28515625" style="176" bestFit="1" customWidth="1"/>
    <col min="11013" max="11013" width="12.5703125" style="176" bestFit="1" customWidth="1"/>
    <col min="11014" max="11014" width="12.28515625" style="176" bestFit="1" customWidth="1"/>
    <col min="11015" max="11015" width="10.7109375" style="176" bestFit="1" customWidth="1"/>
    <col min="11016" max="11017" width="12.42578125" style="176" bestFit="1" customWidth="1"/>
    <col min="11018" max="11018" width="12.140625" style="176" customWidth="1"/>
    <col min="11019" max="11019" width="14.5703125" style="176" bestFit="1" customWidth="1"/>
    <col min="11020" max="11020" width="11.85546875" style="176" bestFit="1" customWidth="1"/>
    <col min="11021" max="11021" width="9.85546875" style="176" bestFit="1" customWidth="1"/>
    <col min="11022" max="11264" width="9.140625" style="176"/>
    <col min="11265" max="11265" width="4.7109375" style="176" bestFit="1" customWidth="1"/>
    <col min="11266" max="11266" width="24.28515625" style="176" bestFit="1" customWidth="1"/>
    <col min="11267" max="11267" width="11.85546875" style="176" bestFit="1" customWidth="1"/>
    <col min="11268" max="11268" width="12.28515625" style="176" bestFit="1" customWidth="1"/>
    <col min="11269" max="11269" width="12.5703125" style="176" bestFit="1" customWidth="1"/>
    <col min="11270" max="11270" width="12.28515625" style="176" bestFit="1" customWidth="1"/>
    <col min="11271" max="11271" width="10.7109375" style="176" bestFit="1" customWidth="1"/>
    <col min="11272" max="11273" width="12.42578125" style="176" bestFit="1" customWidth="1"/>
    <col min="11274" max="11274" width="12.140625" style="176" customWidth="1"/>
    <col min="11275" max="11275" width="14.5703125" style="176" bestFit="1" customWidth="1"/>
    <col min="11276" max="11276" width="11.85546875" style="176" bestFit="1" customWidth="1"/>
    <col min="11277" max="11277" width="9.85546875" style="176" bestFit="1" customWidth="1"/>
    <col min="11278" max="11520" width="9.140625" style="176"/>
    <col min="11521" max="11521" width="4.7109375" style="176" bestFit="1" customWidth="1"/>
    <col min="11522" max="11522" width="24.28515625" style="176" bestFit="1" customWidth="1"/>
    <col min="11523" max="11523" width="11.85546875" style="176" bestFit="1" customWidth="1"/>
    <col min="11524" max="11524" width="12.28515625" style="176" bestFit="1" customWidth="1"/>
    <col min="11525" max="11525" width="12.5703125" style="176" bestFit="1" customWidth="1"/>
    <col min="11526" max="11526" width="12.28515625" style="176" bestFit="1" customWidth="1"/>
    <col min="11527" max="11527" width="10.7109375" style="176" bestFit="1" customWidth="1"/>
    <col min="11528" max="11529" width="12.42578125" style="176" bestFit="1" customWidth="1"/>
    <col min="11530" max="11530" width="12.140625" style="176" customWidth="1"/>
    <col min="11531" max="11531" width="14.5703125" style="176" bestFit="1" customWidth="1"/>
    <col min="11532" max="11532" width="11.85546875" style="176" bestFit="1" customWidth="1"/>
    <col min="11533" max="11533" width="9.85546875" style="176" bestFit="1" customWidth="1"/>
    <col min="11534" max="11776" width="9.140625" style="176"/>
    <col min="11777" max="11777" width="4.7109375" style="176" bestFit="1" customWidth="1"/>
    <col min="11778" max="11778" width="24.28515625" style="176" bestFit="1" customWidth="1"/>
    <col min="11779" max="11779" width="11.85546875" style="176" bestFit="1" customWidth="1"/>
    <col min="11780" max="11780" width="12.28515625" style="176" bestFit="1" customWidth="1"/>
    <col min="11781" max="11781" width="12.5703125" style="176" bestFit="1" customWidth="1"/>
    <col min="11782" max="11782" width="12.28515625" style="176" bestFit="1" customWidth="1"/>
    <col min="11783" max="11783" width="10.7109375" style="176" bestFit="1" customWidth="1"/>
    <col min="11784" max="11785" width="12.42578125" style="176" bestFit="1" customWidth="1"/>
    <col min="11786" max="11786" width="12.140625" style="176" customWidth="1"/>
    <col min="11787" max="11787" width="14.5703125" style="176" bestFit="1" customWidth="1"/>
    <col min="11788" max="11788" width="11.85546875" style="176" bestFit="1" customWidth="1"/>
    <col min="11789" max="11789" width="9.85546875" style="176" bestFit="1" customWidth="1"/>
    <col min="11790" max="12032" width="9.140625" style="176"/>
    <col min="12033" max="12033" width="4.7109375" style="176" bestFit="1" customWidth="1"/>
    <col min="12034" max="12034" width="24.28515625" style="176" bestFit="1" customWidth="1"/>
    <col min="12035" max="12035" width="11.85546875" style="176" bestFit="1" customWidth="1"/>
    <col min="12036" max="12036" width="12.28515625" style="176" bestFit="1" customWidth="1"/>
    <col min="12037" max="12037" width="12.5703125" style="176" bestFit="1" customWidth="1"/>
    <col min="12038" max="12038" width="12.28515625" style="176" bestFit="1" customWidth="1"/>
    <col min="12039" max="12039" width="10.7109375" style="176" bestFit="1" customWidth="1"/>
    <col min="12040" max="12041" width="12.42578125" style="176" bestFit="1" customWidth="1"/>
    <col min="12042" max="12042" width="12.140625" style="176" customWidth="1"/>
    <col min="12043" max="12043" width="14.5703125" style="176" bestFit="1" customWidth="1"/>
    <col min="12044" max="12044" width="11.85546875" style="176" bestFit="1" customWidth="1"/>
    <col min="12045" max="12045" width="9.85546875" style="176" bestFit="1" customWidth="1"/>
    <col min="12046" max="12288" width="9.140625" style="176"/>
    <col min="12289" max="12289" width="4.7109375" style="176" bestFit="1" customWidth="1"/>
    <col min="12290" max="12290" width="24.28515625" style="176" bestFit="1" customWidth="1"/>
    <col min="12291" max="12291" width="11.85546875" style="176" bestFit="1" customWidth="1"/>
    <col min="12292" max="12292" width="12.28515625" style="176" bestFit="1" customWidth="1"/>
    <col min="12293" max="12293" width="12.5703125" style="176" bestFit="1" customWidth="1"/>
    <col min="12294" max="12294" width="12.28515625" style="176" bestFit="1" customWidth="1"/>
    <col min="12295" max="12295" width="10.7109375" style="176" bestFit="1" customWidth="1"/>
    <col min="12296" max="12297" width="12.42578125" style="176" bestFit="1" customWidth="1"/>
    <col min="12298" max="12298" width="12.140625" style="176" customWidth="1"/>
    <col min="12299" max="12299" width="14.5703125" style="176" bestFit="1" customWidth="1"/>
    <col min="12300" max="12300" width="11.85546875" style="176" bestFit="1" customWidth="1"/>
    <col min="12301" max="12301" width="9.85546875" style="176" bestFit="1" customWidth="1"/>
    <col min="12302" max="12544" width="9.140625" style="176"/>
    <col min="12545" max="12545" width="4.7109375" style="176" bestFit="1" customWidth="1"/>
    <col min="12546" max="12546" width="24.28515625" style="176" bestFit="1" customWidth="1"/>
    <col min="12547" max="12547" width="11.85546875" style="176" bestFit="1" customWidth="1"/>
    <col min="12548" max="12548" width="12.28515625" style="176" bestFit="1" customWidth="1"/>
    <col min="12549" max="12549" width="12.5703125" style="176" bestFit="1" customWidth="1"/>
    <col min="12550" max="12550" width="12.28515625" style="176" bestFit="1" customWidth="1"/>
    <col min="12551" max="12551" width="10.7109375" style="176" bestFit="1" customWidth="1"/>
    <col min="12552" max="12553" width="12.42578125" style="176" bestFit="1" customWidth="1"/>
    <col min="12554" max="12554" width="12.140625" style="176" customWidth="1"/>
    <col min="12555" max="12555" width="14.5703125" style="176" bestFit="1" customWidth="1"/>
    <col min="12556" max="12556" width="11.85546875" style="176" bestFit="1" customWidth="1"/>
    <col min="12557" max="12557" width="9.85546875" style="176" bestFit="1" customWidth="1"/>
    <col min="12558" max="12800" width="9.140625" style="176"/>
    <col min="12801" max="12801" width="4.7109375" style="176" bestFit="1" customWidth="1"/>
    <col min="12802" max="12802" width="24.28515625" style="176" bestFit="1" customWidth="1"/>
    <col min="12803" max="12803" width="11.85546875" style="176" bestFit="1" customWidth="1"/>
    <col min="12804" max="12804" width="12.28515625" style="176" bestFit="1" customWidth="1"/>
    <col min="12805" max="12805" width="12.5703125" style="176" bestFit="1" customWidth="1"/>
    <col min="12806" max="12806" width="12.28515625" style="176" bestFit="1" customWidth="1"/>
    <col min="12807" max="12807" width="10.7109375" style="176" bestFit="1" customWidth="1"/>
    <col min="12808" max="12809" width="12.42578125" style="176" bestFit="1" customWidth="1"/>
    <col min="12810" max="12810" width="12.140625" style="176" customWidth="1"/>
    <col min="12811" max="12811" width="14.5703125" style="176" bestFit="1" customWidth="1"/>
    <col min="12812" max="12812" width="11.85546875" style="176" bestFit="1" customWidth="1"/>
    <col min="12813" max="12813" width="9.85546875" style="176" bestFit="1" customWidth="1"/>
    <col min="12814" max="13056" width="9.140625" style="176"/>
    <col min="13057" max="13057" width="4.7109375" style="176" bestFit="1" customWidth="1"/>
    <col min="13058" max="13058" width="24.28515625" style="176" bestFit="1" customWidth="1"/>
    <col min="13059" max="13059" width="11.85546875" style="176" bestFit="1" customWidth="1"/>
    <col min="13060" max="13060" width="12.28515625" style="176" bestFit="1" customWidth="1"/>
    <col min="13061" max="13061" width="12.5703125" style="176" bestFit="1" customWidth="1"/>
    <col min="13062" max="13062" width="12.28515625" style="176" bestFit="1" customWidth="1"/>
    <col min="13063" max="13063" width="10.7109375" style="176" bestFit="1" customWidth="1"/>
    <col min="13064" max="13065" width="12.42578125" style="176" bestFit="1" customWidth="1"/>
    <col min="13066" max="13066" width="12.140625" style="176" customWidth="1"/>
    <col min="13067" max="13067" width="14.5703125" style="176" bestFit="1" customWidth="1"/>
    <col min="13068" max="13068" width="11.85546875" style="176" bestFit="1" customWidth="1"/>
    <col min="13069" max="13069" width="9.85546875" style="176" bestFit="1" customWidth="1"/>
    <col min="13070" max="13312" width="9.140625" style="176"/>
    <col min="13313" max="13313" width="4.7109375" style="176" bestFit="1" customWidth="1"/>
    <col min="13314" max="13314" width="24.28515625" style="176" bestFit="1" customWidth="1"/>
    <col min="13315" max="13315" width="11.85546875" style="176" bestFit="1" customWidth="1"/>
    <col min="13316" max="13316" width="12.28515625" style="176" bestFit="1" customWidth="1"/>
    <col min="13317" max="13317" width="12.5703125" style="176" bestFit="1" customWidth="1"/>
    <col min="13318" max="13318" width="12.28515625" style="176" bestFit="1" customWidth="1"/>
    <col min="13319" max="13319" width="10.7109375" style="176" bestFit="1" customWidth="1"/>
    <col min="13320" max="13321" width="12.42578125" style="176" bestFit="1" customWidth="1"/>
    <col min="13322" max="13322" width="12.140625" style="176" customWidth="1"/>
    <col min="13323" max="13323" width="14.5703125" style="176" bestFit="1" customWidth="1"/>
    <col min="13324" max="13324" width="11.85546875" style="176" bestFit="1" customWidth="1"/>
    <col min="13325" max="13325" width="9.85546875" style="176" bestFit="1" customWidth="1"/>
    <col min="13326" max="13568" width="9.140625" style="176"/>
    <col min="13569" max="13569" width="4.7109375" style="176" bestFit="1" customWidth="1"/>
    <col min="13570" max="13570" width="24.28515625" style="176" bestFit="1" customWidth="1"/>
    <col min="13571" max="13571" width="11.85546875" style="176" bestFit="1" customWidth="1"/>
    <col min="13572" max="13572" width="12.28515625" style="176" bestFit="1" customWidth="1"/>
    <col min="13573" max="13573" width="12.5703125" style="176" bestFit="1" customWidth="1"/>
    <col min="13574" max="13574" width="12.28515625" style="176" bestFit="1" customWidth="1"/>
    <col min="13575" max="13575" width="10.7109375" style="176" bestFit="1" customWidth="1"/>
    <col min="13576" max="13577" width="12.42578125" style="176" bestFit="1" customWidth="1"/>
    <col min="13578" max="13578" width="12.140625" style="176" customWidth="1"/>
    <col min="13579" max="13579" width="14.5703125" style="176" bestFit="1" customWidth="1"/>
    <col min="13580" max="13580" width="11.85546875" style="176" bestFit="1" customWidth="1"/>
    <col min="13581" max="13581" width="9.85546875" style="176" bestFit="1" customWidth="1"/>
    <col min="13582" max="13824" width="9.140625" style="176"/>
    <col min="13825" max="13825" width="4.7109375" style="176" bestFit="1" customWidth="1"/>
    <col min="13826" max="13826" width="24.28515625" style="176" bestFit="1" customWidth="1"/>
    <col min="13827" max="13827" width="11.85546875" style="176" bestFit="1" customWidth="1"/>
    <col min="13828" max="13828" width="12.28515625" style="176" bestFit="1" customWidth="1"/>
    <col min="13829" max="13829" width="12.5703125" style="176" bestFit="1" customWidth="1"/>
    <col min="13830" max="13830" width="12.28515625" style="176" bestFit="1" customWidth="1"/>
    <col min="13831" max="13831" width="10.7109375" style="176" bestFit="1" customWidth="1"/>
    <col min="13832" max="13833" width="12.42578125" style="176" bestFit="1" customWidth="1"/>
    <col min="13834" max="13834" width="12.140625" style="176" customWidth="1"/>
    <col min="13835" max="13835" width="14.5703125" style="176" bestFit="1" customWidth="1"/>
    <col min="13836" max="13836" width="11.85546875" style="176" bestFit="1" customWidth="1"/>
    <col min="13837" max="13837" width="9.85546875" style="176" bestFit="1" customWidth="1"/>
    <col min="13838" max="14080" width="9.140625" style="176"/>
    <col min="14081" max="14081" width="4.7109375" style="176" bestFit="1" customWidth="1"/>
    <col min="14082" max="14082" width="24.28515625" style="176" bestFit="1" customWidth="1"/>
    <col min="14083" max="14083" width="11.85546875" style="176" bestFit="1" customWidth="1"/>
    <col min="14084" max="14084" width="12.28515625" style="176" bestFit="1" customWidth="1"/>
    <col min="14085" max="14085" width="12.5703125" style="176" bestFit="1" customWidth="1"/>
    <col min="14086" max="14086" width="12.28515625" style="176" bestFit="1" customWidth="1"/>
    <col min="14087" max="14087" width="10.7109375" style="176" bestFit="1" customWidth="1"/>
    <col min="14088" max="14089" width="12.42578125" style="176" bestFit="1" customWidth="1"/>
    <col min="14090" max="14090" width="12.140625" style="176" customWidth="1"/>
    <col min="14091" max="14091" width="14.5703125" style="176" bestFit="1" customWidth="1"/>
    <col min="14092" max="14092" width="11.85546875" style="176" bestFit="1" customWidth="1"/>
    <col min="14093" max="14093" width="9.85546875" style="176" bestFit="1" customWidth="1"/>
    <col min="14094" max="14336" width="9.140625" style="176"/>
    <col min="14337" max="14337" width="4.7109375" style="176" bestFit="1" customWidth="1"/>
    <col min="14338" max="14338" width="24.28515625" style="176" bestFit="1" customWidth="1"/>
    <col min="14339" max="14339" width="11.85546875" style="176" bestFit="1" customWidth="1"/>
    <col min="14340" max="14340" width="12.28515625" style="176" bestFit="1" customWidth="1"/>
    <col min="14341" max="14341" width="12.5703125" style="176" bestFit="1" customWidth="1"/>
    <col min="14342" max="14342" width="12.28515625" style="176" bestFit="1" customWidth="1"/>
    <col min="14343" max="14343" width="10.7109375" style="176" bestFit="1" customWidth="1"/>
    <col min="14344" max="14345" width="12.42578125" style="176" bestFit="1" customWidth="1"/>
    <col min="14346" max="14346" width="12.140625" style="176" customWidth="1"/>
    <col min="14347" max="14347" width="14.5703125" style="176" bestFit="1" customWidth="1"/>
    <col min="14348" max="14348" width="11.85546875" style="176" bestFit="1" customWidth="1"/>
    <col min="14349" max="14349" width="9.85546875" style="176" bestFit="1" customWidth="1"/>
    <col min="14350" max="14592" width="9.140625" style="176"/>
    <col min="14593" max="14593" width="4.7109375" style="176" bestFit="1" customWidth="1"/>
    <col min="14594" max="14594" width="24.28515625" style="176" bestFit="1" customWidth="1"/>
    <col min="14595" max="14595" width="11.85546875" style="176" bestFit="1" customWidth="1"/>
    <col min="14596" max="14596" width="12.28515625" style="176" bestFit="1" customWidth="1"/>
    <col min="14597" max="14597" width="12.5703125" style="176" bestFit="1" customWidth="1"/>
    <col min="14598" max="14598" width="12.28515625" style="176" bestFit="1" customWidth="1"/>
    <col min="14599" max="14599" width="10.7109375" style="176" bestFit="1" customWidth="1"/>
    <col min="14600" max="14601" width="12.42578125" style="176" bestFit="1" customWidth="1"/>
    <col min="14602" max="14602" width="12.140625" style="176" customWidth="1"/>
    <col min="14603" max="14603" width="14.5703125" style="176" bestFit="1" customWidth="1"/>
    <col min="14604" max="14604" width="11.85546875" style="176" bestFit="1" customWidth="1"/>
    <col min="14605" max="14605" width="9.85546875" style="176" bestFit="1" customWidth="1"/>
    <col min="14606" max="14848" width="9.140625" style="176"/>
    <col min="14849" max="14849" width="4.7109375" style="176" bestFit="1" customWidth="1"/>
    <col min="14850" max="14850" width="24.28515625" style="176" bestFit="1" customWidth="1"/>
    <col min="14851" max="14851" width="11.85546875" style="176" bestFit="1" customWidth="1"/>
    <col min="14852" max="14852" width="12.28515625" style="176" bestFit="1" customWidth="1"/>
    <col min="14853" max="14853" width="12.5703125" style="176" bestFit="1" customWidth="1"/>
    <col min="14854" max="14854" width="12.28515625" style="176" bestFit="1" customWidth="1"/>
    <col min="14855" max="14855" width="10.7109375" style="176" bestFit="1" customWidth="1"/>
    <col min="14856" max="14857" width="12.42578125" style="176" bestFit="1" customWidth="1"/>
    <col min="14858" max="14858" width="12.140625" style="176" customWidth="1"/>
    <col min="14859" max="14859" width="14.5703125" style="176" bestFit="1" customWidth="1"/>
    <col min="14860" max="14860" width="11.85546875" style="176" bestFit="1" customWidth="1"/>
    <col min="14861" max="14861" width="9.85546875" style="176" bestFit="1" customWidth="1"/>
    <col min="14862" max="15104" width="9.140625" style="176"/>
    <col min="15105" max="15105" width="4.7109375" style="176" bestFit="1" customWidth="1"/>
    <col min="15106" max="15106" width="24.28515625" style="176" bestFit="1" customWidth="1"/>
    <col min="15107" max="15107" width="11.85546875" style="176" bestFit="1" customWidth="1"/>
    <col min="15108" max="15108" width="12.28515625" style="176" bestFit="1" customWidth="1"/>
    <col min="15109" max="15109" width="12.5703125" style="176" bestFit="1" customWidth="1"/>
    <col min="15110" max="15110" width="12.28515625" style="176" bestFit="1" customWidth="1"/>
    <col min="15111" max="15111" width="10.7109375" style="176" bestFit="1" customWidth="1"/>
    <col min="15112" max="15113" width="12.42578125" style="176" bestFit="1" customWidth="1"/>
    <col min="15114" max="15114" width="12.140625" style="176" customWidth="1"/>
    <col min="15115" max="15115" width="14.5703125" style="176" bestFit="1" customWidth="1"/>
    <col min="15116" max="15116" width="11.85546875" style="176" bestFit="1" customWidth="1"/>
    <col min="15117" max="15117" width="9.85546875" style="176" bestFit="1" customWidth="1"/>
    <col min="15118" max="15360" width="9.140625" style="176"/>
    <col min="15361" max="15361" width="4.7109375" style="176" bestFit="1" customWidth="1"/>
    <col min="15362" max="15362" width="24.28515625" style="176" bestFit="1" customWidth="1"/>
    <col min="15363" max="15363" width="11.85546875" style="176" bestFit="1" customWidth="1"/>
    <col min="15364" max="15364" width="12.28515625" style="176" bestFit="1" customWidth="1"/>
    <col min="15365" max="15365" width="12.5703125" style="176" bestFit="1" customWidth="1"/>
    <col min="15366" max="15366" width="12.28515625" style="176" bestFit="1" customWidth="1"/>
    <col min="15367" max="15367" width="10.7109375" style="176" bestFit="1" customWidth="1"/>
    <col min="15368" max="15369" width="12.42578125" style="176" bestFit="1" customWidth="1"/>
    <col min="15370" max="15370" width="12.140625" style="176" customWidth="1"/>
    <col min="15371" max="15371" width="14.5703125" style="176" bestFit="1" customWidth="1"/>
    <col min="15372" max="15372" width="11.85546875" style="176" bestFit="1" customWidth="1"/>
    <col min="15373" max="15373" width="9.85546875" style="176" bestFit="1" customWidth="1"/>
    <col min="15374" max="15616" width="9.140625" style="176"/>
    <col min="15617" max="15617" width="4.7109375" style="176" bestFit="1" customWidth="1"/>
    <col min="15618" max="15618" width="24.28515625" style="176" bestFit="1" customWidth="1"/>
    <col min="15619" max="15619" width="11.85546875" style="176" bestFit="1" customWidth="1"/>
    <col min="15620" max="15620" width="12.28515625" style="176" bestFit="1" customWidth="1"/>
    <col min="15621" max="15621" width="12.5703125" style="176" bestFit="1" customWidth="1"/>
    <col min="15622" max="15622" width="12.28515625" style="176" bestFit="1" customWidth="1"/>
    <col min="15623" max="15623" width="10.7109375" style="176" bestFit="1" customWidth="1"/>
    <col min="15624" max="15625" width="12.42578125" style="176" bestFit="1" customWidth="1"/>
    <col min="15626" max="15626" width="12.140625" style="176" customWidth="1"/>
    <col min="15627" max="15627" width="14.5703125" style="176" bestFit="1" customWidth="1"/>
    <col min="15628" max="15628" width="11.85546875" style="176" bestFit="1" customWidth="1"/>
    <col min="15629" max="15629" width="9.85546875" style="176" bestFit="1" customWidth="1"/>
    <col min="15630" max="15872" width="9.140625" style="176"/>
    <col min="15873" max="15873" width="4.7109375" style="176" bestFit="1" customWidth="1"/>
    <col min="15874" max="15874" width="24.28515625" style="176" bestFit="1" customWidth="1"/>
    <col min="15875" max="15875" width="11.85546875" style="176" bestFit="1" customWidth="1"/>
    <col min="15876" max="15876" width="12.28515625" style="176" bestFit="1" customWidth="1"/>
    <col min="15877" max="15877" width="12.5703125" style="176" bestFit="1" customWidth="1"/>
    <col min="15878" max="15878" width="12.28515625" style="176" bestFit="1" customWidth="1"/>
    <col min="15879" max="15879" width="10.7109375" style="176" bestFit="1" customWidth="1"/>
    <col min="15880" max="15881" width="12.42578125" style="176" bestFit="1" customWidth="1"/>
    <col min="15882" max="15882" width="12.140625" style="176" customWidth="1"/>
    <col min="15883" max="15883" width="14.5703125" style="176" bestFit="1" customWidth="1"/>
    <col min="15884" max="15884" width="11.85546875" style="176" bestFit="1" customWidth="1"/>
    <col min="15885" max="15885" width="9.85546875" style="176" bestFit="1" customWidth="1"/>
    <col min="15886" max="16128" width="9.140625" style="176"/>
    <col min="16129" max="16129" width="4.7109375" style="176" bestFit="1" customWidth="1"/>
    <col min="16130" max="16130" width="24.28515625" style="176" bestFit="1" customWidth="1"/>
    <col min="16131" max="16131" width="11.85546875" style="176" bestFit="1" customWidth="1"/>
    <col min="16132" max="16132" width="12.28515625" style="176" bestFit="1" customWidth="1"/>
    <col min="16133" max="16133" width="12.5703125" style="176" bestFit="1" customWidth="1"/>
    <col min="16134" max="16134" width="12.28515625" style="176" bestFit="1" customWidth="1"/>
    <col min="16135" max="16135" width="10.7109375" style="176" bestFit="1" customWidth="1"/>
    <col min="16136" max="16137" width="12.42578125" style="176" bestFit="1" customWidth="1"/>
    <col min="16138" max="16138" width="12.140625" style="176" customWidth="1"/>
    <col min="16139" max="16139" width="14.5703125" style="176" bestFit="1" customWidth="1"/>
    <col min="16140" max="16140" width="11.85546875" style="176" bestFit="1" customWidth="1"/>
    <col min="16141" max="16141" width="9.85546875" style="176" bestFit="1" customWidth="1"/>
    <col min="16142" max="16384" width="9.140625" style="176"/>
  </cols>
  <sheetData>
    <row r="1" spans="1:23" ht="18.7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288</v>
      </c>
      <c r="T2" s="176" t="s">
        <v>289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290</v>
      </c>
      <c r="T6" s="186">
        <f>T3/12</f>
        <v>6.3500000000000006E-3</v>
      </c>
      <c r="U6" s="176" t="s">
        <v>290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393"/>
      <c r="D8" s="393"/>
      <c r="E8" s="393"/>
      <c r="F8" s="393"/>
      <c r="G8" s="393"/>
      <c r="H8" s="190"/>
      <c r="I8" s="190"/>
      <c r="J8" s="191"/>
      <c r="K8" s="191"/>
    </row>
    <row r="9" spans="1:23" ht="60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291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291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183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184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4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4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4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4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4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4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4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4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4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4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4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4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4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4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4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4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4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4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4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4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4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4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4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4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4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4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4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4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4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4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4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4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4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4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4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4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4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4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4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4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4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4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4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4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4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4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4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4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4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4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4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45" customHeight="1" outlineLevel="1">
      <c r="A132" s="189">
        <v>122</v>
      </c>
      <c r="B132" s="199" t="s">
        <v>185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CCFF"/>
    <pageSetUpPr fitToPage="1"/>
  </sheetPr>
  <dimension ref="A1:H36"/>
  <sheetViews>
    <sheetView showGridLines="0" topLeftCell="A7" zoomScaleNormal="100" workbookViewId="0">
      <selection activeCell="E31" sqref="E31"/>
    </sheetView>
  </sheetViews>
  <sheetFormatPr defaultColWidth="9.140625" defaultRowHeight="12.75"/>
  <cols>
    <col min="1" max="1" width="5.7109375" style="174" customWidth="1"/>
    <col min="2" max="2" width="11.85546875" style="46" customWidth="1"/>
    <col min="3" max="3" width="49.7109375" style="46" customWidth="1"/>
    <col min="4" max="4" width="18" style="46" customWidth="1"/>
    <col min="5" max="5" width="15.28515625" style="46" bestFit="1" customWidth="1"/>
    <col min="6" max="6" width="2.5703125" style="46" customWidth="1"/>
    <col min="7" max="7" width="68.42578125" style="46" customWidth="1"/>
    <col min="8" max="8" width="15.85546875" style="46" bestFit="1" customWidth="1"/>
    <col min="9" max="16384" width="9.140625" style="46"/>
  </cols>
  <sheetData>
    <row r="1" spans="1:8">
      <c r="B1" s="54" t="s">
        <v>168</v>
      </c>
    </row>
    <row r="2" spans="1:8">
      <c r="B2" s="54" t="s">
        <v>285</v>
      </c>
    </row>
    <row r="3" spans="1:8">
      <c r="B3" s="200"/>
    </row>
    <row r="4" spans="1:8">
      <c r="B4" s="54"/>
    </row>
    <row r="5" spans="1:8">
      <c r="B5" s="54"/>
    </row>
    <row r="6" spans="1:8">
      <c r="A6" s="51">
        <v>-1</v>
      </c>
      <c r="B6" s="54" t="s">
        <v>173</v>
      </c>
    </row>
    <row r="7" spans="1:8">
      <c r="A7" s="51"/>
      <c r="B7" s="54"/>
      <c r="C7" s="46" t="s">
        <v>180</v>
      </c>
      <c r="D7" s="201">
        <v>40831141.109999999</v>
      </c>
    </row>
    <row r="8" spans="1:8">
      <c r="A8" s="51"/>
      <c r="B8" s="54"/>
    </row>
    <row r="9" spans="1:8">
      <c r="B9" s="54"/>
    </row>
    <row r="10" spans="1:8">
      <c r="B10" s="54"/>
    </row>
    <row r="11" spans="1:8">
      <c r="A11" s="51">
        <f>A6-1</f>
        <v>-2</v>
      </c>
      <c r="B11" s="54" t="s">
        <v>170</v>
      </c>
    </row>
    <row r="12" spans="1:8">
      <c r="A12" s="51"/>
      <c r="B12" s="54"/>
      <c r="D12" s="394" t="s">
        <v>175</v>
      </c>
      <c r="E12" s="394"/>
      <c r="F12" s="361"/>
    </row>
    <row r="13" spans="1:8" ht="13.5">
      <c r="C13" s="202" t="s">
        <v>158</v>
      </c>
      <c r="D13" s="202" t="s">
        <v>174</v>
      </c>
      <c r="E13" s="368" t="s">
        <v>323</v>
      </c>
      <c r="F13" s="202"/>
      <c r="G13" s="202" t="s">
        <v>114</v>
      </c>
      <c r="H13" s="202"/>
    </row>
    <row r="14" spans="1:8" s="205" customFormat="1" ht="25.5">
      <c r="A14" s="203"/>
      <c r="B14" s="204" t="s">
        <v>115</v>
      </c>
      <c r="C14" s="205" t="s">
        <v>172</v>
      </c>
      <c r="D14" s="206">
        <v>65090127.303000003</v>
      </c>
      <c r="E14" s="206">
        <v>33961853.57</v>
      </c>
      <c r="F14" s="206"/>
      <c r="G14" s="378" t="s">
        <v>286</v>
      </c>
    </row>
    <row r="15" spans="1:8" s="205" customFormat="1" ht="25.5">
      <c r="A15" s="203"/>
      <c r="B15" s="204" t="s">
        <v>117</v>
      </c>
      <c r="C15" s="207" t="s">
        <v>167</v>
      </c>
      <c r="D15" s="208">
        <v>881014063.745</v>
      </c>
      <c r="E15" s="208">
        <v>933057136.69976926</v>
      </c>
      <c r="F15" s="362"/>
      <c r="G15" s="378" t="s">
        <v>286</v>
      </c>
    </row>
    <row r="16" spans="1:8">
      <c r="B16" s="47" t="s">
        <v>166</v>
      </c>
      <c r="C16" s="46" t="s">
        <v>165</v>
      </c>
      <c r="D16" s="44">
        <f>D14/D15</f>
        <v>7.3880917435433402E-2</v>
      </c>
      <c r="E16" s="44">
        <f>E14/E15</f>
        <v>3.6398471469950226E-2</v>
      </c>
      <c r="F16" s="44"/>
      <c r="G16" s="31" t="s">
        <v>158</v>
      </c>
    </row>
    <row r="17" spans="1:7">
      <c r="B17" s="47"/>
      <c r="D17" s="209"/>
      <c r="E17" s="209"/>
      <c r="F17" s="209"/>
      <c r="G17" s="31"/>
    </row>
    <row r="18" spans="1:7">
      <c r="B18" s="47" t="s">
        <v>123</v>
      </c>
      <c r="C18" s="46" t="s">
        <v>164</v>
      </c>
      <c r="D18" s="44">
        <v>9.2999999999999999E-2</v>
      </c>
      <c r="E18" s="44">
        <v>9.2999999999999999E-2</v>
      </c>
      <c r="F18" s="44"/>
      <c r="G18" s="31" t="s">
        <v>287</v>
      </c>
    </row>
    <row r="19" spans="1:7">
      <c r="B19" s="47"/>
      <c r="G19" s="31"/>
    </row>
    <row r="20" spans="1:7">
      <c r="B20" s="47"/>
      <c r="C20" s="46" t="s">
        <v>163</v>
      </c>
      <c r="D20" s="211"/>
      <c r="E20" s="211"/>
      <c r="F20" s="211"/>
      <c r="G20" s="31"/>
    </row>
    <row r="21" spans="1:7">
      <c r="B21" s="47"/>
      <c r="C21" s="46" t="s">
        <v>162</v>
      </c>
      <c r="D21" s="212"/>
      <c r="E21" s="212"/>
      <c r="F21" s="212"/>
      <c r="G21" s="31"/>
    </row>
    <row r="22" spans="1:7">
      <c r="B22" s="47"/>
      <c r="C22" s="92"/>
      <c r="D22" s="213"/>
      <c r="E22" s="213"/>
      <c r="F22" s="213"/>
      <c r="G22" s="31"/>
    </row>
    <row r="23" spans="1:7" ht="25.5">
      <c r="B23" s="47" t="s">
        <v>161</v>
      </c>
      <c r="C23" s="214" t="s">
        <v>171</v>
      </c>
      <c r="D23" s="215">
        <f>(D18*D15)-D14</f>
        <v>16844180.625285</v>
      </c>
      <c r="E23" s="215">
        <f>(E18*E15)-E14</f>
        <v>52812460.143078543</v>
      </c>
      <c r="F23" s="216"/>
      <c r="G23" s="31" t="s">
        <v>158</v>
      </c>
    </row>
    <row r="24" spans="1:7">
      <c r="B24" s="47"/>
      <c r="C24" s="92"/>
      <c r="D24" s="216"/>
      <c r="E24" s="216"/>
      <c r="F24" s="216"/>
      <c r="G24" s="31"/>
    </row>
    <row r="25" spans="1:7" ht="25.5">
      <c r="B25" s="47" t="s">
        <v>128</v>
      </c>
      <c r="C25" s="92" t="s">
        <v>160</v>
      </c>
      <c r="D25" s="210">
        <v>1.3527309999999999</v>
      </c>
      <c r="E25" s="395">
        <v>1.3398970400000001</v>
      </c>
      <c r="F25" s="210"/>
      <c r="G25" s="378" t="s">
        <v>333</v>
      </c>
    </row>
    <row r="26" spans="1:7" ht="13.5">
      <c r="B26" s="217"/>
      <c r="C26" s="218"/>
      <c r="D26" s="219"/>
      <c r="E26" s="219"/>
      <c r="F26" s="219"/>
      <c r="G26" s="31"/>
    </row>
    <row r="27" spans="1:7">
      <c r="B27" s="47" t="s">
        <v>159</v>
      </c>
      <c r="C27" s="46" t="s">
        <v>175</v>
      </c>
      <c r="D27" s="220">
        <f>D25*D23</f>
        <v>22785645.301422402</v>
      </c>
      <c r="E27" s="220">
        <f>E25*E23</f>
        <v>70763259.020828918</v>
      </c>
      <c r="F27" s="220"/>
      <c r="G27" s="31" t="s">
        <v>158</v>
      </c>
    </row>
    <row r="29" spans="1:7" ht="13.5">
      <c r="B29" s="217" t="s">
        <v>157</v>
      </c>
      <c r="C29" s="221" t="s">
        <v>156</v>
      </c>
      <c r="D29" s="222">
        <f>D27</f>
        <v>22785645.301422402</v>
      </c>
      <c r="E29" s="222">
        <v>40831141.109999999</v>
      </c>
      <c r="F29" s="223"/>
    </row>
    <row r="31" spans="1:7">
      <c r="A31" s="51">
        <v>-3</v>
      </c>
      <c r="B31" s="54" t="s">
        <v>176</v>
      </c>
      <c r="D31" s="201"/>
      <c r="E31" s="363">
        <f>+E29-D29</f>
        <v>18045495.808577597</v>
      </c>
      <c r="F31" s="363"/>
    </row>
    <row r="33" spans="1:4">
      <c r="D33" s="46" t="s">
        <v>45</v>
      </c>
    </row>
    <row r="36" spans="1:4">
      <c r="A36" s="369" t="s">
        <v>186</v>
      </c>
      <c r="B36" s="370" t="s">
        <v>329</v>
      </c>
      <c r="C36" s="370"/>
    </row>
  </sheetData>
  <customSheetViews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D26"/>
  <sheetViews>
    <sheetView zoomScaleNormal="100" workbookViewId="0">
      <selection activeCell="B5" sqref="B5"/>
    </sheetView>
  </sheetViews>
  <sheetFormatPr defaultRowHeight="15"/>
  <cols>
    <col min="1" max="1" width="34.28515625" bestFit="1" customWidth="1"/>
    <col min="2" max="2" width="22.85546875" bestFit="1" customWidth="1"/>
    <col min="3" max="3" width="23.42578125" bestFit="1" customWidth="1"/>
    <col min="4" max="4" width="13.5703125" bestFit="1" customWidth="1"/>
  </cols>
  <sheetData>
    <row r="1" spans="1:4">
      <c r="A1" s="232" t="s">
        <v>308</v>
      </c>
      <c r="B1" s="233"/>
      <c r="D1" s="235"/>
    </row>
    <row r="2" spans="1:4">
      <c r="A2" s="224"/>
      <c r="B2" s="224"/>
    </row>
    <row r="3" spans="1:4">
      <c r="A3" s="231" t="s">
        <v>293</v>
      </c>
      <c r="B3" s="225">
        <v>40831141</v>
      </c>
    </row>
    <row r="4" spans="1:4">
      <c r="A4" s="89" t="s">
        <v>294</v>
      </c>
      <c r="B4" s="72">
        <f>(B3*B11)+B3</f>
        <v>43403502.883000001</v>
      </c>
    </row>
    <row r="5" spans="1:4">
      <c r="A5" s="224"/>
      <c r="B5" s="225">
        <f>B4-B3</f>
        <v>2572361.8830000013</v>
      </c>
    </row>
    <row r="6" spans="1:4" ht="15.75" thickBot="1">
      <c r="A6" s="224"/>
      <c r="B6" s="224"/>
    </row>
    <row r="7" spans="1:4">
      <c r="A7" s="224"/>
      <c r="B7" s="226" t="s">
        <v>295</v>
      </c>
    </row>
    <row r="8" spans="1:4">
      <c r="A8" s="224"/>
      <c r="B8" s="227">
        <v>44903</v>
      </c>
    </row>
    <row r="9" spans="1:4">
      <c r="A9" s="224"/>
      <c r="B9" s="227">
        <v>44926</v>
      </c>
    </row>
    <row r="10" spans="1:4">
      <c r="A10" s="224"/>
      <c r="B10" s="228">
        <f>B9-B8</f>
        <v>23</v>
      </c>
    </row>
    <row r="11" spans="1:4" ht="15.75" thickBot="1">
      <c r="A11" s="224"/>
      <c r="B11" s="229">
        <f>ROUND(B10/365,4)</f>
        <v>6.3E-2</v>
      </c>
    </row>
    <row r="15" spans="1:4">
      <c r="A15" s="234" t="s">
        <v>309</v>
      </c>
      <c r="B15" s="235"/>
      <c r="C15" s="235"/>
      <c r="D15" s="235"/>
    </row>
    <row r="17" spans="1:4">
      <c r="A17" s="231" t="s">
        <v>312</v>
      </c>
    </row>
    <row r="18" spans="1:4">
      <c r="A18" s="231" t="s">
        <v>313</v>
      </c>
      <c r="B18" s="225">
        <v>23062819.814075403</v>
      </c>
      <c r="C18" s="236">
        <f>3/12</f>
        <v>0.25</v>
      </c>
      <c r="D18" s="225">
        <f>B18*C18</f>
        <v>5765704.9535188507</v>
      </c>
    </row>
    <row r="19" spans="1:4">
      <c r="C19" s="236"/>
      <c r="D19" s="225"/>
    </row>
    <row r="20" spans="1:4">
      <c r="A20" s="231" t="s">
        <v>311</v>
      </c>
      <c r="C20" s="237"/>
      <c r="D20" s="225"/>
    </row>
    <row r="21" spans="1:4">
      <c r="A21" s="231" t="s">
        <v>310</v>
      </c>
      <c r="B21" s="225">
        <v>28713558.517867979</v>
      </c>
      <c r="C21" s="236">
        <f>3/12</f>
        <v>0.25</v>
      </c>
      <c r="D21" s="225">
        <f>B21*C21</f>
        <v>7178389.6294669947</v>
      </c>
    </row>
    <row r="22" spans="1:4">
      <c r="C22" s="237"/>
      <c r="D22" s="225"/>
    </row>
    <row r="23" spans="1:4">
      <c r="A23" s="231" t="s">
        <v>314</v>
      </c>
      <c r="C23" s="237"/>
      <c r="D23" s="225"/>
    </row>
    <row r="24" spans="1:4">
      <c r="A24" s="231" t="s">
        <v>315</v>
      </c>
      <c r="B24" s="225">
        <v>13897858.318884226</v>
      </c>
      <c r="C24" s="236">
        <f>6/12</f>
        <v>0.5</v>
      </c>
      <c r="D24" s="225">
        <f>B24*C24</f>
        <v>6948929.1594421128</v>
      </c>
    </row>
    <row r="25" spans="1:4">
      <c r="D25" s="225"/>
    </row>
    <row r="26" spans="1:4">
      <c r="A26" s="231" t="s">
        <v>316</v>
      </c>
      <c r="D26" s="225">
        <f>SUM(D18:D24)</f>
        <v>19893023.742427956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zoomScale="80" zoomScaleNormal="80" workbookViewId="0">
      <selection activeCell="B55" sqref="B55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2:15" ht="18.75">
      <c r="B2" s="382" t="s">
        <v>95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2:15" ht="20.45" customHeight="1">
      <c r="B3" s="383" t="s">
        <v>332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17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34">
        <f>'PPA Form 1.0'!G57</f>
        <v>20665312.186772685</v>
      </c>
      <c r="H9" s="334">
        <f>'PPA Form 1.0'!G58</f>
        <v>817770.34224490693</v>
      </c>
      <c r="I9" s="334">
        <f>G9+H9</f>
        <v>21483082.529017594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5">
        <v>2.4279999999999999E-4</v>
      </c>
      <c r="F20" s="156">
        <f>ROUND(C20*E20,0)</f>
        <v>433815</v>
      </c>
      <c r="G20" s="336">
        <f>ROUND(G$9*(F20/F$29),0)</f>
        <v>9691420</v>
      </c>
      <c r="H20" s="336">
        <f>ROUND(H$9*(C20/C$29),0)</f>
        <v>278796</v>
      </c>
      <c r="I20" s="337">
        <f>ROUND(IF(D20&gt;0,G20/D20,0),2)</f>
        <v>0</v>
      </c>
      <c r="J20" s="156"/>
      <c r="K20" s="338">
        <f>ROUND(IF(D20&gt;0,H20/C20,(G20+H20)/C20),5)</f>
        <v>5.5799999999999999E-3</v>
      </c>
      <c r="L20" s="157"/>
      <c r="M20" s="336">
        <f>(C20*K20)+(D20*I20)</f>
        <v>9969872.0101200007</v>
      </c>
      <c r="N20" s="339">
        <f>M20-H20-G20</f>
        <v>-343.98987999930978</v>
      </c>
      <c r="O20" s="329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5">
        <v>1.962E-4</v>
      </c>
      <c r="F21" s="156">
        <f>ROUND(C21*E21,0)</f>
        <v>116155</v>
      </c>
      <c r="G21" s="340">
        <f t="shared" ref="G21:G27" si="0">ROUND(G$9*(F21/F$29),0)</f>
        <v>2594901</v>
      </c>
      <c r="H21" s="340">
        <f t="shared" ref="H21:H27" si="1">ROUND(H$9*(C21/C$29),0)</f>
        <v>92378</v>
      </c>
      <c r="I21" s="337">
        <f t="shared" ref="I21:I27" si="2">ROUND(IF(D21&gt;0,G21/D21,0),2)</f>
        <v>0</v>
      </c>
      <c r="J21" s="156"/>
      <c r="K21" s="338">
        <f>ROUND(IF(D21&gt;0,H21/C21,(G21+H21)/C21),5)</f>
        <v>4.5399999999999998E-3</v>
      </c>
      <c r="L21" s="158"/>
      <c r="M21" s="340">
        <f>(C21*K21)+(D21*I21)</f>
        <v>2687778.0503799999</v>
      </c>
      <c r="N21" s="339">
        <f>M21-H21-G21</f>
        <v>499.05037999991328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5">
        <v>1.7980000000000001E-4</v>
      </c>
      <c r="F22" s="156">
        <f t="shared" ref="F22:F27" si="3">ROUND(C22*E22,0)</f>
        <v>84869</v>
      </c>
      <c r="G22" s="340">
        <f t="shared" si="0"/>
        <v>1895972</v>
      </c>
      <c r="H22" s="340">
        <f t="shared" si="1"/>
        <v>73653</v>
      </c>
      <c r="I22" s="337">
        <f>ROUND(IF(D22&gt;0,G22/D22,0),2)</f>
        <v>1.24</v>
      </c>
      <c r="J22" s="156"/>
      <c r="K22" s="338">
        <f>ROUND(IF(D22&gt;0,H22/C22,(G22+H22)/C22),5)</f>
        <v>1.6000000000000001E-4</v>
      </c>
      <c r="L22" s="157"/>
      <c r="M22" s="340">
        <f t="shared" ref="M22:M27" si="4">(C22*K22)+(D22*I22)</f>
        <v>1971016.8785600001</v>
      </c>
      <c r="N22" s="339">
        <f>M22-H22-G22</f>
        <v>1391.8785600000992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35">
        <f>E22</f>
        <v>1.7980000000000001E-4</v>
      </c>
      <c r="F23" s="156">
        <f t="shared" si="3"/>
        <v>299</v>
      </c>
      <c r="G23" s="340">
        <f t="shared" si="0"/>
        <v>6680</v>
      </c>
      <c r="H23" s="340">
        <f t="shared" si="1"/>
        <v>260</v>
      </c>
      <c r="I23" s="337">
        <f t="shared" si="2"/>
        <v>0</v>
      </c>
      <c r="J23" s="156"/>
      <c r="K23" s="338">
        <f t="shared" ref="K23:K27" si="5">ROUND(IF(D23&gt;0,H23/C23,(G23+H23)/C23),5)</f>
        <v>4.1700000000000001E-3</v>
      </c>
      <c r="L23" s="158"/>
      <c r="M23" s="340">
        <f t="shared" si="4"/>
        <v>6940.4395800000002</v>
      </c>
      <c r="N23" s="339">
        <f t="shared" ref="N23:N27" si="6">M23-H23-G23</f>
        <v>0.43958000000020547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35">
        <v>1.2320000000000001E-4</v>
      </c>
      <c r="F24" s="156">
        <f t="shared" si="3"/>
        <v>288485</v>
      </c>
      <c r="G24" s="340">
        <f t="shared" si="0"/>
        <v>6444750</v>
      </c>
      <c r="H24" s="340">
        <f t="shared" si="1"/>
        <v>365379</v>
      </c>
      <c r="I24" s="337">
        <f>ROUND(IF(D24&gt;0,G24/D24,0),2)</f>
        <v>1.63</v>
      </c>
      <c r="J24" s="156"/>
      <c r="K24" s="338">
        <f>ROUND(IF(D24&gt;0,H24/C24,(G24+H24)/C24),5)</f>
        <v>1.6000000000000001E-4</v>
      </c>
      <c r="L24" s="157"/>
      <c r="M24" s="340">
        <f t="shared" si="4"/>
        <v>6822406.5081599997</v>
      </c>
      <c r="N24" s="339">
        <f t="shared" si="6"/>
        <v>12277.508159999736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35">
        <v>1.326E-4</v>
      </c>
      <c r="F25" s="156">
        <f t="shared" si="3"/>
        <v>229</v>
      </c>
      <c r="G25" s="340">
        <f t="shared" si="0"/>
        <v>5116</v>
      </c>
      <c r="H25" s="340">
        <f t="shared" si="1"/>
        <v>269</v>
      </c>
      <c r="I25" s="337">
        <f t="shared" si="2"/>
        <v>0</v>
      </c>
      <c r="J25" s="156"/>
      <c r="K25" s="338">
        <f t="shared" si="5"/>
        <v>3.1199999999999999E-3</v>
      </c>
      <c r="L25" s="158"/>
      <c r="M25" s="340">
        <f t="shared" si="4"/>
        <v>5385.0607199999995</v>
      </c>
      <c r="N25" s="339">
        <f t="shared" si="6"/>
        <v>6.0719999999491847E-2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35">
        <v>2.6299999999999999E-5</v>
      </c>
      <c r="F26" s="156">
        <f t="shared" si="3"/>
        <v>965</v>
      </c>
      <c r="G26" s="340">
        <f t="shared" si="0"/>
        <v>21558</v>
      </c>
      <c r="H26" s="340">
        <f t="shared" si="1"/>
        <v>5723</v>
      </c>
      <c r="I26" s="337">
        <f t="shared" si="2"/>
        <v>0</v>
      </c>
      <c r="J26" s="156"/>
      <c r="K26" s="338">
        <f t="shared" si="5"/>
        <v>7.3999999999999999E-4</v>
      </c>
      <c r="L26" s="158"/>
      <c r="M26" s="340">
        <f t="shared" si="4"/>
        <v>27142.412639999999</v>
      </c>
      <c r="N26" s="339">
        <f t="shared" si="6"/>
        <v>-138.58736000000135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35">
        <v>2.62E-5</v>
      </c>
      <c r="F27" s="156">
        <f t="shared" si="3"/>
        <v>220</v>
      </c>
      <c r="G27" s="340">
        <f t="shared" si="0"/>
        <v>4915</v>
      </c>
      <c r="H27" s="340">
        <f t="shared" si="1"/>
        <v>1312</v>
      </c>
      <c r="I27" s="337">
        <f t="shared" si="2"/>
        <v>0</v>
      </c>
      <c r="J27" s="156"/>
      <c r="K27" s="338">
        <f t="shared" si="5"/>
        <v>7.3999999999999999E-4</v>
      </c>
      <c r="L27" s="158"/>
      <c r="M27" s="340">
        <f t="shared" si="4"/>
        <v>6221.4338200000002</v>
      </c>
      <c r="N27" s="339">
        <f t="shared" si="6"/>
        <v>-5.5661799999998038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1">
        <f>SUM(C20:C27)</f>
        <v>5240828637</v>
      </c>
      <c r="D29" s="341">
        <f>SUM(D20:D27)</f>
        <v>5484299.5999999996</v>
      </c>
      <c r="E29" s="161"/>
      <c r="F29" s="341">
        <f>SUM(F20:F27)</f>
        <v>925037</v>
      </c>
      <c r="G29" s="162">
        <f>SUM(G20:G27)</f>
        <v>20665312</v>
      </c>
      <c r="H29" s="162">
        <f>SUM(H20:H27)</f>
        <v>817770</v>
      </c>
      <c r="I29" s="162"/>
      <c r="J29" s="162"/>
      <c r="K29" s="160"/>
      <c r="L29" s="160"/>
      <c r="M29" s="162">
        <f>SUM(M20:M27)</f>
        <v>21496762.793980002</v>
      </c>
      <c r="N29" s="162">
        <f>SUM(N20:N27)</f>
        <v>13680.793980000437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customSheetViews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pageSetUpPr fitToPage="1"/>
  </sheetPr>
  <dimension ref="A1:O43"/>
  <sheetViews>
    <sheetView showGridLines="0" zoomScale="80" zoomScaleNormal="80" workbookViewId="0">
      <selection activeCell="H11" sqref="H11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2:15" ht="18.75">
      <c r="B2" s="382" t="s">
        <v>95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2:15" ht="20.45" customHeight="1">
      <c r="B3" s="383" t="s">
        <v>322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17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34">
        <f>'PPA Form 1.0'!H57</f>
        <v>46835608.681917846</v>
      </c>
      <c r="H9" s="334">
        <f>'PPA Form 1.0'!H58</f>
        <v>1853384.6183836404</v>
      </c>
      <c r="I9" s="334">
        <f>G9+H9</f>
        <v>48688993.300301485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5">
        <v>2.4279999999999999E-4</v>
      </c>
      <c r="F20" s="156">
        <f>ROUND(C20*E20,0)</f>
        <v>433815</v>
      </c>
      <c r="G20" s="336">
        <f>ROUND(G$9*(F20/F$29),0)</f>
        <v>21964516</v>
      </c>
      <c r="H20" s="336">
        <f>ROUND(H$9*(C20/C$29),0)</f>
        <v>631860</v>
      </c>
      <c r="I20" s="337">
        <f>ROUND(IF(D20&gt;0,G20/D20,0),2)</f>
        <v>0</v>
      </c>
      <c r="J20" s="156"/>
      <c r="K20" s="338">
        <f>ROUND(IF(D20&gt;0,H20/C20,(G20+H20)/C20),5)</f>
        <v>1.265E-2</v>
      </c>
      <c r="L20" s="157"/>
      <c r="M20" s="336">
        <f>(C20*K20)+(D20*I20)</f>
        <v>22601949.987100001</v>
      </c>
      <c r="N20" s="339">
        <f>M20-H20-G20</f>
        <v>5573.9871000014246</v>
      </c>
      <c r="O20" s="329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5">
        <v>1.962E-4</v>
      </c>
      <c r="F21" s="156">
        <f>ROUND(C21*E21,0)</f>
        <v>116155</v>
      </c>
      <c r="G21" s="340">
        <f t="shared" ref="G21:G27" si="0">ROUND(G$9*(F21/F$29),0)</f>
        <v>5881051</v>
      </c>
      <c r="H21" s="340">
        <f t="shared" ref="H21:H27" si="1">ROUND(H$9*(C21/C$29),0)</f>
        <v>209365</v>
      </c>
      <c r="I21" s="337">
        <f t="shared" ref="I21:I27" si="2">ROUND(IF(D21&gt;0,G21/D21,0),2)</f>
        <v>0</v>
      </c>
      <c r="J21" s="156"/>
      <c r="K21" s="338">
        <f>ROUND(IF(D21&gt;0,H21/C21,(G21+H21)/C21),5)</f>
        <v>1.0290000000000001E-2</v>
      </c>
      <c r="L21" s="158"/>
      <c r="M21" s="340">
        <f>(C21*K21)+(D21*I21)</f>
        <v>6091902.2331300005</v>
      </c>
      <c r="N21" s="339">
        <f>M21-H21-G21</f>
        <v>1486.2331300005317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5">
        <v>1.7980000000000001E-4</v>
      </c>
      <c r="F22" s="156">
        <f t="shared" ref="F22:F27" si="3">ROUND(C22*E22,0)</f>
        <v>84869</v>
      </c>
      <c r="G22" s="340">
        <f t="shared" si="0"/>
        <v>4297008</v>
      </c>
      <c r="H22" s="340">
        <f t="shared" si="1"/>
        <v>166927</v>
      </c>
      <c r="I22" s="337">
        <f>ROUND(IF(D22&gt;0,G22/D22,0),2)</f>
        <v>2.81</v>
      </c>
      <c r="J22" s="156"/>
      <c r="K22" s="338">
        <f>ROUND(IF(D22&gt;0,H22/C22,(G22+H22)/C22),5)</f>
        <v>3.5E-4</v>
      </c>
      <c r="L22" s="157"/>
      <c r="M22" s="340">
        <f t="shared" ref="M22:M27" si="4">(C22*K22)+(D22*I22)</f>
        <v>4460640.2618500004</v>
      </c>
      <c r="N22" s="339">
        <f>M22-H22-G22</f>
        <v>-3294.7381499996409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35">
        <f>E22</f>
        <v>1.7980000000000001E-4</v>
      </c>
      <c r="F23" s="156">
        <f t="shared" si="3"/>
        <v>299</v>
      </c>
      <c r="G23" s="340">
        <f t="shared" si="0"/>
        <v>15139</v>
      </c>
      <c r="H23" s="340">
        <f t="shared" si="1"/>
        <v>589</v>
      </c>
      <c r="I23" s="337">
        <f t="shared" si="2"/>
        <v>0</v>
      </c>
      <c r="J23" s="156"/>
      <c r="K23" s="338">
        <f t="shared" ref="K23:K27" si="5">ROUND(IF(D23&gt;0,H23/C23,(G23+H23)/C23),5)</f>
        <v>9.4500000000000001E-3</v>
      </c>
      <c r="L23" s="158"/>
      <c r="M23" s="340">
        <f t="shared" si="4"/>
        <v>15728.3343</v>
      </c>
      <c r="N23" s="339">
        <f t="shared" ref="N23:N27" si="6">M23-H23-G23</f>
        <v>0.33430000000043947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35">
        <v>1.2320000000000001E-4</v>
      </c>
      <c r="F24" s="156">
        <f t="shared" si="3"/>
        <v>288485</v>
      </c>
      <c r="G24" s="340">
        <f t="shared" si="0"/>
        <v>14606303</v>
      </c>
      <c r="H24" s="340">
        <f t="shared" si="1"/>
        <v>828090</v>
      </c>
      <c r="I24" s="337">
        <f>ROUND(IF(D24&gt;0,G24/D24,0),2)</f>
        <v>3.69</v>
      </c>
      <c r="J24" s="156"/>
      <c r="K24" s="338">
        <f>ROUND(IF(D24&gt;0,H24/C24,(G24+H24)/C24),5)</f>
        <v>3.5E-4</v>
      </c>
      <c r="L24" s="157"/>
      <c r="M24" s="340">
        <f t="shared" si="4"/>
        <v>15416001.389349999</v>
      </c>
      <c r="N24" s="339">
        <f t="shared" si="6"/>
        <v>-18391.610650001094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35">
        <v>1.326E-4</v>
      </c>
      <c r="F25" s="156">
        <f t="shared" si="3"/>
        <v>229</v>
      </c>
      <c r="G25" s="340">
        <f t="shared" si="0"/>
        <v>11595</v>
      </c>
      <c r="H25" s="340">
        <f t="shared" si="1"/>
        <v>610</v>
      </c>
      <c r="I25" s="337">
        <f t="shared" si="2"/>
        <v>0</v>
      </c>
      <c r="J25" s="156"/>
      <c r="K25" s="338">
        <f t="shared" si="5"/>
        <v>7.0699999999999999E-3</v>
      </c>
      <c r="L25" s="158"/>
      <c r="M25" s="340">
        <f t="shared" si="4"/>
        <v>12202.685669999999</v>
      </c>
      <c r="N25" s="339">
        <f t="shared" si="6"/>
        <v>-2.314330000001064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35">
        <v>2.6299999999999999E-5</v>
      </c>
      <c r="F26" s="156">
        <f t="shared" si="3"/>
        <v>965</v>
      </c>
      <c r="G26" s="340">
        <f t="shared" si="0"/>
        <v>48859</v>
      </c>
      <c r="H26" s="340">
        <f t="shared" si="1"/>
        <v>12971</v>
      </c>
      <c r="I26" s="337">
        <f t="shared" si="2"/>
        <v>0</v>
      </c>
      <c r="J26" s="156"/>
      <c r="K26" s="338">
        <f t="shared" si="5"/>
        <v>1.6900000000000001E-3</v>
      </c>
      <c r="L26" s="158"/>
      <c r="M26" s="340">
        <f t="shared" si="4"/>
        <v>61987.401840000006</v>
      </c>
      <c r="N26" s="339">
        <f t="shared" si="6"/>
        <v>157.4018400000059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35">
        <v>2.62E-5</v>
      </c>
      <c r="F27" s="156">
        <f t="shared" si="3"/>
        <v>220</v>
      </c>
      <c r="G27" s="340">
        <f t="shared" si="0"/>
        <v>11139</v>
      </c>
      <c r="H27" s="340">
        <f t="shared" si="1"/>
        <v>2973</v>
      </c>
      <c r="I27" s="337">
        <f t="shared" si="2"/>
        <v>0</v>
      </c>
      <c r="J27" s="156"/>
      <c r="K27" s="338">
        <f t="shared" si="5"/>
        <v>1.6800000000000001E-3</v>
      </c>
      <c r="L27" s="158"/>
      <c r="M27" s="340">
        <f t="shared" si="4"/>
        <v>14124.336240000001</v>
      </c>
      <c r="N27" s="339">
        <f t="shared" si="6"/>
        <v>12.336240000000544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1">
        <f>SUM(C20:C27)</f>
        <v>5240828637</v>
      </c>
      <c r="D29" s="341">
        <f>SUM(D20:D27)</f>
        <v>5484299.5999999996</v>
      </c>
      <c r="E29" s="161"/>
      <c r="F29" s="341">
        <f>SUM(F20:F27)</f>
        <v>925037</v>
      </c>
      <c r="G29" s="162">
        <f>SUM(G20:G27)</f>
        <v>46835610</v>
      </c>
      <c r="H29" s="162">
        <f>SUM(H20:H27)</f>
        <v>1853385</v>
      </c>
      <c r="I29" s="162"/>
      <c r="J29" s="162"/>
      <c r="K29" s="160"/>
      <c r="L29" s="160"/>
      <c r="M29" s="162">
        <f>SUM(M20:M27)</f>
        <v>48674536.629480004</v>
      </c>
      <c r="N29" s="162">
        <f>SUM(N20:N27)</f>
        <v>-14458.370519998773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FF1C-8E5D-409A-A571-D664C9D13498}">
  <sheetPr>
    <tabColor rgb="FFCCFFFF"/>
    <pageSetUpPr fitToPage="1"/>
  </sheetPr>
  <dimension ref="A1:O43"/>
  <sheetViews>
    <sheetView showGridLines="0" zoomScale="80" zoomScaleNormal="80" workbookViewId="0">
      <selection activeCell="B3" sqref="B3:N3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2:15" ht="18.75">
      <c r="B2" s="382" t="s">
        <v>95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2:15" ht="20.45" customHeight="1">
      <c r="B3" s="383" t="s">
        <v>331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17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34">
        <f>+'PPA Form 1.0'!I57</f>
        <v>5053946.2109086672</v>
      </c>
      <c r="H9" s="334">
        <f>+'PPA Form 1.0'!I58</f>
        <v>199995.39737064959</v>
      </c>
      <c r="I9" s="334">
        <f>G9+H9</f>
        <v>5253941.6082793167</v>
      </c>
      <c r="J9" s="149"/>
      <c r="K9" s="375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5">
        <v>2.4279999999999999E-4</v>
      </c>
      <c r="F20" s="156">
        <f>ROUND(C20*E20,0)</f>
        <v>433815</v>
      </c>
      <c r="G20" s="336">
        <f>ROUND(G$9*(F20/F$29),0)</f>
        <v>2370151</v>
      </c>
      <c r="H20" s="336">
        <f>ROUND(H$9*(C20/C$29),0)</f>
        <v>68183</v>
      </c>
      <c r="I20" s="337">
        <f>ROUND(IF(D20&gt;0,G20/D20,0),2)</f>
        <v>0</v>
      </c>
      <c r="J20" s="156"/>
      <c r="K20" s="338">
        <f>ROUND(IF(D20&gt;0,H20/C20,(G20+H20)/C20),5)</f>
        <v>1.3600000000000001E-3</v>
      </c>
      <c r="L20" s="157"/>
      <c r="M20" s="336">
        <f>(C20*K20)+(D20*I20)</f>
        <v>2429932.9630400003</v>
      </c>
      <c r="N20" s="339">
        <f>M20-H20-G20</f>
        <v>-8401.0369599997066</v>
      </c>
      <c r="O20" s="329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5">
        <v>1.962E-4</v>
      </c>
      <c r="F21" s="156">
        <f>ROUND(C21*E21,0)</f>
        <v>116155</v>
      </c>
      <c r="G21" s="340">
        <f t="shared" ref="G21:G27" si="0">ROUND(G$9*(F21/F$29),0)</f>
        <v>634614</v>
      </c>
      <c r="H21" s="340">
        <f t="shared" ref="H21:H27" si="1">ROUND(H$9*(C21/C$29),0)</f>
        <v>22592</v>
      </c>
      <c r="I21" s="337">
        <f t="shared" ref="I21:I27" si="2">ROUND(IF(D21&gt;0,G21/D21,0),2)</f>
        <v>0</v>
      </c>
      <c r="J21" s="156"/>
      <c r="K21" s="338">
        <f>ROUND(IF(D21&gt;0,H21/C21,(G21+H21)/C21),5)</f>
        <v>1.1100000000000001E-3</v>
      </c>
      <c r="L21" s="158"/>
      <c r="M21" s="340">
        <f>(C21*K21)+(D21*I21)</f>
        <v>657143.97267000005</v>
      </c>
      <c r="N21" s="339">
        <f>M21-H21-G21</f>
        <v>-62.027329999953508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5">
        <v>1.7980000000000001E-4</v>
      </c>
      <c r="F22" s="156">
        <f t="shared" ref="F22:F27" si="3">ROUND(C22*E22,0)</f>
        <v>84869</v>
      </c>
      <c r="G22" s="340">
        <f t="shared" si="0"/>
        <v>463682</v>
      </c>
      <c r="H22" s="340">
        <f t="shared" si="1"/>
        <v>18013</v>
      </c>
      <c r="I22" s="337">
        <f>ROUND(IF(D22&gt;0,G22/D22,0),2)</f>
        <v>0.3</v>
      </c>
      <c r="J22" s="156"/>
      <c r="K22" s="338">
        <f>ROUND(IF(D22&gt;0,H22/C22,(G22+H22)/C22),5)</f>
        <v>4.0000000000000003E-5</v>
      </c>
      <c r="L22" s="157"/>
      <c r="M22" s="340">
        <f t="shared" ref="M22:M27" si="4">(C22*K22)+(D22*I22)</f>
        <v>477467.97964000003</v>
      </c>
      <c r="N22" s="339">
        <f>M22-H22-G22</f>
        <v>-4227.0203599999659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35">
        <f>E22</f>
        <v>1.7980000000000001E-4</v>
      </c>
      <c r="F23" s="156">
        <f t="shared" si="3"/>
        <v>299</v>
      </c>
      <c r="G23" s="340">
        <f t="shared" si="0"/>
        <v>1634</v>
      </c>
      <c r="H23" s="340">
        <f t="shared" si="1"/>
        <v>64</v>
      </c>
      <c r="I23" s="337">
        <f t="shared" si="2"/>
        <v>0</v>
      </c>
      <c r="J23" s="156"/>
      <c r="K23" s="338">
        <f t="shared" ref="K23:K27" si="5">ROUND(IF(D23&gt;0,H23/C23,(G23+H23)/C23),5)</f>
        <v>1.0200000000000001E-3</v>
      </c>
      <c r="L23" s="158"/>
      <c r="M23" s="340">
        <f t="shared" si="4"/>
        <v>1697.6614800000002</v>
      </c>
      <c r="N23" s="339">
        <f t="shared" ref="N23:N27" si="6">M23-H23-G23</f>
        <v>-0.33851999999978943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35">
        <v>1.2320000000000001E-4</v>
      </c>
      <c r="F24" s="156">
        <f t="shared" si="3"/>
        <v>288485</v>
      </c>
      <c r="G24" s="340">
        <f t="shared" si="0"/>
        <v>1576140</v>
      </c>
      <c r="H24" s="340">
        <f t="shared" si="1"/>
        <v>89358</v>
      </c>
      <c r="I24" s="337">
        <f>ROUND(IF(D24&gt;0,G24/D24,0),2)</f>
        <v>0.4</v>
      </c>
      <c r="J24" s="156"/>
      <c r="K24" s="338">
        <f>ROUND(IF(D24&gt;0,H24/C24,(G24+H24)/C24),5)</f>
        <v>4.0000000000000003E-5</v>
      </c>
      <c r="L24" s="157"/>
      <c r="M24" s="340">
        <f t="shared" si="4"/>
        <v>1675934.0600400001</v>
      </c>
      <c r="N24" s="339">
        <f t="shared" si="6"/>
        <v>10436.060040000128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35">
        <v>1.326E-4</v>
      </c>
      <c r="F25" s="156">
        <f t="shared" si="3"/>
        <v>229</v>
      </c>
      <c r="G25" s="340">
        <f t="shared" si="0"/>
        <v>1251</v>
      </c>
      <c r="H25" s="340">
        <f t="shared" si="1"/>
        <v>66</v>
      </c>
      <c r="I25" s="337">
        <f t="shared" si="2"/>
        <v>0</v>
      </c>
      <c r="J25" s="156"/>
      <c r="K25" s="338">
        <f t="shared" si="5"/>
        <v>7.6000000000000004E-4</v>
      </c>
      <c r="L25" s="158"/>
      <c r="M25" s="340">
        <f t="shared" si="4"/>
        <v>1311.7455600000001</v>
      </c>
      <c r="N25" s="339">
        <f t="shared" si="6"/>
        <v>-5.2544399999999314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35">
        <v>2.6299999999999999E-5</v>
      </c>
      <c r="F26" s="156">
        <f t="shared" si="3"/>
        <v>965</v>
      </c>
      <c r="G26" s="340">
        <f t="shared" si="0"/>
        <v>5272</v>
      </c>
      <c r="H26" s="340">
        <f t="shared" si="1"/>
        <v>1400</v>
      </c>
      <c r="I26" s="337">
        <f t="shared" si="2"/>
        <v>0</v>
      </c>
      <c r="J26" s="156"/>
      <c r="K26" s="338">
        <f t="shared" si="5"/>
        <v>1.8000000000000001E-4</v>
      </c>
      <c r="L26" s="158"/>
      <c r="M26" s="340">
        <f t="shared" si="4"/>
        <v>6602.2084800000002</v>
      </c>
      <c r="N26" s="339">
        <f t="shared" si="6"/>
        <v>-69.791519999999764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35">
        <v>2.62E-5</v>
      </c>
      <c r="F27" s="156">
        <f t="shared" si="3"/>
        <v>220</v>
      </c>
      <c r="G27" s="340">
        <f t="shared" si="0"/>
        <v>1202</v>
      </c>
      <c r="H27" s="340">
        <f t="shared" si="1"/>
        <v>321</v>
      </c>
      <c r="I27" s="337">
        <f t="shared" si="2"/>
        <v>0</v>
      </c>
      <c r="J27" s="156"/>
      <c r="K27" s="338">
        <f t="shared" si="5"/>
        <v>1.8000000000000001E-4</v>
      </c>
      <c r="L27" s="158"/>
      <c r="M27" s="340">
        <f t="shared" si="4"/>
        <v>1513.3217400000001</v>
      </c>
      <c r="N27" s="339">
        <f t="shared" si="6"/>
        <v>-9.6782599999999093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1">
        <f>SUM(C20:C27)</f>
        <v>5240828637</v>
      </c>
      <c r="D29" s="341">
        <f>SUM(D20:D27)</f>
        <v>5484299.5999999996</v>
      </c>
      <c r="E29" s="161"/>
      <c r="F29" s="341">
        <f>SUM(F20:F27)</f>
        <v>925037</v>
      </c>
      <c r="G29" s="162">
        <f>SUM(G20:G27)</f>
        <v>5053946</v>
      </c>
      <c r="H29" s="162">
        <f>SUM(H20:H27)</f>
        <v>199997</v>
      </c>
      <c r="I29" s="162"/>
      <c r="J29" s="162"/>
      <c r="K29" s="160"/>
      <c r="L29" s="160"/>
      <c r="M29" s="162">
        <f>SUM(M20:M27)</f>
        <v>5251603.9126499994</v>
      </c>
      <c r="N29" s="162">
        <f>SUM(N20:N27)</f>
        <v>-2339.0873499994968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E05B-6E46-4DDB-8A9C-FC9A0FF41876}">
  <sheetPr>
    <tabColor rgb="FFCCCCFF"/>
    <pageSetUpPr fitToPage="1"/>
  </sheetPr>
  <dimension ref="A1:O43"/>
  <sheetViews>
    <sheetView showGridLines="0" zoomScale="80" zoomScaleNormal="80" workbookViewId="0">
      <selection activeCell="Q33" sqref="Q33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2:15" ht="18.75">
      <c r="B2" s="382" t="s">
        <v>95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2:15" ht="20.45" customHeight="1">
      <c r="B3" s="384" t="s">
        <v>321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17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34">
        <f>'PPA Form 1.0'!J57</f>
        <v>22412526.104908977</v>
      </c>
      <c r="H9" s="334">
        <f>'PPA Form 1.0'!J58</f>
        <v>886911.31194794038</v>
      </c>
      <c r="I9" s="334">
        <f>G9+H9</f>
        <v>23299437.416856918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5">
        <v>2.4279999999999999E-4</v>
      </c>
      <c r="F20" s="156">
        <f>ROUND(C20*E20,0)</f>
        <v>433815</v>
      </c>
      <c r="G20" s="336">
        <f>ROUND(G$9*(F20/F$29),0)</f>
        <v>10510812</v>
      </c>
      <c r="H20" s="336">
        <f>ROUND(H$9*(C20/C$29),0)</f>
        <v>302368</v>
      </c>
      <c r="I20" s="337">
        <f>ROUND(IF(D20&gt;0,G20/D20,0),2)</f>
        <v>0</v>
      </c>
      <c r="J20" s="156"/>
      <c r="K20" s="338">
        <f>ROUND(IF(D20&gt;0,H20/C20,(G20+H20)/C20),5)</f>
        <v>6.0499999999999998E-3</v>
      </c>
      <c r="L20" s="157"/>
      <c r="M20" s="336">
        <f>(C20*K20)+(D20*I20)</f>
        <v>10809628.254699999</v>
      </c>
      <c r="N20" s="339">
        <f>M20-H20-G20</f>
        <v>-3551.7453000005335</v>
      </c>
      <c r="O20" s="329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5">
        <v>1.962E-4</v>
      </c>
      <c r="F21" s="156">
        <f>ROUND(C21*E21,0)</f>
        <v>116155</v>
      </c>
      <c r="G21" s="340">
        <f t="shared" ref="G21:G27" si="0">ROUND(G$9*(F21/F$29),0)</f>
        <v>2814295</v>
      </c>
      <c r="H21" s="340">
        <f t="shared" ref="H21:H27" si="1">ROUND(H$9*(C21/C$29),0)</f>
        <v>100188</v>
      </c>
      <c r="I21" s="337">
        <f t="shared" ref="I21:I27" si="2">ROUND(IF(D21&gt;0,G21/D21,0),2)</f>
        <v>0</v>
      </c>
      <c r="J21" s="156"/>
      <c r="K21" s="338">
        <f>ROUND(IF(D21&gt;0,H21/C21,(G21+H21)/C21),5)</f>
        <v>4.9199999999999999E-3</v>
      </c>
      <c r="L21" s="158"/>
      <c r="M21" s="340">
        <f>(C21*K21)+(D21*I21)</f>
        <v>2912746.2572399997</v>
      </c>
      <c r="N21" s="339">
        <f>M21-H21-G21</f>
        <v>-1736.7427600002848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5">
        <v>1.7980000000000001E-4</v>
      </c>
      <c r="F22" s="156">
        <f t="shared" ref="F22:F27" si="3">ROUND(C22*E22,0)</f>
        <v>84869</v>
      </c>
      <c r="G22" s="340">
        <f t="shared" si="0"/>
        <v>2056273</v>
      </c>
      <c r="H22" s="340">
        <f t="shared" si="1"/>
        <v>79880</v>
      </c>
      <c r="I22" s="337">
        <f>ROUND(IF(D22&gt;0,G22/D22,0),2)</f>
        <v>1.35</v>
      </c>
      <c r="J22" s="156"/>
      <c r="K22" s="338">
        <f>ROUND(IF(D22&gt;0,H22/C22,(G22+H22)/C22),5)</f>
        <v>1.7000000000000001E-4</v>
      </c>
      <c r="L22" s="157"/>
      <c r="M22" s="340">
        <f t="shared" ref="M22:M27" si="4">(C22*K22)+(D22*I22)</f>
        <v>2143885.7134700003</v>
      </c>
      <c r="N22" s="339">
        <f>M22-H22-G22</f>
        <v>7732.713470000308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35">
        <f>E22</f>
        <v>1.7980000000000001E-4</v>
      </c>
      <c r="F23" s="156">
        <f t="shared" si="3"/>
        <v>299</v>
      </c>
      <c r="G23" s="340">
        <f t="shared" si="0"/>
        <v>7244</v>
      </c>
      <c r="H23" s="340">
        <f t="shared" si="1"/>
        <v>282</v>
      </c>
      <c r="I23" s="337">
        <f t="shared" si="2"/>
        <v>0</v>
      </c>
      <c r="J23" s="156"/>
      <c r="K23" s="338">
        <f t="shared" ref="K23:K27" si="5">ROUND(IF(D23&gt;0,H23/C23,(G23+H23)/C23),5)</f>
        <v>4.5199999999999997E-3</v>
      </c>
      <c r="L23" s="158"/>
      <c r="M23" s="340">
        <f t="shared" si="4"/>
        <v>7522.97048</v>
      </c>
      <c r="N23" s="339">
        <f t="shared" ref="N23:N27" si="6">M23-H23-G23</f>
        <v>-3.0295200000000477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35">
        <v>1.2320000000000001E-4</v>
      </c>
      <c r="F24" s="156">
        <f t="shared" si="3"/>
        <v>288485</v>
      </c>
      <c r="G24" s="340">
        <f t="shared" si="0"/>
        <v>6989642</v>
      </c>
      <c r="H24" s="340">
        <f t="shared" si="1"/>
        <v>396271</v>
      </c>
      <c r="I24" s="337">
        <f>ROUND(IF(D24&gt;0,G24/D24,0),2)</f>
        <v>1.77</v>
      </c>
      <c r="J24" s="156"/>
      <c r="K24" s="338">
        <f>ROUND(IF(D24&gt;0,H24/C24,(G24+H24)/C24),5)</f>
        <v>1.7000000000000001E-4</v>
      </c>
      <c r="L24" s="157"/>
      <c r="M24" s="340">
        <f t="shared" si="4"/>
        <v>7399617.0471700002</v>
      </c>
      <c r="N24" s="339">
        <f t="shared" si="6"/>
        <v>13704.047170000151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35">
        <v>1.326E-4</v>
      </c>
      <c r="F25" s="156">
        <f t="shared" si="3"/>
        <v>229</v>
      </c>
      <c r="G25" s="340">
        <f t="shared" si="0"/>
        <v>5548</v>
      </c>
      <c r="H25" s="340">
        <f t="shared" si="1"/>
        <v>292</v>
      </c>
      <c r="I25" s="337">
        <f t="shared" si="2"/>
        <v>0</v>
      </c>
      <c r="J25" s="156"/>
      <c r="K25" s="338">
        <f t="shared" si="5"/>
        <v>3.3800000000000002E-3</v>
      </c>
      <c r="L25" s="158"/>
      <c r="M25" s="340">
        <f t="shared" si="4"/>
        <v>5833.8157799999999</v>
      </c>
      <c r="N25" s="339">
        <f t="shared" si="6"/>
        <v>-6.1842200000000958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35">
        <v>2.6299999999999999E-5</v>
      </c>
      <c r="F26" s="156">
        <f t="shared" si="3"/>
        <v>965</v>
      </c>
      <c r="G26" s="340">
        <f t="shared" si="0"/>
        <v>23381</v>
      </c>
      <c r="H26" s="340">
        <f t="shared" si="1"/>
        <v>6207</v>
      </c>
      <c r="I26" s="337">
        <f t="shared" si="2"/>
        <v>0</v>
      </c>
      <c r="J26" s="156"/>
      <c r="K26" s="338">
        <f t="shared" si="5"/>
        <v>8.0999999999999996E-4</v>
      </c>
      <c r="L26" s="158"/>
      <c r="M26" s="340">
        <f t="shared" si="4"/>
        <v>29709.938159999998</v>
      </c>
      <c r="N26" s="339">
        <f t="shared" si="6"/>
        <v>121.93815999999788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35">
        <v>2.62E-5</v>
      </c>
      <c r="F27" s="156">
        <f t="shared" si="3"/>
        <v>220</v>
      </c>
      <c r="G27" s="340">
        <f t="shared" si="0"/>
        <v>5330</v>
      </c>
      <c r="H27" s="340">
        <f t="shared" si="1"/>
        <v>1423</v>
      </c>
      <c r="I27" s="337">
        <f t="shared" si="2"/>
        <v>0</v>
      </c>
      <c r="J27" s="156"/>
      <c r="K27" s="338">
        <f t="shared" si="5"/>
        <v>8.0000000000000004E-4</v>
      </c>
      <c r="L27" s="158"/>
      <c r="M27" s="340">
        <f t="shared" si="4"/>
        <v>6725.8744000000006</v>
      </c>
      <c r="N27" s="339">
        <f t="shared" si="6"/>
        <v>-27.125599999999395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1">
        <f>SUM(C20:C27)</f>
        <v>5240828637</v>
      </c>
      <c r="D29" s="341">
        <f>SUM(D20:D27)</f>
        <v>5484299.5999999996</v>
      </c>
      <c r="E29" s="161"/>
      <c r="F29" s="341">
        <f>SUM(F20:F27)</f>
        <v>925037</v>
      </c>
      <c r="G29" s="162">
        <f>SUM(G20:G27)</f>
        <v>22412525</v>
      </c>
      <c r="H29" s="162">
        <f>SUM(H20:H27)</f>
        <v>886911</v>
      </c>
      <c r="I29" s="162"/>
      <c r="J29" s="162"/>
      <c r="K29" s="160"/>
      <c r="L29" s="160"/>
      <c r="M29" s="162">
        <f>SUM(M20:M27)</f>
        <v>23315669.871399999</v>
      </c>
      <c r="N29" s="162">
        <f>SUM(N20:N27)</f>
        <v>16233.87139999964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showGridLines="0" topLeftCell="A10" zoomScaleNormal="100" workbookViewId="0">
      <selection activeCell="G29" sqref="G29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9.285156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85" t="s">
        <v>45</v>
      </c>
      <c r="B1" s="385"/>
      <c r="C1" s="385"/>
      <c r="D1" s="385"/>
      <c r="E1" s="385"/>
      <c r="F1" s="385"/>
      <c r="G1" s="99" t="s">
        <v>86</v>
      </c>
    </row>
    <row r="2" spans="1:7">
      <c r="A2" s="385" t="s">
        <v>0</v>
      </c>
      <c r="B2" s="385"/>
      <c r="C2" s="385"/>
      <c r="D2" s="385"/>
      <c r="E2" s="385"/>
      <c r="F2" s="385"/>
      <c r="G2" s="385"/>
    </row>
    <row r="3" spans="1:7">
      <c r="A3" s="385" t="s">
        <v>104</v>
      </c>
      <c r="B3" s="385"/>
      <c r="C3" s="385"/>
      <c r="D3" s="385"/>
      <c r="E3" s="385"/>
      <c r="F3" s="385"/>
      <c r="G3" s="385"/>
    </row>
    <row r="4" spans="1:7" ht="14.45" customHeight="1">
      <c r="A4" s="386" t="s">
        <v>276</v>
      </c>
      <c r="B4" s="386"/>
      <c r="C4" s="386"/>
      <c r="D4" s="386"/>
      <c r="E4" s="386"/>
      <c r="F4" s="386"/>
      <c r="G4" s="386"/>
    </row>
    <row r="5" spans="1:7">
      <c r="A5" s="386"/>
      <c r="B5" s="386"/>
      <c r="C5" s="386"/>
      <c r="D5" s="386"/>
      <c r="E5" s="386"/>
      <c r="F5" s="386"/>
      <c r="G5" s="386"/>
    </row>
    <row r="8" spans="1:7" ht="15" customHeight="1">
      <c r="F8" s="100"/>
      <c r="G8" s="100"/>
    </row>
    <row r="10" spans="1:7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</row>
    <row r="11" spans="1:7">
      <c r="A11" s="103">
        <v>4561005</v>
      </c>
      <c r="B11" s="1" t="s">
        <v>138</v>
      </c>
      <c r="C11" s="354">
        <f>'PPA Form 3.0a'!P16</f>
        <v>-1186034.4600000002</v>
      </c>
      <c r="E11" s="1" t="s">
        <v>3</v>
      </c>
      <c r="F11" s="104">
        <v>1</v>
      </c>
      <c r="G11" s="354">
        <f>F11*C11</f>
        <v>-1186034.4600000002</v>
      </c>
    </row>
    <row r="12" spans="1:7" ht="14.45" customHeight="1">
      <c r="A12" s="103">
        <v>4561002</v>
      </c>
      <c r="B12" s="1" t="s">
        <v>139</v>
      </c>
      <c r="C12" s="354">
        <f>'PPA Form 3.0a'!P17</f>
        <v>0</v>
      </c>
      <c r="E12" s="1" t="s">
        <v>3</v>
      </c>
      <c r="F12" s="104">
        <v>1</v>
      </c>
      <c r="G12" s="354">
        <f t="shared" ref="G12:G20" si="0">F12*C12</f>
        <v>0</v>
      </c>
    </row>
    <row r="13" spans="1:7">
      <c r="A13" s="103" t="s">
        <v>109</v>
      </c>
      <c r="B13" s="1" t="s">
        <v>76</v>
      </c>
      <c r="C13" s="354">
        <f>'PPA Form 3.0a'!P19</f>
        <v>54369903.359999999</v>
      </c>
      <c r="E13" s="1" t="s">
        <v>3</v>
      </c>
      <c r="F13" s="104">
        <v>1</v>
      </c>
      <c r="G13" s="354">
        <f t="shared" si="0"/>
        <v>54369903.359999999</v>
      </c>
    </row>
    <row r="14" spans="1:7" ht="14.45" customHeight="1">
      <c r="A14" s="103" t="s">
        <v>110</v>
      </c>
      <c r="B14" s="1" t="s">
        <v>77</v>
      </c>
      <c r="C14" s="354">
        <f>'PPA Form 3.0a'!P20</f>
        <v>-127002.59000000001</v>
      </c>
      <c r="E14" s="1" t="s">
        <v>5</v>
      </c>
      <c r="F14" s="104">
        <v>1</v>
      </c>
      <c r="G14" s="354">
        <f t="shared" si="0"/>
        <v>-127002.59000000001</v>
      </c>
    </row>
    <row r="15" spans="1:7">
      <c r="A15" s="103" t="s">
        <v>111</v>
      </c>
      <c r="B15" s="1" t="s">
        <v>78</v>
      </c>
      <c r="C15" s="354">
        <f>'PPA Form 3.0a'!P21</f>
        <v>1172142.3</v>
      </c>
      <c r="E15" s="1" t="s">
        <v>3</v>
      </c>
      <c r="F15" s="104">
        <v>1</v>
      </c>
      <c r="G15" s="354">
        <f t="shared" si="0"/>
        <v>1172142.3</v>
      </c>
    </row>
    <row r="16" spans="1:7" ht="14.45" customHeight="1">
      <c r="A16" s="103">
        <v>5650012</v>
      </c>
      <c r="B16" s="1" t="s">
        <v>79</v>
      </c>
      <c r="C16" s="355">
        <f>'PPA Form 3.0a'!P22</f>
        <v>1785787.0000000005</v>
      </c>
      <c r="E16" s="1" t="s">
        <v>3</v>
      </c>
      <c r="F16" s="104">
        <v>1</v>
      </c>
      <c r="G16" s="354">
        <f t="shared" si="0"/>
        <v>1785787.0000000005</v>
      </c>
    </row>
    <row r="17" spans="1:10" ht="14.45" customHeight="1">
      <c r="A17" s="103">
        <v>5650016</v>
      </c>
      <c r="B17" s="1" t="s">
        <v>80</v>
      </c>
      <c r="C17" s="355">
        <f>'PPA Form 3.0a'!P23</f>
        <v>64950525.719999999</v>
      </c>
      <c r="E17" s="1" t="s">
        <v>3</v>
      </c>
      <c r="F17" s="104">
        <v>1</v>
      </c>
      <c r="G17" s="354">
        <f t="shared" si="0"/>
        <v>64950525.719999999</v>
      </c>
    </row>
    <row r="18" spans="1:10" ht="14.45" customHeight="1">
      <c r="A18" s="103">
        <v>5650019</v>
      </c>
      <c r="B18" s="1" t="s">
        <v>81</v>
      </c>
      <c r="C18" s="355">
        <f>'PPA Form 3.0a'!P24</f>
        <v>5293253.6199999992</v>
      </c>
      <c r="D18" s="105"/>
      <c r="E18" s="105" t="s">
        <v>3</v>
      </c>
      <c r="F18" s="106">
        <v>1</v>
      </c>
      <c r="G18" s="354">
        <f t="shared" si="0"/>
        <v>5293253.6199999992</v>
      </c>
    </row>
    <row r="19" spans="1:10" ht="14.45" customHeight="1">
      <c r="A19" s="103">
        <v>5650021</v>
      </c>
      <c r="B19" s="2" t="s">
        <v>208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54">
        <f t="shared" si="0"/>
        <v>724183.42999999993</v>
      </c>
    </row>
    <row r="20" spans="1:10" ht="14.45" customHeight="1">
      <c r="A20" s="103">
        <v>5650015</v>
      </c>
      <c r="B20" s="2" t="s">
        <v>209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54">
        <f t="shared" si="0"/>
        <v>35819.119999999995</v>
      </c>
    </row>
    <row r="21" spans="1:10" ht="14.45" customHeight="1">
      <c r="A21" s="103"/>
      <c r="C21" s="107"/>
      <c r="E21" s="105"/>
      <c r="F21" s="106"/>
    </row>
    <row r="22" spans="1:10" s="108" customFormat="1" ht="15.75" thickBot="1">
      <c r="A22" s="108" t="s">
        <v>101</v>
      </c>
      <c r="C22" s="109"/>
      <c r="F22" s="110"/>
      <c r="G22" s="356">
        <f>SUM(G11:G21)</f>
        <v>127018577.5</v>
      </c>
    </row>
    <row r="23" spans="1:10" s="108" customFormat="1" ht="15.7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.75" thickBot="1">
      <c r="A24" s="108" t="s">
        <v>300</v>
      </c>
      <c r="F24" s="110"/>
      <c r="G24" s="357">
        <f>'PPA Form 3.0a'!P27</f>
        <v>30122081.500000004</v>
      </c>
      <c r="I24" s="109"/>
    </row>
    <row r="25" spans="1:10" s="108" customFormat="1" ht="15.7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317</v>
      </c>
      <c r="C28" s="355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225</v>
      </c>
      <c r="C29" s="355">
        <f>'PPA Form 3.0a'!P49</f>
        <v>5157827.2100000009</v>
      </c>
      <c r="D29" s="103"/>
      <c r="E29" s="1" t="s">
        <v>5</v>
      </c>
      <c r="F29" s="104" t="s">
        <v>224</v>
      </c>
      <c r="G29" s="114">
        <f>C29</f>
        <v>5157827.2100000009</v>
      </c>
    </row>
    <row r="30" spans="1:10">
      <c r="A30" s="1" t="s">
        <v>226</v>
      </c>
      <c r="C30" s="355">
        <f>'PPA Form 3.0a'!P44</f>
        <v>1269204</v>
      </c>
      <c r="D30" s="103"/>
      <c r="F30" s="104"/>
      <c r="G30" s="114">
        <f>C30</f>
        <v>1269204</v>
      </c>
    </row>
    <row r="31" spans="1:10" ht="15.75">
      <c r="A31" s="115" t="s">
        <v>113</v>
      </c>
      <c r="C31" s="355">
        <f>-'PPA Form 3.0a'!P30</f>
        <v>-407589.80732443929</v>
      </c>
      <c r="E31" s="1" t="s">
        <v>3</v>
      </c>
      <c r="F31" s="1">
        <v>1</v>
      </c>
      <c r="G31" s="358">
        <f>C31*F31</f>
        <v>-407589.80732443929</v>
      </c>
      <c r="J31" s="114"/>
    </row>
    <row r="32" spans="1:10">
      <c r="G32" s="114"/>
    </row>
    <row r="33" spans="1:9" ht="16.5" thickBot="1">
      <c r="A33" s="116" t="s">
        <v>102</v>
      </c>
      <c r="G33" s="359">
        <f>+G24+G28+G29-G30+G31</f>
        <v>34936614.902675569</v>
      </c>
      <c r="H33" s="117"/>
      <c r="I33" s="118"/>
    </row>
    <row r="34" spans="1:9" ht="15.7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128035671.16267557</v>
      </c>
      <c r="C38" s="360">
        <f>B38/E40</f>
        <v>0.96193421772037013</v>
      </c>
      <c r="E38" s="114">
        <f>G28+G31+SUM(G19,G18,G17,G16,G15,G11,G12,G13)</f>
        <v>128035671.16267556</v>
      </c>
      <c r="H38" s="238"/>
    </row>
    <row r="39" spans="1:9">
      <c r="A39" s="1" t="s">
        <v>90</v>
      </c>
      <c r="B39" s="114">
        <f>G14+G29+G20</f>
        <v>5066643.7400000012</v>
      </c>
      <c r="C39" s="360">
        <f>B39/E40</f>
        <v>3.8065782279630013E-2</v>
      </c>
      <c r="E39" s="114">
        <f>G29+G14+G20</f>
        <v>5066643.7400000012</v>
      </c>
    </row>
    <row r="40" spans="1:9">
      <c r="E40" s="114">
        <f>E39+E38</f>
        <v>133102314.90267555</v>
      </c>
    </row>
    <row r="41" spans="1:9">
      <c r="A41" s="123"/>
    </row>
  </sheetData>
  <customSheetViews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G19" activePane="bottomRight" state="frozen"/>
      <selection pane="topRight" activeCell="D1" sqref="D1"/>
      <selection pane="bottomLeft" activeCell="A7" sqref="A7"/>
      <selection pane="bottomRight" activeCell="L26" sqref="L25:L26"/>
    </sheetView>
  </sheetViews>
  <sheetFormatPr defaultColWidth="9.140625" defaultRowHeight="12.75"/>
  <cols>
    <col min="1" max="1" width="12.7109375" style="4" customWidth="1"/>
    <col min="2" max="2" width="16.85546875" style="4" customWidth="1"/>
    <col min="3" max="3" width="89.140625" style="4" customWidth="1"/>
    <col min="4" max="11" width="17.140625" style="4" customWidth="1"/>
    <col min="12" max="12" width="19.85546875" style="4" customWidth="1"/>
    <col min="13" max="14" width="16.5703125" style="4" customWidth="1"/>
    <col min="15" max="15" width="18.42578125" style="4" customWidth="1"/>
    <col min="16" max="16" width="17.42578125" style="4" bestFit="1" customWidth="1"/>
    <col min="17" max="17" width="29.28515625" style="4" customWidth="1"/>
    <col min="18" max="16384" width="9.140625" style="4"/>
  </cols>
  <sheetData>
    <row r="1" spans="1:17" ht="15">
      <c r="A1" s="10" t="s">
        <v>192</v>
      </c>
      <c r="Q1" s="35"/>
    </row>
    <row r="2" spans="1:17" ht="15.75">
      <c r="A2" s="10" t="s">
        <v>193</v>
      </c>
      <c r="B2" s="11"/>
      <c r="D2" s="7"/>
      <c r="G2" s="12"/>
      <c r="I2" s="12"/>
      <c r="J2" s="7"/>
    </row>
    <row r="3" spans="1:17" ht="15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0"/>
      <c r="D4" s="239">
        <v>2022</v>
      </c>
      <c r="E4" s="13"/>
      <c r="F4" s="13"/>
      <c r="G4" s="13"/>
      <c r="H4" s="13"/>
      <c r="I4" s="13"/>
      <c r="J4" s="239">
        <v>2023</v>
      </c>
      <c r="K4" s="13"/>
      <c r="L4" s="13"/>
      <c r="M4" s="13"/>
      <c r="N4" s="13"/>
      <c r="O4" s="13"/>
    </row>
    <row r="5" spans="1:17">
      <c r="D5" s="5" t="s">
        <v>194</v>
      </c>
      <c r="E5" s="5" t="s">
        <v>194</v>
      </c>
      <c r="F5" s="5" t="s">
        <v>194</v>
      </c>
      <c r="G5" s="5" t="s">
        <v>194</v>
      </c>
      <c r="H5" s="5" t="s">
        <v>194</v>
      </c>
      <c r="I5" s="5" t="s">
        <v>194</v>
      </c>
      <c r="J5" s="5" t="s">
        <v>194</v>
      </c>
      <c r="K5" s="5" t="s">
        <v>194</v>
      </c>
      <c r="L5" s="5" t="s">
        <v>194</v>
      </c>
      <c r="M5" s="5" t="s">
        <v>194</v>
      </c>
      <c r="N5" s="5" t="s">
        <v>194</v>
      </c>
      <c r="O5" s="5" t="s">
        <v>194</v>
      </c>
      <c r="P5" s="4" t="s">
        <v>223</v>
      </c>
    </row>
    <row r="6" spans="1:17">
      <c r="C6" s="14" t="s">
        <v>192</v>
      </c>
      <c r="D6" s="15" t="s">
        <v>239</v>
      </c>
      <c r="E6" s="15" t="s">
        <v>238</v>
      </c>
      <c r="F6" s="15" t="s">
        <v>237</v>
      </c>
      <c r="G6" s="15" t="s">
        <v>236</v>
      </c>
      <c r="H6" s="15" t="s">
        <v>235</v>
      </c>
      <c r="I6" s="15" t="s">
        <v>234</v>
      </c>
      <c r="J6" s="15" t="s">
        <v>195</v>
      </c>
      <c r="K6" s="15" t="s">
        <v>196</v>
      </c>
      <c r="L6" s="15" t="s">
        <v>197</v>
      </c>
      <c r="M6" s="15" t="s">
        <v>198</v>
      </c>
      <c r="N6" s="15" t="s">
        <v>199</v>
      </c>
      <c r="O6" s="15" t="s">
        <v>200</v>
      </c>
    </row>
    <row r="7" spans="1:17">
      <c r="A7" s="14" t="s">
        <v>201</v>
      </c>
      <c r="C7" s="4" t="s">
        <v>248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202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2">
        <f>SUM(D8:O8)</f>
        <v>0</v>
      </c>
    </row>
    <row r="9" spans="1:17">
      <c r="C9" s="7"/>
      <c r="D9" s="343">
        <f t="shared" ref="D9:O9" si="0">SUM(D7:D8)</f>
        <v>2064759.9504260356</v>
      </c>
      <c r="E9" s="343">
        <f t="shared" si="0"/>
        <v>2094328.275417163</v>
      </c>
      <c r="F9" s="343">
        <f t="shared" si="0"/>
        <v>1499758.5436829729</v>
      </c>
      <c r="G9" s="343">
        <f t="shared" si="0"/>
        <v>2069823.7260345204</v>
      </c>
      <c r="H9" s="343">
        <f t="shared" si="0"/>
        <v>2471163.4662212539</v>
      </c>
      <c r="I9" s="343">
        <f t="shared" si="0"/>
        <v>2550904.0075359563</v>
      </c>
      <c r="J9" s="343">
        <f t="shared" si="0"/>
        <v>615145.72922417207</v>
      </c>
      <c r="K9" s="343">
        <f t="shared" si="0"/>
        <v>1191823.6534255105</v>
      </c>
      <c r="L9" s="343">
        <f t="shared" si="0"/>
        <v>1126676.1449328808</v>
      </c>
      <c r="M9" s="343">
        <f t="shared" si="0"/>
        <v>1045756.0943324076</v>
      </c>
      <c r="N9" s="343">
        <f t="shared" si="0"/>
        <v>908716.23109157395</v>
      </c>
      <c r="O9" s="343">
        <f t="shared" si="0"/>
        <v>1225052</v>
      </c>
      <c r="P9" s="8">
        <f>SUM(D9:O9)</f>
        <v>18863907.822324447</v>
      </c>
    </row>
    <row r="10" spans="1:17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>
      <c r="A11" s="14" t="s">
        <v>203</v>
      </c>
      <c r="B11" s="6"/>
      <c r="C11" s="7" t="s">
        <v>204</v>
      </c>
      <c r="D11" s="344">
        <v>8074708</v>
      </c>
      <c r="E11" s="344">
        <v>8074708</v>
      </c>
      <c r="F11" s="344">
        <v>8074708</v>
      </c>
      <c r="G11" s="344">
        <v>8074708</v>
      </c>
      <c r="H11" s="344">
        <v>8074708</v>
      </c>
      <c r="I11" s="344">
        <v>8074708</v>
      </c>
      <c r="J11" s="344">
        <v>8074708</v>
      </c>
      <c r="K11" s="344">
        <v>8074708</v>
      </c>
      <c r="L11" s="344">
        <v>8074708</v>
      </c>
      <c r="M11" s="344">
        <v>8074708</v>
      </c>
      <c r="N11" s="344">
        <v>8074708</v>
      </c>
      <c r="O11" s="344">
        <v>8074708</v>
      </c>
      <c r="P11" s="8">
        <f>SUM(D11:O11)</f>
        <v>96896496</v>
      </c>
    </row>
    <row r="12" spans="1:17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>
      <c r="A13" s="14" t="s">
        <v>205</v>
      </c>
      <c r="B13" s="15" t="s">
        <v>206</v>
      </c>
      <c r="C13" s="14" t="s">
        <v>207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208</v>
      </c>
      <c r="D14" s="345">
        <v>48810.52</v>
      </c>
      <c r="E14" s="345">
        <v>48965.799999999996</v>
      </c>
      <c r="F14" s="345">
        <v>48965.829999999994</v>
      </c>
      <c r="G14" s="345">
        <v>48810.539999999994</v>
      </c>
      <c r="H14" s="345">
        <v>153302.78</v>
      </c>
      <c r="I14" s="345">
        <v>53623.65</v>
      </c>
      <c r="J14" s="345">
        <v>58323.19999999999</v>
      </c>
      <c r="K14" s="346">
        <v>52578.16</v>
      </c>
      <c r="L14" s="346">
        <v>52717.579999999987</v>
      </c>
      <c r="M14" s="346">
        <v>52673.520000000004</v>
      </c>
      <c r="N14" s="346">
        <v>52732.11</v>
      </c>
      <c r="O14" s="346">
        <v>52679.74</v>
      </c>
      <c r="P14" s="8">
        <f>SUM(D14:O14)</f>
        <v>724183.42999999993</v>
      </c>
    </row>
    <row r="15" spans="1:17">
      <c r="B15" s="5">
        <v>5650015</v>
      </c>
      <c r="C15" s="2" t="s">
        <v>209</v>
      </c>
      <c r="D15" s="345">
        <v>10422.92</v>
      </c>
      <c r="E15" s="345">
        <v>10189.969999999999</v>
      </c>
      <c r="F15" s="345">
        <v>8752.68</v>
      </c>
      <c r="G15" s="345">
        <v>8767.4600000000009</v>
      </c>
      <c r="H15" s="345">
        <v>9559.27</v>
      </c>
      <c r="I15" s="345">
        <v>11646.95</v>
      </c>
      <c r="J15" s="345">
        <v>-178.15000000000146</v>
      </c>
      <c r="K15" s="346">
        <v>-8308.08</v>
      </c>
      <c r="L15" s="346">
        <v>-4089.22</v>
      </c>
      <c r="M15" s="346">
        <v>-3527.2100000000005</v>
      </c>
      <c r="N15" s="346">
        <v>-3679.65</v>
      </c>
      <c r="O15" s="346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210</v>
      </c>
      <c r="D16" s="345">
        <v>-129430.99000000005</v>
      </c>
      <c r="E16" s="345">
        <v>-174479.76999999996</v>
      </c>
      <c r="F16" s="345">
        <v>-115083.12000000001</v>
      </c>
      <c r="G16" s="345">
        <v>-147612.88</v>
      </c>
      <c r="H16" s="345">
        <v>-173200.35</v>
      </c>
      <c r="I16" s="345">
        <v>-153785.87999999995</v>
      </c>
      <c r="J16" s="345">
        <v>360570.88999999996</v>
      </c>
      <c r="K16" s="346">
        <v>-448234.32</v>
      </c>
      <c r="L16" s="346">
        <v>108279.69000000003</v>
      </c>
      <c r="M16" s="346">
        <v>-76292.770000000019</v>
      </c>
      <c r="N16" s="346">
        <v>-94979.550000000017</v>
      </c>
      <c r="O16" s="346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211</v>
      </c>
      <c r="D17" s="345">
        <v>0</v>
      </c>
      <c r="E17" s="345">
        <v>0</v>
      </c>
      <c r="F17" s="345">
        <v>0</v>
      </c>
      <c r="G17" s="345">
        <v>0</v>
      </c>
      <c r="H17" s="345">
        <v>0</v>
      </c>
      <c r="I17" s="345">
        <v>0</v>
      </c>
      <c r="J17" s="345">
        <v>0</v>
      </c>
      <c r="K17" s="346"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f t="shared" si="1"/>
        <v>0</v>
      </c>
    </row>
    <row r="18" spans="1:16">
      <c r="B18" s="5">
        <v>5550155</v>
      </c>
      <c r="C18" s="2" t="s">
        <v>273</v>
      </c>
      <c r="D18" s="345">
        <v>0</v>
      </c>
      <c r="E18" s="345">
        <v>0</v>
      </c>
      <c r="F18" s="345">
        <v>0</v>
      </c>
      <c r="G18" s="345">
        <v>0</v>
      </c>
      <c r="H18" s="345">
        <v>0</v>
      </c>
      <c r="I18" s="345">
        <v>0</v>
      </c>
      <c r="J18" s="345">
        <v>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f t="shared" si="1"/>
        <v>0</v>
      </c>
    </row>
    <row r="19" spans="1:16">
      <c r="B19" s="5">
        <v>4561035</v>
      </c>
      <c r="C19" s="19" t="s">
        <v>212</v>
      </c>
      <c r="D19" s="345">
        <v>4275185.9000000004</v>
      </c>
      <c r="E19" s="345">
        <v>4275185.9000000004</v>
      </c>
      <c r="F19" s="345">
        <v>4136348.86</v>
      </c>
      <c r="G19" s="345">
        <v>4275185.9000000004</v>
      </c>
      <c r="H19" s="345">
        <v>4136348.86</v>
      </c>
      <c r="I19" s="345">
        <v>4275185.9000000004</v>
      </c>
      <c r="J19" s="345">
        <v>5007494.6999999993</v>
      </c>
      <c r="K19" s="346">
        <v>4483759.47</v>
      </c>
      <c r="L19" s="346">
        <v>4922291.51</v>
      </c>
      <c r="M19" s="346">
        <v>4806635.55</v>
      </c>
      <c r="N19" s="346">
        <v>4969088.43</v>
      </c>
      <c r="O19" s="346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213</v>
      </c>
      <c r="D20" s="345">
        <v>-28765.19</v>
      </c>
      <c r="E20" s="345">
        <v>-28122.32</v>
      </c>
      <c r="F20" s="345">
        <v>-24155.67</v>
      </c>
      <c r="G20" s="345">
        <v>-24196.47</v>
      </c>
      <c r="H20" s="345">
        <v>-26381.7</v>
      </c>
      <c r="I20" s="345">
        <v>-32143.29</v>
      </c>
      <c r="J20" s="345">
        <v>7351.130000000001</v>
      </c>
      <c r="K20" s="346">
        <v>5986.0000000000009</v>
      </c>
      <c r="L20" s="346">
        <v>6371.579999999999</v>
      </c>
      <c r="M20" s="346">
        <v>5495.88</v>
      </c>
      <c r="N20" s="346">
        <v>5733.4100000000008</v>
      </c>
      <c r="O20" s="346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214</v>
      </c>
      <c r="D21" s="345">
        <v>98683.34</v>
      </c>
      <c r="E21" s="345">
        <v>98683.34</v>
      </c>
      <c r="F21" s="345">
        <v>98683.34</v>
      </c>
      <c r="G21" s="345">
        <v>98683.34</v>
      </c>
      <c r="H21" s="345">
        <v>98683.34</v>
      </c>
      <c r="I21" s="345">
        <v>98683.34</v>
      </c>
      <c r="J21" s="345">
        <v>97473.13</v>
      </c>
      <c r="K21" s="346">
        <v>96665.58</v>
      </c>
      <c r="L21" s="346">
        <v>95858.03</v>
      </c>
      <c r="M21" s="346">
        <v>96670.65</v>
      </c>
      <c r="N21" s="346">
        <v>96693.03</v>
      </c>
      <c r="O21" s="346">
        <v>96681.84</v>
      </c>
      <c r="P21" s="8">
        <f t="shared" si="1"/>
        <v>1172142.3</v>
      </c>
    </row>
    <row r="22" spans="1:16">
      <c r="B22" s="5">
        <v>5650012</v>
      </c>
      <c r="C22" s="2" t="s">
        <v>214</v>
      </c>
      <c r="D22" s="345">
        <v>169818.77000000016</v>
      </c>
      <c r="E22" s="345">
        <v>147643.78000000003</v>
      </c>
      <c r="F22" s="345">
        <v>147676.12999999983</v>
      </c>
      <c r="G22" s="345">
        <v>147643.75</v>
      </c>
      <c r="H22" s="345">
        <v>157291.84999999998</v>
      </c>
      <c r="I22" s="345">
        <v>147646.47999999995</v>
      </c>
      <c r="J22" s="345">
        <v>160388.01</v>
      </c>
      <c r="K22" s="346">
        <v>136771.84000000003</v>
      </c>
      <c r="L22" s="346">
        <v>139978.86000000002</v>
      </c>
      <c r="M22" s="346">
        <v>140523.31</v>
      </c>
      <c r="N22" s="346">
        <v>140466.85000000003</v>
      </c>
      <c r="O22" s="346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215</v>
      </c>
      <c r="D23" s="345">
        <v>5076547.0999999996</v>
      </c>
      <c r="E23" s="345">
        <v>5076547.0999999996</v>
      </c>
      <c r="F23" s="345">
        <v>4912291.07</v>
      </c>
      <c r="G23" s="345">
        <v>5076547.0999999996</v>
      </c>
      <c r="H23" s="345">
        <v>4912291.07</v>
      </c>
      <c r="I23" s="345">
        <v>5076547.0999999996</v>
      </c>
      <c r="J23" s="345">
        <v>6072803.6699999999</v>
      </c>
      <c r="K23" s="346">
        <v>5384711.4000000004</v>
      </c>
      <c r="L23" s="346">
        <v>5854407.6800000006</v>
      </c>
      <c r="M23" s="346">
        <v>5770942.96</v>
      </c>
      <c r="N23" s="346">
        <v>5965277.6599999992</v>
      </c>
      <c r="O23" s="346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214</v>
      </c>
      <c r="D24" s="345">
        <v>429585.91</v>
      </c>
      <c r="E24" s="345">
        <v>429585.9</v>
      </c>
      <c r="F24" s="345">
        <v>429585.91000000003</v>
      </c>
      <c r="G24" s="345">
        <v>429585.9</v>
      </c>
      <c r="H24" s="345">
        <v>429585.9</v>
      </c>
      <c r="I24" s="345">
        <v>429585.9</v>
      </c>
      <c r="J24" s="345">
        <v>456996.24</v>
      </c>
      <c r="K24" s="346">
        <v>452584.95</v>
      </c>
      <c r="L24" s="346">
        <v>448173.69</v>
      </c>
      <c r="M24" s="346">
        <v>452607.37</v>
      </c>
      <c r="N24" s="346">
        <v>452714.85000000003</v>
      </c>
      <c r="O24" s="346">
        <v>452661.10000000003</v>
      </c>
      <c r="P24" s="8">
        <f>SUM(D24:O24)</f>
        <v>5293253.6199999992</v>
      </c>
    </row>
    <row r="25" spans="1:16">
      <c r="C25" s="7"/>
      <c r="D25" s="347">
        <f t="shared" ref="D25:O25" si="2">SUM(D14:D24)</f>
        <v>9950858.2800000012</v>
      </c>
      <c r="E25" s="347">
        <f t="shared" si="2"/>
        <v>9884199.7000000011</v>
      </c>
      <c r="F25" s="347">
        <f t="shared" si="2"/>
        <v>9643065.0300000012</v>
      </c>
      <c r="G25" s="347">
        <f t="shared" si="2"/>
        <v>9913414.6400000006</v>
      </c>
      <c r="H25" s="347">
        <f t="shared" si="2"/>
        <v>9697481.0200000014</v>
      </c>
      <c r="I25" s="347">
        <f t="shared" si="2"/>
        <v>9906990.1500000004</v>
      </c>
      <c r="J25" s="347">
        <f t="shared" si="2"/>
        <v>12221222.819999998</v>
      </c>
      <c r="K25" s="347">
        <f t="shared" si="2"/>
        <v>10156515</v>
      </c>
      <c r="L25" s="347">
        <f t="shared" si="2"/>
        <v>11623989.4</v>
      </c>
      <c r="M25" s="347">
        <f t="shared" si="2"/>
        <v>11245729.26</v>
      </c>
      <c r="N25" s="347">
        <f t="shared" si="2"/>
        <v>11584047.139999999</v>
      </c>
      <c r="O25" s="347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>
      <c r="B27" s="5"/>
      <c r="C27" s="7" t="s">
        <v>216</v>
      </c>
      <c r="D27" s="348">
        <f t="shared" ref="D27:O27" si="3">+D25-D11</f>
        <v>1876150.2800000012</v>
      </c>
      <c r="E27" s="348">
        <f t="shared" si="3"/>
        <v>1809491.7000000011</v>
      </c>
      <c r="F27" s="348">
        <f t="shared" si="3"/>
        <v>1568357.0300000012</v>
      </c>
      <c r="G27" s="348">
        <f t="shared" si="3"/>
        <v>1838706.6400000006</v>
      </c>
      <c r="H27" s="348">
        <f t="shared" si="3"/>
        <v>1622773.0200000014</v>
      </c>
      <c r="I27" s="348">
        <f t="shared" si="3"/>
        <v>1832282.1500000004</v>
      </c>
      <c r="J27" s="348">
        <f t="shared" si="3"/>
        <v>4146514.8199999984</v>
      </c>
      <c r="K27" s="348">
        <f t="shared" si="3"/>
        <v>2081807</v>
      </c>
      <c r="L27" s="348">
        <f t="shared" si="3"/>
        <v>3549281.4000000004</v>
      </c>
      <c r="M27" s="348">
        <f t="shared" si="3"/>
        <v>3171021.26</v>
      </c>
      <c r="N27" s="348">
        <f t="shared" si="3"/>
        <v>3509339.1399999987</v>
      </c>
      <c r="O27" s="348">
        <f t="shared" si="3"/>
        <v>3116357.0599999987</v>
      </c>
      <c r="P27" s="349">
        <f>SUM(D27:O27)</f>
        <v>30122081.500000004</v>
      </c>
    </row>
    <row r="28" spans="1:16">
      <c r="A28" s="6"/>
      <c r="B28" s="6"/>
      <c r="C28" s="3" t="s">
        <v>264</v>
      </c>
      <c r="D28" s="348">
        <f>D27*1</f>
        <v>1876150.2800000012</v>
      </c>
      <c r="E28" s="348">
        <f t="shared" ref="E28:O28" si="4">E27*1</f>
        <v>1809491.7000000011</v>
      </c>
      <c r="F28" s="348">
        <f t="shared" si="4"/>
        <v>1568357.0300000012</v>
      </c>
      <c r="G28" s="348">
        <f t="shared" si="4"/>
        <v>1838706.6400000006</v>
      </c>
      <c r="H28" s="348">
        <f t="shared" si="4"/>
        <v>1622773.0200000014</v>
      </c>
      <c r="I28" s="348">
        <f t="shared" si="4"/>
        <v>1832282.1500000004</v>
      </c>
      <c r="J28" s="348">
        <f t="shared" si="4"/>
        <v>4146514.8199999984</v>
      </c>
      <c r="K28" s="348">
        <f t="shared" si="4"/>
        <v>2081807</v>
      </c>
      <c r="L28" s="348">
        <f t="shared" si="4"/>
        <v>3549281.4000000004</v>
      </c>
      <c r="M28" s="348">
        <f t="shared" si="4"/>
        <v>3171021.26</v>
      </c>
      <c r="N28" s="348">
        <f t="shared" si="4"/>
        <v>3509339.1399999987</v>
      </c>
      <c r="O28" s="348">
        <f t="shared" si="4"/>
        <v>3116357.0599999987</v>
      </c>
      <c r="P28" s="349">
        <f>SUM(D28:O28)</f>
        <v>30122081.500000004</v>
      </c>
    </row>
    <row r="29" spans="1:16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>
      <c r="A30" s="6"/>
      <c r="B30" s="6"/>
      <c r="C30" s="7" t="s">
        <v>228</v>
      </c>
      <c r="D30" s="97">
        <v>33926.342302877529</v>
      </c>
      <c r="E30" s="97">
        <v>33926.342302877529</v>
      </c>
      <c r="F30" s="97">
        <v>33926.342302877529</v>
      </c>
      <c r="G30" s="97">
        <v>33926.342302877529</v>
      </c>
      <c r="H30" s="97">
        <v>33926.342302877529</v>
      </c>
      <c r="I30" s="97">
        <v>33926.342302877529</v>
      </c>
      <c r="J30" s="97">
        <v>34005.292251195679</v>
      </c>
      <c r="K30" s="97">
        <v>34005.292251195679</v>
      </c>
      <c r="L30" s="97">
        <v>34005.292251195679</v>
      </c>
      <c r="M30" s="97">
        <v>34005.292251195679</v>
      </c>
      <c r="N30" s="97">
        <v>34005.292251195679</v>
      </c>
      <c r="O30" s="97">
        <v>34005.292251195679</v>
      </c>
      <c r="P30" s="8">
        <f>SUM(D30:O30)</f>
        <v>407589.80732443929</v>
      </c>
    </row>
    <row r="31" spans="1:16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>
      <c r="A32" s="6"/>
      <c r="B32" s="6"/>
      <c r="C32" s="7" t="s">
        <v>302</v>
      </c>
      <c r="D32" s="97">
        <v>833333.33</v>
      </c>
      <c r="E32" s="97">
        <v>833333.33</v>
      </c>
      <c r="F32" s="97">
        <v>833333.33</v>
      </c>
      <c r="G32" s="97">
        <v>833333.33</v>
      </c>
      <c r="H32" s="97">
        <v>833333.33</v>
      </c>
      <c r="I32" s="97">
        <f>ROUND((10000000/12)*(8/31),2)</f>
        <v>215053.76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8">
        <f>SUM(D32:O32)</f>
        <v>4381720.41</v>
      </c>
    </row>
    <row r="33" spans="1:16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>
      <c r="A34" s="6"/>
      <c r="B34" s="6"/>
      <c r="C34" s="7" t="s">
        <v>301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837120.22</v>
      </c>
      <c r="J34" s="97">
        <v>1128292.47</v>
      </c>
      <c r="K34" s="97">
        <v>1128292.47</v>
      </c>
      <c r="L34" s="97">
        <v>1128292.47</v>
      </c>
      <c r="M34" s="97">
        <v>1128292.47</v>
      </c>
      <c r="N34" s="97">
        <v>1128292.47</v>
      </c>
      <c r="O34" s="97">
        <v>1128292.47</v>
      </c>
      <c r="P34" s="8">
        <f>SUM(D34:O34)</f>
        <v>7606875.0399999991</v>
      </c>
    </row>
    <row r="35" spans="1:16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>
      <c r="A36" s="6"/>
      <c r="B36" s="6"/>
      <c r="C36" s="7" t="s">
        <v>303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1408789.8975806453</v>
      </c>
      <c r="J36" s="97">
        <v>1898803.78</v>
      </c>
      <c r="K36" s="97">
        <v>1898803.78</v>
      </c>
      <c r="L36" s="97">
        <v>1898803.78</v>
      </c>
      <c r="M36" s="97">
        <v>1898803.78</v>
      </c>
      <c r="N36" s="97">
        <v>1898803.78</v>
      </c>
      <c r="O36" s="97">
        <v>1898803.78</v>
      </c>
      <c r="P36" s="8">
        <f>SUM(D36:O36)</f>
        <v>12801612.577580644</v>
      </c>
    </row>
    <row r="37" spans="1:16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>
      <c r="A38" s="6"/>
      <c r="B38" s="6"/>
      <c r="C38" s="7" t="s">
        <v>304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-2524506.0363709675</v>
      </c>
      <c r="J38" s="97">
        <v>-3402595.09</v>
      </c>
      <c r="K38" s="97">
        <v>-3402595.09</v>
      </c>
      <c r="L38" s="97">
        <v>-3402595.09</v>
      </c>
      <c r="M38" s="97">
        <v>-3402595.09</v>
      </c>
      <c r="N38" s="97">
        <v>-3402595.09</v>
      </c>
      <c r="O38" s="97">
        <v>-3402595.09</v>
      </c>
      <c r="P38" s="8">
        <f>SUM(D38:O38)</f>
        <v>-22940076.576370966</v>
      </c>
    </row>
    <row r="39" spans="1:16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>
      <c r="A40" s="6"/>
      <c r="B40" s="6"/>
      <c r="C40" s="7" t="s">
        <v>272</v>
      </c>
      <c r="D40" s="97">
        <v>54175.82</v>
      </c>
      <c r="E40" s="97">
        <v>54175.82</v>
      </c>
      <c r="F40" s="97">
        <v>54175.82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">
        <f>SUM(D40:O40)</f>
        <v>162527.46</v>
      </c>
    </row>
    <row r="41" spans="1:16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>
      <c r="A42" s="6"/>
      <c r="B42" s="6"/>
      <c r="C42" s="7" t="s">
        <v>305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>
      <c r="A44" s="6"/>
      <c r="B44" s="6"/>
      <c r="C44" s="7" t="s">
        <v>217</v>
      </c>
      <c r="D44" s="348">
        <v>105767</v>
      </c>
      <c r="E44" s="348">
        <v>105767</v>
      </c>
      <c r="F44" s="348">
        <v>105767</v>
      </c>
      <c r="G44" s="348">
        <v>105767</v>
      </c>
      <c r="H44" s="348">
        <v>105767</v>
      </c>
      <c r="I44" s="348">
        <v>105767</v>
      </c>
      <c r="J44" s="348">
        <v>105767</v>
      </c>
      <c r="K44" s="348">
        <v>105767</v>
      </c>
      <c r="L44" s="348">
        <f>K44</f>
        <v>105767</v>
      </c>
      <c r="M44" s="348">
        <f>L44</f>
        <v>105767</v>
      </c>
      <c r="N44" s="348">
        <f>M44</f>
        <v>105767</v>
      </c>
      <c r="O44" s="348">
        <f>N44</f>
        <v>105767</v>
      </c>
      <c r="P44" s="8">
        <f>SUM(D44:O44)</f>
        <v>1269204</v>
      </c>
    </row>
    <row r="45" spans="1:16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243</v>
      </c>
      <c r="D46" s="350">
        <v>891306.23</v>
      </c>
      <c r="E46" s="350">
        <v>1779426.9</v>
      </c>
      <c r="F46" s="350">
        <v>56771.46</v>
      </c>
      <c r="G46" s="350">
        <v>50180.1</v>
      </c>
      <c r="H46" s="350">
        <v>88592.4</v>
      </c>
      <c r="I46" s="350">
        <v>62804.65</v>
      </c>
      <c r="J46" s="350">
        <v>1317352.44</v>
      </c>
      <c r="K46" s="350">
        <v>75205.399999999994</v>
      </c>
      <c r="L46" s="97">
        <v>321338.40000000002</v>
      </c>
      <c r="M46" s="350">
        <v>23375.16</v>
      </c>
      <c r="N46" s="350">
        <v>224413.69</v>
      </c>
      <c r="O46" s="350">
        <v>263024.33</v>
      </c>
    </row>
    <row r="47" spans="1:16">
      <c r="B47" s="5"/>
      <c r="C47" s="3" t="s">
        <v>244</v>
      </c>
      <c r="D47" s="350">
        <v>-94990.399999999994</v>
      </c>
      <c r="E47" s="350">
        <v>-891306.23</v>
      </c>
      <c r="F47" s="350">
        <v>-1779426.9</v>
      </c>
      <c r="G47" s="350">
        <v>-56771.46</v>
      </c>
      <c r="H47" s="350">
        <v>-50180.1</v>
      </c>
      <c r="I47" s="350">
        <v>-88592.4</v>
      </c>
      <c r="J47" s="350">
        <v>-62804.65</v>
      </c>
      <c r="K47" s="350">
        <v>-1317352.44</v>
      </c>
      <c r="L47" s="350">
        <v>-75205.399999999994</v>
      </c>
      <c r="M47" s="350">
        <v>-321338.40000000002</v>
      </c>
      <c r="N47" s="350">
        <v>-23375.16</v>
      </c>
      <c r="O47" s="350">
        <v>-224413.69</v>
      </c>
    </row>
    <row r="48" spans="1:16">
      <c r="B48" s="5"/>
      <c r="C48" s="4" t="s">
        <v>245</v>
      </c>
      <c r="D48" s="351">
        <v>94716.55</v>
      </c>
      <c r="E48" s="351">
        <v>889964.28</v>
      </c>
      <c r="F48" s="351">
        <v>1782738.92</v>
      </c>
      <c r="G48" s="351">
        <v>56788.98</v>
      </c>
      <c r="H48" s="351">
        <v>50218.15</v>
      </c>
      <c r="I48" s="351">
        <v>88510.09</v>
      </c>
      <c r="J48" s="351">
        <v>62647.45</v>
      </c>
      <c r="K48" s="351">
        <v>1317581.07</v>
      </c>
      <c r="L48" s="351">
        <v>75063.88</v>
      </c>
      <c r="M48" s="351">
        <v>322616.94</v>
      </c>
      <c r="N48" s="351">
        <v>23486.080000000002</v>
      </c>
      <c r="O48" s="351">
        <v>225460.89</v>
      </c>
    </row>
    <row r="49" spans="1:17">
      <c r="B49" s="5"/>
      <c r="C49" s="4" t="s">
        <v>218</v>
      </c>
      <c r="D49" s="350">
        <f>SUM(D46:D48)</f>
        <v>891032.38</v>
      </c>
      <c r="E49" s="350">
        <f t="shared" ref="E49:J49" si="5">SUM(E46:E48)</f>
        <v>1778084.95</v>
      </c>
      <c r="F49" s="350">
        <f t="shared" si="5"/>
        <v>60083.479999999981</v>
      </c>
      <c r="G49" s="350">
        <f t="shared" si="5"/>
        <v>50197.62</v>
      </c>
      <c r="H49" s="350">
        <f t="shared" si="5"/>
        <v>88630.45</v>
      </c>
      <c r="I49" s="350">
        <f t="shared" si="5"/>
        <v>62722.340000000004</v>
      </c>
      <c r="J49" s="350">
        <f t="shared" si="5"/>
        <v>1317195.24</v>
      </c>
      <c r="K49" s="350">
        <f t="shared" ref="K49:O49" si="6">SUM(K46:K48)</f>
        <v>75434.030000000028</v>
      </c>
      <c r="L49" s="350">
        <f t="shared" si="6"/>
        <v>321196.88</v>
      </c>
      <c r="M49" s="350">
        <f t="shared" si="6"/>
        <v>24653.699999999953</v>
      </c>
      <c r="N49" s="350">
        <f t="shared" si="6"/>
        <v>224524.61</v>
      </c>
      <c r="O49" s="350">
        <f t="shared" si="6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219</v>
      </c>
      <c r="D51" s="98">
        <f>D49-D44</f>
        <v>785265.38</v>
      </c>
      <c r="E51" s="98">
        <f t="shared" ref="E51:J51" si="7">E49-E44</f>
        <v>1672317.95</v>
      </c>
      <c r="F51" s="98">
        <f t="shared" si="7"/>
        <v>-45683.520000000019</v>
      </c>
      <c r="G51" s="98">
        <f>G49-G44</f>
        <v>-55569.38</v>
      </c>
      <c r="H51" s="98">
        <f t="shared" si="7"/>
        <v>-17136.550000000003</v>
      </c>
      <c r="I51" s="98">
        <f t="shared" si="7"/>
        <v>-43044.659999999996</v>
      </c>
      <c r="J51" s="98">
        <f t="shared" si="7"/>
        <v>1211428.24</v>
      </c>
      <c r="K51" s="98">
        <f t="shared" ref="K51:N51" si="8">K49-K44</f>
        <v>-30332.969999999972</v>
      </c>
      <c r="L51" s="98">
        <f t="shared" si="8"/>
        <v>215429.88</v>
      </c>
      <c r="M51" s="98">
        <f t="shared" si="8"/>
        <v>-81113.300000000047</v>
      </c>
      <c r="N51" s="98">
        <f t="shared" si="8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220</v>
      </c>
      <c r="D53" s="352">
        <f>(D28-D30)+D51+D40+D34+D36+D38+D42</f>
        <v>2681665.1376971235</v>
      </c>
      <c r="E53" s="352">
        <f t="shared" ref="E53:O53" si="9">(E28-E30)+E51+E40+E34+E36+E38+E42</f>
        <v>3502059.1276971237</v>
      </c>
      <c r="F53" s="352">
        <f t="shared" si="9"/>
        <v>1542922.9876971238</v>
      </c>
      <c r="G53" s="352">
        <f t="shared" si="9"/>
        <v>1749210.9176971233</v>
      </c>
      <c r="H53" s="352">
        <f t="shared" si="9"/>
        <v>1571710.1276971239</v>
      </c>
      <c r="I53" s="352">
        <f t="shared" si="9"/>
        <v>1675270.5889068008</v>
      </c>
      <c r="J53" s="352">
        <f t="shared" si="9"/>
        <v>5168983.5677488027</v>
      </c>
      <c r="K53" s="352">
        <f t="shared" si="9"/>
        <v>1855329.8977488047</v>
      </c>
      <c r="L53" s="352">
        <f t="shared" si="9"/>
        <v>3591427.1477488047</v>
      </c>
      <c r="M53" s="352">
        <f t="shared" si="9"/>
        <v>2909003.8277488044</v>
      </c>
      <c r="N53" s="352">
        <f t="shared" si="9"/>
        <v>3454812.6177488035</v>
      </c>
      <c r="O53" s="352">
        <f t="shared" si="9"/>
        <v>2865157.4577488033</v>
      </c>
      <c r="P53" s="8">
        <f>SUM(D53:O53)</f>
        <v>32567553.403885245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>
      <c r="A55" s="6"/>
      <c r="B55" s="6"/>
      <c r="C55" s="6" t="s">
        <v>221</v>
      </c>
      <c r="D55" s="98">
        <f t="shared" ref="D55:O55" si="10">D53-D9</f>
        <v>616905.1872710879</v>
      </c>
      <c r="E55" s="98">
        <f t="shared" si="10"/>
        <v>1407730.8522799606</v>
      </c>
      <c r="F55" s="98">
        <f t="shared" si="10"/>
        <v>43164.444014150882</v>
      </c>
      <c r="G55" s="98">
        <f t="shared" si="10"/>
        <v>-320612.80833739717</v>
      </c>
      <c r="H55" s="98">
        <f t="shared" si="10"/>
        <v>-899453.33852412994</v>
      </c>
      <c r="I55" s="98">
        <f t="shared" si="10"/>
        <v>-875633.41862915549</v>
      </c>
      <c r="J55" s="98">
        <f t="shared" si="10"/>
        <v>4553837.8385246303</v>
      </c>
      <c r="K55" s="98">
        <f t="shared" si="10"/>
        <v>663506.24432329414</v>
      </c>
      <c r="L55" s="98">
        <f t="shared" si="10"/>
        <v>2464751.0028159237</v>
      </c>
      <c r="M55" s="98">
        <f t="shared" si="10"/>
        <v>1863247.7334163967</v>
      </c>
      <c r="N55" s="98">
        <f t="shared" si="10"/>
        <v>2546096.3866572296</v>
      </c>
      <c r="O55" s="98">
        <f t="shared" si="10"/>
        <v>1640105.4577488033</v>
      </c>
      <c r="P55" s="8">
        <f>SUM(D55:O55)</f>
        <v>13703645.581560794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222</v>
      </c>
      <c r="D58" s="353">
        <f>+D55+D32+34008303.95</f>
        <v>35458542.46727109</v>
      </c>
      <c r="E58" s="353">
        <f>D58+E32+E55</f>
        <v>37699606.649551049</v>
      </c>
      <c r="F58" s="353">
        <f t="shared" ref="F58:N58" si="11">+F55+E58+F32</f>
        <v>38576104.423565201</v>
      </c>
      <c r="G58" s="353">
        <f t="shared" si="11"/>
        <v>39088824.945227802</v>
      </c>
      <c r="H58" s="353">
        <f t="shared" si="11"/>
        <v>39022704.936703667</v>
      </c>
      <c r="I58" s="353">
        <f t="shared" si="11"/>
        <v>38362125.27807451</v>
      </c>
      <c r="J58" s="353">
        <f t="shared" si="11"/>
        <v>42915963.116599143</v>
      </c>
      <c r="K58" s="353">
        <f t="shared" si="11"/>
        <v>43579469.360922433</v>
      </c>
      <c r="L58" s="353">
        <f t="shared" si="11"/>
        <v>46044220.363738358</v>
      </c>
      <c r="M58" s="353">
        <f t="shared" si="11"/>
        <v>47907468.097154751</v>
      </c>
      <c r="N58" s="353">
        <f t="shared" si="11"/>
        <v>50453564.483811982</v>
      </c>
      <c r="O58" s="353">
        <f>+O55+N58+O32</f>
        <v>52093669.941560782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0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252</v>
      </c>
    </row>
    <row r="62" spans="1:17">
      <c r="O62" s="98">
        <f>O58-O60</f>
        <v>-1.9254907965660095E-3</v>
      </c>
      <c r="P62" s="4" t="s">
        <v>306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sqref="A1:XFD1048576"/>
    </sheetView>
  </sheetViews>
  <sheetFormatPr defaultColWidth="8.7109375" defaultRowHeight="12.75"/>
  <cols>
    <col min="1" max="1" width="8.85546875" style="47"/>
    <col min="2" max="2" width="58.7109375" style="46" customWidth="1"/>
    <col min="3" max="6" width="2" style="46" customWidth="1"/>
    <col min="7" max="7" width="19.85546875" style="46" bestFit="1" customWidth="1"/>
    <col min="8" max="16384" width="8.7109375" style="46"/>
  </cols>
  <sheetData>
    <row r="1" spans="1:7">
      <c r="G1" s="48" t="s">
        <v>97</v>
      </c>
    </row>
    <row r="2" spans="1:7">
      <c r="C2" s="49"/>
    </row>
    <row r="3" spans="1:7">
      <c r="B3" s="380" t="s">
        <v>0</v>
      </c>
      <c r="C3" s="380"/>
      <c r="D3" s="380"/>
      <c r="E3" s="380"/>
      <c r="F3" s="380"/>
      <c r="G3" s="380"/>
    </row>
    <row r="4" spans="1:7">
      <c r="B4" s="380" t="s">
        <v>88</v>
      </c>
      <c r="C4" s="380"/>
      <c r="D4" s="380"/>
      <c r="E4" s="380"/>
      <c r="F4" s="380"/>
      <c r="G4" s="380"/>
    </row>
    <row r="5" spans="1:7">
      <c r="B5" s="387" t="str">
        <f>'Input Sheet'!$A$2</f>
        <v>12 -Month Period ended June 30, 2023</v>
      </c>
      <c r="C5" s="387"/>
      <c r="D5" s="387"/>
      <c r="E5" s="387"/>
      <c r="F5" s="387"/>
      <c r="G5" s="387"/>
    </row>
    <row r="6" spans="1:7">
      <c r="C6" s="320"/>
    </row>
    <row r="7" spans="1:7">
      <c r="B7" s="50" t="s">
        <v>1</v>
      </c>
      <c r="C7" s="50"/>
      <c r="E7" s="50"/>
      <c r="G7" s="50" t="s">
        <v>44</v>
      </c>
    </row>
    <row r="8" spans="1:7">
      <c r="A8" s="321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246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247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40625" defaultRowHeight="12.75"/>
  <cols>
    <col min="1" max="1" width="8.85546875" style="30"/>
    <col min="2" max="2" width="20.7109375" style="31" customWidth="1"/>
    <col min="3" max="3" width="55.5703125" style="31" customWidth="1"/>
    <col min="4" max="4" width="22.7109375" style="31" bestFit="1" customWidth="1"/>
    <col min="5" max="5" width="3.140625" style="31" customWidth="1"/>
    <col min="6" max="6" width="16.28515625" style="31" customWidth="1"/>
    <col min="7" max="16384" width="9.14062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229</v>
      </c>
      <c r="B17" s="31" t="s">
        <v>190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189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230</v>
      </c>
      <c r="B22" s="31" t="s">
        <v>191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231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277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232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256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208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209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257</v>
      </c>
      <c r="B56" s="31" t="s">
        <v>190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189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258</v>
      </c>
      <c r="B61" s="31" t="s">
        <v>191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277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3"/>
    </customSheetView>
  </customSheetViews>
  <pageMargins left="0.7" right="0.7" top="0.75" bottom="0.75" header="0.3" footer="0.3"/>
  <pageSetup scale="71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B5A1B6A-B35F-4EBA-A07A-2473AFE186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PPA Form 1.0</vt:lpstr>
      <vt:lpstr>PPA Form 2.0 P1</vt:lpstr>
      <vt:lpstr>PPA Form 2.0 P2</vt:lpstr>
      <vt:lpstr>PPA Form 2.0 P2 2023-00159</vt:lpstr>
      <vt:lpstr>PPA Form 2.0 P3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Ln 5 and Ln 13</vt:lpstr>
      <vt:lpstr>GRCF!Print_Area</vt:lpstr>
      <vt:lpstr>'Input Sheet'!Print_Area</vt:lpstr>
      <vt:lpstr>'PPA Form 1.0'!Print_Area</vt:lpstr>
      <vt:lpstr>'PPA Form 2.0 P1'!Print_Area</vt:lpstr>
      <vt:lpstr>'PPA Form 2.0 P2'!Print_Area</vt:lpstr>
      <vt:lpstr>'PPA Form 2.0 P2 2023-00159'!Print_Area</vt:lpstr>
      <vt:lpstr>'PPA Form 2.0 P3'!Print_Area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Lerah M Kahn</cp:lastModifiedBy>
  <cp:lastPrinted>2019-08-13T18:34:04Z</cp:lastPrinted>
  <dcterms:created xsi:type="dcterms:W3CDTF">2015-03-17T12:16:01Z</dcterms:created>
  <dcterms:modified xsi:type="dcterms:W3CDTF">2024-02-28T20:46:48Z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