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dba73962b2cd367/Documents/Morgan District ARF App/Application/2nd DR Response/"/>
    </mc:Choice>
  </mc:AlternateContent>
  <xr:revisionPtr revIDLastSave="26" documentId="8_{53F11426-2565-4816-93E3-173D0DCC4016}" xr6:coauthVersionLast="47" xr6:coauthVersionMax="47" xr10:uidLastSave="{0F4C8BE4-B2CC-4D0C-8AFD-9965E684CA46}"/>
  <bookViews>
    <workbookView xWindow="-120" yWindow="-120" windowWidth="24240" windowHeight="13020" activeTab="4" xr2:uid="{77CC0389-3B35-49F6-B1B2-25616A99C4B3}"/>
  </bookViews>
  <sheets>
    <sheet name="Proposed Rates - Application" sheetId="1" r:id="rId1"/>
    <sheet name="BA Adjustments" sheetId="2" r:id="rId2"/>
    <sheet name="Interim Rates" sheetId="3" r:id="rId3"/>
    <sheet name="Year 1 Rates" sheetId="4" r:id="rId4"/>
    <sheet name="Year 2 Rate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5" l="1"/>
  <c r="H20" i="5" s="1"/>
  <c r="F100" i="5"/>
  <c r="E95" i="5"/>
  <c r="E100" i="5" s="1"/>
  <c r="D95" i="5"/>
  <c r="D100" i="5" s="1"/>
  <c r="F11" i="5" s="1"/>
  <c r="F87" i="5"/>
  <c r="F86" i="5"/>
  <c r="C86" i="5"/>
  <c r="E81" i="5"/>
  <c r="D81" i="5"/>
  <c r="D86" i="5" s="1"/>
  <c r="F10" i="5" s="1"/>
  <c r="C80" i="5"/>
  <c r="C87" i="5" s="1"/>
  <c r="F79" i="5"/>
  <c r="H79" i="5" s="1"/>
  <c r="F78" i="5"/>
  <c r="F80" i="5" s="1"/>
  <c r="F73" i="5"/>
  <c r="F72" i="5"/>
  <c r="C72" i="5"/>
  <c r="E67" i="5"/>
  <c r="D67" i="5"/>
  <c r="D72" i="5" s="1"/>
  <c r="F9" i="5" s="1"/>
  <c r="C66" i="5"/>
  <c r="C73" i="5" s="1"/>
  <c r="F65" i="5"/>
  <c r="H65" i="5" s="1"/>
  <c r="G64" i="5"/>
  <c r="F64" i="5"/>
  <c r="F66" i="5" s="1"/>
  <c r="F59" i="5"/>
  <c r="F58" i="5"/>
  <c r="C58" i="5"/>
  <c r="F57" i="5"/>
  <c r="C57" i="5"/>
  <c r="F56" i="5"/>
  <c r="C56" i="5"/>
  <c r="E51" i="5"/>
  <c r="D51" i="5"/>
  <c r="D56" i="5" s="1"/>
  <c r="F8" i="5" s="1"/>
  <c r="C50" i="5"/>
  <c r="C59" i="5" s="1"/>
  <c r="F48" i="5"/>
  <c r="J47" i="5"/>
  <c r="F47" i="5"/>
  <c r="H46" i="5"/>
  <c r="H50" i="5" s="1"/>
  <c r="G46" i="5"/>
  <c r="G50" i="5" s="1"/>
  <c r="F46" i="5"/>
  <c r="I46" i="5" s="1"/>
  <c r="F40" i="5"/>
  <c r="C40" i="5"/>
  <c r="F39" i="5"/>
  <c r="F38" i="5"/>
  <c r="C38" i="5"/>
  <c r="F37" i="5"/>
  <c r="C37" i="5"/>
  <c r="F36" i="5"/>
  <c r="C36" i="5"/>
  <c r="E31" i="5"/>
  <c r="D31" i="5"/>
  <c r="D36" i="5" s="1"/>
  <c r="F7" i="5" s="1"/>
  <c r="F12" i="5" s="1"/>
  <c r="G30" i="5"/>
  <c r="C30" i="5"/>
  <c r="H29" i="5"/>
  <c r="G29" i="5"/>
  <c r="F29" i="5"/>
  <c r="F27" i="5"/>
  <c r="F26" i="5"/>
  <c r="J25" i="5"/>
  <c r="I25" i="5"/>
  <c r="I30" i="5" s="1"/>
  <c r="H25" i="5"/>
  <c r="H30" i="5" s="1"/>
  <c r="G25" i="5"/>
  <c r="G28" i="5" s="1"/>
  <c r="F25" i="5"/>
  <c r="F28" i="5" s="1"/>
  <c r="H15" i="5"/>
  <c r="H13" i="5"/>
  <c r="N7" i="5"/>
  <c r="A2" i="5"/>
  <c r="H20" i="4"/>
  <c r="H18" i="4"/>
  <c r="F100" i="4"/>
  <c r="E95" i="4"/>
  <c r="E100" i="4" s="1"/>
  <c r="D95" i="4"/>
  <c r="D100" i="4" s="1"/>
  <c r="F11" i="4" s="1"/>
  <c r="F87" i="4"/>
  <c r="F86" i="4"/>
  <c r="C86" i="4"/>
  <c r="E81" i="4"/>
  <c r="D81" i="4"/>
  <c r="D86" i="4" s="1"/>
  <c r="F10" i="4" s="1"/>
  <c r="C80" i="4"/>
  <c r="C87" i="4" s="1"/>
  <c r="H79" i="4"/>
  <c r="F79" i="4"/>
  <c r="F78" i="4"/>
  <c r="F80" i="4" s="1"/>
  <c r="F73" i="4"/>
  <c r="F72" i="4"/>
  <c r="C72" i="4"/>
  <c r="E67" i="4"/>
  <c r="D67" i="4"/>
  <c r="D72" i="4" s="1"/>
  <c r="F9" i="4" s="1"/>
  <c r="C66" i="4"/>
  <c r="C73" i="4" s="1"/>
  <c r="H65" i="4"/>
  <c r="F65" i="4"/>
  <c r="G64" i="4"/>
  <c r="F64" i="4"/>
  <c r="F66" i="4" s="1"/>
  <c r="F59" i="4"/>
  <c r="F58" i="4"/>
  <c r="C58" i="4"/>
  <c r="F57" i="4"/>
  <c r="C57" i="4"/>
  <c r="F56" i="4"/>
  <c r="C56" i="4"/>
  <c r="E51" i="4"/>
  <c r="D51" i="4"/>
  <c r="D56" i="4" s="1"/>
  <c r="F8" i="4" s="1"/>
  <c r="C50" i="4"/>
  <c r="C59" i="4" s="1"/>
  <c r="F49" i="4"/>
  <c r="F48" i="4"/>
  <c r="G48" i="4" s="1"/>
  <c r="J47" i="4"/>
  <c r="F47" i="4"/>
  <c r="H46" i="4"/>
  <c r="H50" i="4" s="1"/>
  <c r="G46" i="4"/>
  <c r="G50" i="4" s="1"/>
  <c r="F46" i="4"/>
  <c r="I46" i="4" s="1"/>
  <c r="F40" i="4"/>
  <c r="C40" i="4"/>
  <c r="F39" i="4"/>
  <c r="F38" i="4"/>
  <c r="C38" i="4"/>
  <c r="F37" i="4"/>
  <c r="C37" i="4"/>
  <c r="F36" i="4"/>
  <c r="H36" i="4" s="1"/>
  <c r="C36" i="4"/>
  <c r="E31" i="4"/>
  <c r="D31" i="4"/>
  <c r="D36" i="4" s="1"/>
  <c r="F7" i="4" s="1"/>
  <c r="C30" i="4"/>
  <c r="H29" i="4"/>
  <c r="G29" i="4"/>
  <c r="F29" i="4"/>
  <c r="F27" i="4"/>
  <c r="F26" i="4"/>
  <c r="J25" i="4"/>
  <c r="I25" i="4"/>
  <c r="I30" i="4" s="1"/>
  <c r="H25" i="4"/>
  <c r="H30" i="4" s="1"/>
  <c r="G25" i="4"/>
  <c r="G28" i="4" s="1"/>
  <c r="F25" i="4"/>
  <c r="F28" i="4" s="1"/>
  <c r="H15" i="4"/>
  <c r="H13" i="4"/>
  <c r="N7" i="4"/>
  <c r="A2" i="4"/>
  <c r="H18" i="3"/>
  <c r="G80" i="5" l="1"/>
  <c r="F81" i="5"/>
  <c r="E86" i="5" s="1"/>
  <c r="K27" i="5"/>
  <c r="H86" i="5"/>
  <c r="H36" i="5"/>
  <c r="K29" i="5"/>
  <c r="H56" i="5"/>
  <c r="E101" i="5"/>
  <c r="G11" i="5" s="1"/>
  <c r="H100" i="5"/>
  <c r="H101" i="5" s="1"/>
  <c r="H11" i="5" s="1"/>
  <c r="H28" i="5"/>
  <c r="H31" i="5" s="1"/>
  <c r="E38" i="5" s="1"/>
  <c r="H38" i="5" s="1"/>
  <c r="K28" i="5"/>
  <c r="G66" i="5"/>
  <c r="F67" i="5"/>
  <c r="E72" i="5" s="1"/>
  <c r="H72" i="5"/>
  <c r="G48" i="5"/>
  <c r="G51" i="5" s="1"/>
  <c r="E57" i="5" s="1"/>
  <c r="H57" i="5" s="1"/>
  <c r="K26" i="5"/>
  <c r="J48" i="5"/>
  <c r="I29" i="5"/>
  <c r="I31" i="5" s="1"/>
  <c r="E39" i="5" s="1"/>
  <c r="H39" i="5" s="1"/>
  <c r="F49" i="5"/>
  <c r="G27" i="5"/>
  <c r="G49" i="5"/>
  <c r="G78" i="5"/>
  <c r="F30" i="5"/>
  <c r="F31" i="5" s="1"/>
  <c r="E36" i="5" s="1"/>
  <c r="F50" i="5"/>
  <c r="G80" i="4"/>
  <c r="F81" i="4"/>
  <c r="E86" i="4" s="1"/>
  <c r="H86" i="4"/>
  <c r="G66" i="4"/>
  <c r="F67" i="4"/>
  <c r="E72" i="4" s="1"/>
  <c r="H56" i="4"/>
  <c r="F12" i="4"/>
  <c r="H72" i="4"/>
  <c r="E101" i="4"/>
  <c r="G11" i="4" s="1"/>
  <c r="H100" i="4"/>
  <c r="H101" i="4" s="1"/>
  <c r="H11" i="4" s="1"/>
  <c r="F31" i="4"/>
  <c r="E36" i="4" s="1"/>
  <c r="H28" i="4"/>
  <c r="H31" i="4" s="1"/>
  <c r="E38" i="4" s="1"/>
  <c r="H38" i="4" s="1"/>
  <c r="K28" i="4"/>
  <c r="K26" i="4"/>
  <c r="J48" i="4"/>
  <c r="I29" i="4"/>
  <c r="I31" i="4" s="1"/>
  <c r="E39" i="4" s="1"/>
  <c r="H39" i="4" s="1"/>
  <c r="G27" i="4"/>
  <c r="G49" i="4"/>
  <c r="G51" i="4" s="1"/>
  <c r="E57" i="4" s="1"/>
  <c r="H57" i="4" s="1"/>
  <c r="G78" i="4"/>
  <c r="H49" i="4"/>
  <c r="H51" i="4" s="1"/>
  <c r="E58" i="4" s="1"/>
  <c r="H58" i="4" s="1"/>
  <c r="F30" i="4"/>
  <c r="G30" i="4"/>
  <c r="F50" i="4"/>
  <c r="E73" i="5" l="1"/>
  <c r="H73" i="5" s="1"/>
  <c r="H74" i="5" s="1"/>
  <c r="H9" i="5" s="1"/>
  <c r="G67" i="5"/>
  <c r="E87" i="5"/>
  <c r="H87" i="5" s="1"/>
  <c r="H88" i="5" s="1"/>
  <c r="H10" i="5" s="1"/>
  <c r="G81" i="5"/>
  <c r="E74" i="5"/>
  <c r="G9" i="5" s="1"/>
  <c r="H66" i="5"/>
  <c r="H67" i="5" s="1"/>
  <c r="H80" i="5"/>
  <c r="H81" i="5" s="1"/>
  <c r="I50" i="5"/>
  <c r="J50" i="5" s="1"/>
  <c r="O27" i="5"/>
  <c r="P27" i="5" s="1"/>
  <c r="G31" i="5"/>
  <c r="E37" i="5" s="1"/>
  <c r="H37" i="5" s="1"/>
  <c r="H49" i="5"/>
  <c r="H51" i="5" s="1"/>
  <c r="E58" i="5" s="1"/>
  <c r="H58" i="5" s="1"/>
  <c r="J30" i="5"/>
  <c r="K30" i="5" s="1"/>
  <c r="K31" i="5" s="1"/>
  <c r="F51" i="5"/>
  <c r="E56" i="5" s="1"/>
  <c r="I50" i="4"/>
  <c r="E73" i="4"/>
  <c r="H73" i="4" s="1"/>
  <c r="H74" i="4" s="1"/>
  <c r="H9" i="4" s="1"/>
  <c r="G67" i="4"/>
  <c r="J49" i="4"/>
  <c r="F51" i="4"/>
  <c r="E56" i="4" s="1"/>
  <c r="E87" i="4"/>
  <c r="H87" i="4" s="1"/>
  <c r="H88" i="4" s="1"/>
  <c r="H10" i="4" s="1"/>
  <c r="G81" i="4"/>
  <c r="G31" i="4"/>
  <c r="E37" i="4" s="1"/>
  <c r="H37" i="4" s="1"/>
  <c r="H80" i="4"/>
  <c r="H81" i="4" s="1"/>
  <c r="K29" i="4"/>
  <c r="H66" i="4"/>
  <c r="H67" i="4" s="1"/>
  <c r="J30" i="4"/>
  <c r="K27" i="4"/>
  <c r="J31" i="5" l="1"/>
  <c r="E40" i="5"/>
  <c r="H40" i="5" s="1"/>
  <c r="H41" i="5" s="1"/>
  <c r="H7" i="5" s="1"/>
  <c r="H12" i="5" s="1"/>
  <c r="H14" i="5" s="1"/>
  <c r="E88" i="5"/>
  <c r="G10" i="5" s="1"/>
  <c r="J49" i="5"/>
  <c r="J51" i="5" s="1"/>
  <c r="E59" i="5"/>
  <c r="H59" i="5" s="1"/>
  <c r="H60" i="5" s="1"/>
  <c r="H8" i="5" s="1"/>
  <c r="I51" i="5"/>
  <c r="E60" i="5"/>
  <c r="G8" i="5" s="1"/>
  <c r="E41" i="5"/>
  <c r="G7" i="5" s="1"/>
  <c r="G12" i="5" s="1"/>
  <c r="E88" i="4"/>
  <c r="G10" i="4" s="1"/>
  <c r="E59" i="4"/>
  <c r="H59" i="4" s="1"/>
  <c r="H60" i="4" s="1"/>
  <c r="H8" i="4" s="1"/>
  <c r="I51" i="4"/>
  <c r="E60" i="4"/>
  <c r="G8" i="4" s="1"/>
  <c r="O27" i="4"/>
  <c r="P27" i="4" s="1"/>
  <c r="J50" i="4"/>
  <c r="J51" i="4" s="1"/>
  <c r="J31" i="4"/>
  <c r="E40" i="4"/>
  <c r="E74" i="4"/>
  <c r="G9" i="4" s="1"/>
  <c r="K30" i="4"/>
  <c r="K31" i="4" s="1"/>
  <c r="H16" i="5" l="1"/>
  <c r="N6" i="5"/>
  <c r="N8" i="5" s="1"/>
  <c r="H40" i="4"/>
  <c r="H41" i="4" s="1"/>
  <c r="H7" i="4" s="1"/>
  <c r="H12" i="4" s="1"/>
  <c r="H14" i="4" s="1"/>
  <c r="E41" i="4"/>
  <c r="G7" i="4" s="1"/>
  <c r="G12" i="4" s="1"/>
  <c r="F100" i="3"/>
  <c r="E100" i="3"/>
  <c r="E101" i="3" s="1"/>
  <c r="G11" i="3" s="1"/>
  <c r="E95" i="3"/>
  <c r="D95" i="3"/>
  <c r="D100" i="3" s="1"/>
  <c r="F11" i="3" s="1"/>
  <c r="F87" i="3"/>
  <c r="F86" i="3"/>
  <c r="C86" i="3"/>
  <c r="E81" i="3"/>
  <c r="D81" i="3"/>
  <c r="D86" i="3" s="1"/>
  <c r="F10" i="3" s="1"/>
  <c r="C80" i="3"/>
  <c r="C87" i="3" s="1"/>
  <c r="H79" i="3"/>
  <c r="F79" i="3"/>
  <c r="F78" i="3"/>
  <c r="F80" i="3" s="1"/>
  <c r="F73" i="3"/>
  <c r="F72" i="3"/>
  <c r="C72" i="3"/>
  <c r="E67" i="3"/>
  <c r="D67" i="3"/>
  <c r="D72" i="3" s="1"/>
  <c r="F9" i="3" s="1"/>
  <c r="C66" i="3"/>
  <c r="C73" i="3" s="1"/>
  <c r="H65" i="3"/>
  <c r="F65" i="3"/>
  <c r="F64" i="3"/>
  <c r="F66" i="3" s="1"/>
  <c r="F59" i="3"/>
  <c r="F58" i="3"/>
  <c r="C58" i="3"/>
  <c r="F57" i="3"/>
  <c r="C57" i="3"/>
  <c r="F56" i="3"/>
  <c r="C56" i="3"/>
  <c r="E51" i="3"/>
  <c r="D51" i="3"/>
  <c r="D56" i="3" s="1"/>
  <c r="F8" i="3" s="1"/>
  <c r="H50" i="3"/>
  <c r="C50" i="3"/>
  <c r="C59" i="3" s="1"/>
  <c r="J47" i="3"/>
  <c r="F47" i="3"/>
  <c r="H46" i="3"/>
  <c r="G46" i="3"/>
  <c r="G50" i="3" s="1"/>
  <c r="F46" i="3"/>
  <c r="I46" i="3" s="1"/>
  <c r="F40" i="3"/>
  <c r="C40" i="3"/>
  <c r="F39" i="3"/>
  <c r="F38" i="3"/>
  <c r="C38" i="3"/>
  <c r="F37" i="3"/>
  <c r="C37" i="3"/>
  <c r="F36" i="3"/>
  <c r="H36" i="3" s="1"/>
  <c r="C36" i="3"/>
  <c r="E31" i="3"/>
  <c r="D31" i="3"/>
  <c r="D36" i="3" s="1"/>
  <c r="F7" i="3" s="1"/>
  <c r="G30" i="3"/>
  <c r="F30" i="3"/>
  <c r="C30" i="3"/>
  <c r="H29" i="3"/>
  <c r="G29" i="3"/>
  <c r="I29" i="3" s="1"/>
  <c r="F29" i="3"/>
  <c r="F27" i="3"/>
  <c r="F26" i="3"/>
  <c r="K26" i="3" s="1"/>
  <c r="I25" i="3"/>
  <c r="I30" i="3" s="1"/>
  <c r="H25" i="3"/>
  <c r="H30" i="3" s="1"/>
  <c r="G25" i="3"/>
  <c r="G28" i="3" s="1"/>
  <c r="F25" i="3"/>
  <c r="F28" i="3" s="1"/>
  <c r="H13" i="3"/>
  <c r="N7" i="3"/>
  <c r="A2" i="3"/>
  <c r="H13" i="1"/>
  <c r="B5" i="2"/>
  <c r="F99" i="1"/>
  <c r="E94" i="1"/>
  <c r="E99" i="1" s="1"/>
  <c r="D94" i="1"/>
  <c r="D99" i="1" s="1"/>
  <c r="F11" i="1" s="1"/>
  <c r="F86" i="1"/>
  <c r="F85" i="1"/>
  <c r="C85" i="1"/>
  <c r="E80" i="1"/>
  <c r="D80" i="1"/>
  <c r="D85" i="1" s="1"/>
  <c r="F79" i="1"/>
  <c r="F80" i="1" s="1"/>
  <c r="E85" i="1" s="1"/>
  <c r="C79" i="1"/>
  <c r="C86" i="1" s="1"/>
  <c r="H78" i="1"/>
  <c r="F78" i="1"/>
  <c r="F77" i="1"/>
  <c r="G77" i="1" s="1"/>
  <c r="F72" i="1"/>
  <c r="F71" i="1"/>
  <c r="C71" i="1"/>
  <c r="E66" i="1"/>
  <c r="D66" i="1"/>
  <c r="D71" i="1" s="1"/>
  <c r="F65" i="1"/>
  <c r="C65" i="1"/>
  <c r="C72" i="1" s="1"/>
  <c r="F64" i="1"/>
  <c r="F66" i="1" s="1"/>
  <c r="E71" i="1" s="1"/>
  <c r="F63" i="1"/>
  <c r="G63" i="1" s="1"/>
  <c r="F58" i="1"/>
  <c r="F57" i="1"/>
  <c r="C57" i="1"/>
  <c r="F56" i="1"/>
  <c r="C56" i="1"/>
  <c r="F55" i="1"/>
  <c r="C55" i="1"/>
  <c r="E50" i="1"/>
  <c r="D50" i="1"/>
  <c r="D55" i="1" s="1"/>
  <c r="C49" i="1"/>
  <c r="C58" i="1" s="1"/>
  <c r="F48" i="1"/>
  <c r="J46" i="1"/>
  <c r="F46" i="1"/>
  <c r="H45" i="1"/>
  <c r="H49" i="1" s="1"/>
  <c r="G45" i="1"/>
  <c r="G49" i="1" s="1"/>
  <c r="F45" i="1"/>
  <c r="I45" i="1" s="1"/>
  <c r="F39" i="1"/>
  <c r="F38" i="1"/>
  <c r="F37" i="1"/>
  <c r="C37" i="1"/>
  <c r="F36" i="1"/>
  <c r="C36" i="1"/>
  <c r="F35" i="1"/>
  <c r="C35" i="1"/>
  <c r="E30" i="1"/>
  <c r="D30" i="1"/>
  <c r="D35" i="1" s="1"/>
  <c r="F7" i="1" s="1"/>
  <c r="C29" i="1"/>
  <c r="C38" i="1" s="1"/>
  <c r="H28" i="1"/>
  <c r="G28" i="1"/>
  <c r="F28" i="1"/>
  <c r="I28" i="1" s="1"/>
  <c r="I30" i="1" s="1"/>
  <c r="E38" i="1" s="1"/>
  <c r="F25" i="1"/>
  <c r="I24" i="1"/>
  <c r="I29" i="1" s="1"/>
  <c r="H24" i="1"/>
  <c r="H29" i="1" s="1"/>
  <c r="G24" i="1"/>
  <c r="G27" i="1" s="1"/>
  <c r="F24" i="1"/>
  <c r="F27" i="1" s="1"/>
  <c r="A2" i="1"/>
  <c r="H16" i="4" l="1"/>
  <c r="N6" i="4"/>
  <c r="N8" i="4" s="1"/>
  <c r="G66" i="3"/>
  <c r="F67" i="3"/>
  <c r="E72" i="3" s="1"/>
  <c r="H86" i="3"/>
  <c r="K27" i="3"/>
  <c r="H56" i="3"/>
  <c r="H72" i="3"/>
  <c r="I31" i="3"/>
  <c r="E39" i="3" s="1"/>
  <c r="H39" i="3" s="1"/>
  <c r="K29" i="3"/>
  <c r="J30" i="3"/>
  <c r="H28" i="3"/>
  <c r="H31" i="3" s="1"/>
  <c r="E38" i="3" s="1"/>
  <c r="H38" i="3" s="1"/>
  <c r="K28" i="3"/>
  <c r="F12" i="3"/>
  <c r="G80" i="3"/>
  <c r="F81" i="3"/>
  <c r="E86" i="3" s="1"/>
  <c r="J25" i="3"/>
  <c r="F48" i="3"/>
  <c r="F31" i="3"/>
  <c r="E36" i="3" s="1"/>
  <c r="F49" i="3"/>
  <c r="G27" i="3"/>
  <c r="G49" i="3"/>
  <c r="G64" i="3"/>
  <c r="G78" i="3"/>
  <c r="F50" i="3"/>
  <c r="H100" i="3"/>
  <c r="H101" i="3" s="1"/>
  <c r="H11" i="3" s="1"/>
  <c r="H38" i="1"/>
  <c r="H64" i="1"/>
  <c r="C39" i="1"/>
  <c r="F29" i="1"/>
  <c r="J29" i="1" s="1"/>
  <c r="K29" i="1" s="1"/>
  <c r="G29" i="1"/>
  <c r="J24" i="1"/>
  <c r="F26" i="1"/>
  <c r="F47" i="1"/>
  <c r="G47" i="1" s="1"/>
  <c r="H85" i="1"/>
  <c r="F10" i="1"/>
  <c r="H79" i="1"/>
  <c r="H80" i="1" s="1"/>
  <c r="F9" i="1"/>
  <c r="H71" i="1"/>
  <c r="F8" i="1"/>
  <c r="H55" i="1"/>
  <c r="K28" i="1"/>
  <c r="J30" i="1"/>
  <c r="E39" i="1"/>
  <c r="H39" i="1" s="1"/>
  <c r="H27" i="1"/>
  <c r="H30" i="1" s="1"/>
  <c r="E37" i="1" s="1"/>
  <c r="H37" i="1" s="1"/>
  <c r="F30" i="1"/>
  <c r="E35" i="1" s="1"/>
  <c r="H35" i="1"/>
  <c r="E100" i="1"/>
  <c r="G11" i="1" s="1"/>
  <c r="H99" i="1"/>
  <c r="H100" i="1" s="1"/>
  <c r="H11" i="1" s="1"/>
  <c r="G48" i="1"/>
  <c r="H48" i="1"/>
  <c r="H50" i="1" s="1"/>
  <c r="E57" i="1" s="1"/>
  <c r="H57" i="1" s="1"/>
  <c r="K25" i="1"/>
  <c r="F49" i="1"/>
  <c r="G65" i="1"/>
  <c r="G79" i="1"/>
  <c r="J31" i="3" l="1"/>
  <c r="E40" i="3"/>
  <c r="H40" i="3" s="1"/>
  <c r="E73" i="3"/>
  <c r="H73" i="3" s="1"/>
  <c r="H74" i="3" s="1"/>
  <c r="H9" i="3" s="1"/>
  <c r="G67" i="3"/>
  <c r="G48" i="3"/>
  <c r="G51" i="3" s="1"/>
  <c r="E57" i="3" s="1"/>
  <c r="H57" i="3" s="1"/>
  <c r="F51" i="3"/>
  <c r="E56" i="3" s="1"/>
  <c r="H66" i="3"/>
  <c r="H67" i="3" s="1"/>
  <c r="I50" i="3"/>
  <c r="E87" i="3"/>
  <c r="H87" i="3" s="1"/>
  <c r="H88" i="3" s="1"/>
  <c r="H10" i="3" s="1"/>
  <c r="G81" i="3"/>
  <c r="H80" i="3"/>
  <c r="H81" i="3" s="1"/>
  <c r="O27" i="3"/>
  <c r="P27" i="3" s="1"/>
  <c r="G31" i="3"/>
  <c r="E37" i="3" s="1"/>
  <c r="H37" i="3" s="1"/>
  <c r="H49" i="3"/>
  <c r="H51" i="3" s="1"/>
  <c r="E58" i="3" s="1"/>
  <c r="H58" i="3" s="1"/>
  <c r="E41" i="3"/>
  <c r="G7" i="3" s="1"/>
  <c r="K30" i="3"/>
  <c r="K31" i="3" s="1"/>
  <c r="G50" i="1"/>
  <c r="E56" i="1" s="1"/>
  <c r="H56" i="1" s="1"/>
  <c r="G26" i="1"/>
  <c r="J47" i="1"/>
  <c r="F12" i="1"/>
  <c r="E72" i="1"/>
  <c r="G66" i="1"/>
  <c r="I49" i="1"/>
  <c r="J49" i="1"/>
  <c r="F50" i="1"/>
  <c r="E55" i="1" s="1"/>
  <c r="K27" i="1"/>
  <c r="J48" i="1"/>
  <c r="E86" i="1"/>
  <c r="G80" i="1"/>
  <c r="H65" i="1"/>
  <c r="H66" i="1" s="1"/>
  <c r="J49" i="3" l="1"/>
  <c r="E88" i="3"/>
  <c r="G10" i="3" s="1"/>
  <c r="J48" i="3"/>
  <c r="E74" i="3"/>
  <c r="G9" i="3" s="1"/>
  <c r="H41" i="3"/>
  <c r="H7" i="3" s="1"/>
  <c r="E59" i="3"/>
  <c r="H59" i="3" s="1"/>
  <c r="H60" i="3" s="1"/>
  <c r="H8" i="3" s="1"/>
  <c r="I51" i="3"/>
  <c r="J50" i="3"/>
  <c r="G30" i="1"/>
  <c r="E36" i="1" s="1"/>
  <c r="K26" i="1"/>
  <c r="J50" i="1"/>
  <c r="E58" i="1"/>
  <c r="H58" i="1" s="1"/>
  <c r="H59" i="1" s="1"/>
  <c r="H8" i="1" s="1"/>
  <c r="I50" i="1"/>
  <c r="H86" i="1"/>
  <c r="H87" i="1" s="1"/>
  <c r="H10" i="1" s="1"/>
  <c r="E87" i="1"/>
  <c r="H72" i="1"/>
  <c r="H73" i="1" s="1"/>
  <c r="H9" i="1" s="1"/>
  <c r="E73" i="1"/>
  <c r="G9" i="1" s="1"/>
  <c r="J51" i="3" l="1"/>
  <c r="E60" i="3"/>
  <c r="G8" i="3" s="1"/>
  <c r="G12" i="3" s="1"/>
  <c r="H12" i="3"/>
  <c r="H14" i="3" s="1"/>
  <c r="H36" i="1"/>
  <c r="H40" i="1" s="1"/>
  <c r="H7" i="1" s="1"/>
  <c r="H12" i="1" s="1"/>
  <c r="H14" i="1" s="1"/>
  <c r="H16" i="1" s="1"/>
  <c r="E40" i="1"/>
  <c r="G7" i="1" s="1"/>
  <c r="O26" i="1"/>
  <c r="P26" i="1" s="1"/>
  <c r="K30" i="1"/>
  <c r="G10" i="1"/>
  <c r="E90" i="1"/>
  <c r="E59" i="1"/>
  <c r="G8" i="1" s="1"/>
  <c r="G12" i="1" s="1"/>
  <c r="N6" i="3" l="1"/>
  <c r="N8" i="3" s="1"/>
  <c r="H18" i="1"/>
  <c r="H20" i="1" s="1"/>
  <c r="H20" i="3" l="1"/>
  <c r="H15" i="3" s="1"/>
  <c r="H16" i="3" s="1"/>
</calcChain>
</file>

<file path=xl/sharedStrings.xml><?xml version="1.0" encoding="utf-8"?>
<sst xmlns="http://schemas.openxmlformats.org/spreadsheetml/2006/main" count="620" uniqueCount="51">
  <si>
    <t>BILLING ANALYSIS - 2022 USAGE &amp;  PROPOSED RATES</t>
  </si>
  <si>
    <t xml:space="preserve">  SUMMARY  </t>
  </si>
  <si>
    <t>Meter Size</t>
  </si>
  <si>
    <t># of Bills</t>
  </si>
  <si>
    <t>Gallons Sold</t>
  </si>
  <si>
    <t>Revenue</t>
  </si>
  <si>
    <t>3/4_Inch x 5?8-Inch Meter</t>
  </si>
  <si>
    <t>1-Inch Meter</t>
  </si>
  <si>
    <t>2-Inch Meter</t>
  </si>
  <si>
    <t>6-Inch Meter</t>
  </si>
  <si>
    <t>4-Inch Meter - Wholesale</t>
  </si>
  <si>
    <t>Total Billed Revenue</t>
  </si>
  <si>
    <t>Less Adjustments - Residential</t>
  </si>
  <si>
    <t>NET RETAIL</t>
  </si>
  <si>
    <t>Less: Pro Forma Revenues from Water Sales</t>
  </si>
  <si>
    <t>Total adjustment</t>
  </si>
  <si>
    <t>Meter Size:</t>
  </si>
  <si>
    <t>3/4-Inch x 5/8-Inch Meter</t>
  </si>
  <si>
    <t>First</t>
  </si>
  <si>
    <t>Next</t>
  </si>
  <si>
    <t>Over</t>
  </si>
  <si>
    <t>Total</t>
  </si>
  <si>
    <t>Usage</t>
  </si>
  <si>
    <t>Bills</t>
  </si>
  <si>
    <t>Gallons</t>
  </si>
  <si>
    <t>TOTALS</t>
  </si>
  <si>
    <t>REVENUE BY RATE INCREMENT</t>
  </si>
  <si>
    <t xml:space="preserve">Rate </t>
  </si>
  <si>
    <t>Min. Bill</t>
  </si>
  <si>
    <t>per Gallon</t>
  </si>
  <si>
    <t>TOTAL</t>
  </si>
  <si>
    <t>,</t>
  </si>
  <si>
    <t>4-Inch Meter Wholesale</t>
  </si>
  <si>
    <t>Proposed Rates Produce</t>
  </si>
  <si>
    <t>Less:  Required Revenue</t>
  </si>
  <si>
    <t>Sdifference</t>
  </si>
  <si>
    <t>Adjustment Type</t>
  </si>
  <si>
    <t>Totals</t>
  </si>
  <si>
    <t>Leak</t>
  </si>
  <si>
    <t>Bad PRV</t>
  </si>
  <si>
    <t>Other</t>
  </si>
  <si>
    <t>CURRENT BILLING ANALYSIS - 2022 USAGE &amp;  RATES EFFECTIVE January 1, 2022</t>
  </si>
  <si>
    <t>Required Interim</t>
  </si>
  <si>
    <t>Less: Calculated</t>
  </si>
  <si>
    <t>Difference</t>
  </si>
  <si>
    <t>Less:  Revenue rom Water Sales</t>
  </si>
  <si>
    <t>Proposed Emergency Rates Produce</t>
  </si>
  <si>
    <t>Proposed Year 1 Rates Produce</t>
  </si>
  <si>
    <t>Proposed Year 2 Rates Produce</t>
  </si>
  <si>
    <t>Less:  Proposed Unterim Rates</t>
  </si>
  <si>
    <t>Less: Proposed Year 1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</si>
</sst>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0_);_(&quot;$&quot;* \(#,##0.000000\);_(&quot;$&quot;* &quot;-&quot;??_);_(@_)"/>
    <numFmt numFmtId="167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37" fontId="0" fillId="0" borderId="0" xfId="0" applyNumberFormat="1"/>
    <xf numFmtId="0" fontId="0" fillId="0" borderId="2" xfId="0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37" fontId="0" fillId="0" borderId="0" xfId="1" applyNumberFormat="1" applyFont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37" fontId="0" fillId="0" borderId="2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/>
    <xf numFmtId="37" fontId="4" fillId="0" borderId="0" xfId="0" applyNumberFormat="1" applyFont="1"/>
    <xf numFmtId="164" fontId="0" fillId="0" borderId="0" xfId="1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4" xfId="0" applyNumberFormat="1" applyBorder="1"/>
    <xf numFmtId="164" fontId="0" fillId="0" borderId="4" xfId="1" applyNumberFormat="1" applyFont="1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2" xfId="0" applyBorder="1"/>
    <xf numFmtId="44" fontId="0" fillId="0" borderId="0" xfId="2" applyFont="1"/>
    <xf numFmtId="166" fontId="0" fillId="0" borderId="0" xfId="2" applyNumberFormat="1" applyFont="1"/>
    <xf numFmtId="39" fontId="0" fillId="0" borderId="0" xfId="2" applyNumberFormat="1" applyFont="1"/>
    <xf numFmtId="44" fontId="0" fillId="0" borderId="0" xfId="0" applyNumberFormat="1"/>
    <xf numFmtId="164" fontId="0" fillId="0" borderId="2" xfId="0" applyNumberFormat="1" applyBorder="1"/>
    <xf numFmtId="44" fontId="0" fillId="0" borderId="4" xfId="2" applyFont="1" applyBorder="1"/>
    <xf numFmtId="43" fontId="0" fillId="0" borderId="0" xfId="0" applyNumberFormat="1"/>
    <xf numFmtId="42" fontId="0" fillId="0" borderId="4" xfId="1" applyNumberFormat="1" applyFont="1" applyBorder="1" applyAlignment="1">
      <alignment vertical="center"/>
    </xf>
    <xf numFmtId="42" fontId="0" fillId="0" borderId="0" xfId="1" applyNumberFormat="1" applyFont="1" applyAlignment="1">
      <alignment vertical="center"/>
    </xf>
    <xf numFmtId="0" fontId="5" fillId="0" borderId="2" xfId="0" applyFont="1" applyBorder="1" applyAlignment="1">
      <alignment horizontal="center"/>
    </xf>
    <xf numFmtId="167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39" fontId="6" fillId="0" borderId="0" xfId="0" applyNumberFormat="1" applyFont="1" applyAlignment="1">
      <alignment vertical="center"/>
    </xf>
    <xf numFmtId="39" fontId="6" fillId="0" borderId="2" xfId="0" applyNumberFormat="1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37" fontId="0" fillId="0" borderId="4" xfId="1" applyNumberFormat="1" applyFont="1" applyBorder="1" applyAlignment="1">
      <alignment vertical="center"/>
    </xf>
    <xf numFmtId="37" fontId="0" fillId="0" borderId="0" xfId="1" applyNumberFormat="1" applyFont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dba73962b2cd367/Documents/Morgan%20District%20ARF%20App/Morgan%20Dist%20Worksheet.xlsx" TargetMode="External"/><Relationship Id="rId1" Type="http://schemas.openxmlformats.org/officeDocument/2006/relationships/externalLinkPath" Target="/8dba73962b2cd367/Documents/Morgan%20District%20ARF%20App/Morgan%20Dist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O - DSC"/>
      <sheetName val="Working Capital Phas-In"/>
      <sheetName val="SAO - Op Ratio"/>
      <sheetName val="Adj"/>
      <sheetName val="Sheet1"/>
      <sheetName val="Surcharge"/>
      <sheetName val="Anthem Aug Inv"/>
      <sheetName val="Anthem Aug 2023 Inv"/>
      <sheetName val="WatPurch"/>
      <sheetName val="Dep Adj - NARUCNwe Meters"/>
      <sheetName val="Avg Debt Service"/>
      <sheetName val="Amt Schedules"/>
      <sheetName val="Cur Rates"/>
      <sheetName val="ExBA - Beg. Rates"/>
      <sheetName val="Rates Comp"/>
      <sheetName val="PropBA - DSC"/>
      <sheetName val="Interim Rate Comp"/>
      <sheetName val="Sheet2"/>
      <sheetName val="PropBA - Interim Rates"/>
      <sheetName val="Year 1 Rate Comp"/>
      <sheetName val="PropBA - Year 1 Rates"/>
      <sheetName val="Year 2 Rate Comp"/>
      <sheetName val="PropBA - Year 2 Rates"/>
      <sheetName val="BA Adj"/>
      <sheetName val="App A"/>
      <sheetName val="Table A"/>
      <sheetName val="Table B"/>
      <sheetName val="Table C"/>
      <sheetName val="Sheet3"/>
      <sheetName val="Cust Notice"/>
      <sheetName val="Table D"/>
      <sheetName val="34-Inch"/>
      <sheetName val="1-Inch"/>
      <sheetName val="2-Inch"/>
      <sheetName val="6-Inch"/>
      <sheetName val="Wholesale"/>
    </sheetNames>
    <sheetDataSet>
      <sheetData sheetId="0">
        <row r="4">
          <cell r="C4" t="str">
            <v>Morgan County Water District</v>
          </cell>
        </row>
      </sheetData>
      <sheetData sheetId="1">
        <row r="6">
          <cell r="L6">
            <v>2356379.6902000001</v>
          </cell>
          <cell r="N6">
            <v>2502616.6902000001</v>
          </cell>
          <cell r="P6">
            <v>2648853.6902000001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L12">
            <v>44.99</v>
          </cell>
        </row>
        <row r="13">
          <cell r="L13">
            <v>1.668E-2</v>
          </cell>
        </row>
        <row r="14">
          <cell r="L14">
            <v>1.5469999999999999E-2</v>
          </cell>
        </row>
        <row r="15">
          <cell r="L15">
            <v>1.427E-2</v>
          </cell>
        </row>
        <row r="16">
          <cell r="L16">
            <v>1.306E-2</v>
          </cell>
        </row>
        <row r="19">
          <cell r="L19">
            <v>95.37</v>
          </cell>
        </row>
        <row r="20">
          <cell r="L20">
            <v>1.5469999999999999E-2</v>
          </cell>
        </row>
        <row r="21">
          <cell r="L21">
            <v>1.427E-2</v>
          </cell>
        </row>
        <row r="22">
          <cell r="L22">
            <v>1.306E-2</v>
          </cell>
        </row>
        <row r="25">
          <cell r="L25">
            <v>242.45000000000002</v>
          </cell>
        </row>
        <row r="26">
          <cell r="L26">
            <v>1.306E-2</v>
          </cell>
        </row>
        <row r="29">
          <cell r="L29">
            <v>1357.8999999999999</v>
          </cell>
        </row>
        <row r="30">
          <cell r="R30">
            <v>1.306E-2</v>
          </cell>
        </row>
        <row r="33">
          <cell r="L33">
            <v>6.3699999999999998E-3</v>
          </cell>
        </row>
      </sheetData>
      <sheetData sheetId="15"/>
      <sheetData sheetId="16">
        <row r="12">
          <cell r="L12">
            <v>39.97</v>
          </cell>
        </row>
        <row r="13">
          <cell r="L13">
            <v>1.481E-2</v>
          </cell>
        </row>
        <row r="14">
          <cell r="L14">
            <v>1.3739999999999999E-2</v>
          </cell>
        </row>
        <row r="15">
          <cell r="L15">
            <v>1.2669999999999999E-2</v>
          </cell>
        </row>
        <row r="16">
          <cell r="L16">
            <v>1.1599999999999999E-2</v>
          </cell>
        </row>
        <row r="19">
          <cell r="L19">
            <v>84.72</v>
          </cell>
        </row>
        <row r="20">
          <cell r="L20">
            <v>1.3739999999999999E-2</v>
          </cell>
        </row>
        <row r="21">
          <cell r="L21">
            <v>1.2669999999999999E-2</v>
          </cell>
        </row>
        <row r="22">
          <cell r="L22">
            <v>1.1599999999999999E-2</v>
          </cell>
        </row>
        <row r="25">
          <cell r="L25">
            <v>215.37</v>
          </cell>
        </row>
        <row r="26">
          <cell r="L26">
            <v>1.1599999999999999E-2</v>
          </cell>
        </row>
        <row r="29">
          <cell r="L29">
            <v>1206.23</v>
          </cell>
        </row>
        <row r="30">
          <cell r="L30">
            <v>1.1599999999999999E-2</v>
          </cell>
        </row>
        <row r="33">
          <cell r="L33">
            <v>5.6600000000000001E-3</v>
          </cell>
        </row>
      </sheetData>
      <sheetData sheetId="17"/>
      <sheetData sheetId="18">
        <row r="14">
          <cell r="H14">
            <v>2357785.2600000002</v>
          </cell>
        </row>
      </sheetData>
      <sheetData sheetId="19">
        <row r="12">
          <cell r="L12">
            <v>42.48</v>
          </cell>
        </row>
        <row r="13">
          <cell r="L13">
            <v>1.5690000000000003E-2</v>
          </cell>
        </row>
        <row r="14">
          <cell r="L14">
            <v>1.4549999999999999E-2</v>
          </cell>
        </row>
        <row r="15">
          <cell r="L15">
            <v>1.342E-2</v>
          </cell>
        </row>
        <row r="16">
          <cell r="L16">
            <v>1.2279999999999999E-2</v>
          </cell>
        </row>
        <row r="19">
          <cell r="L19">
            <v>90.01</v>
          </cell>
        </row>
        <row r="20">
          <cell r="L20">
            <v>1.4549999999999999E-2</v>
          </cell>
        </row>
        <row r="21">
          <cell r="L21">
            <v>1.342E-2</v>
          </cell>
        </row>
        <row r="22">
          <cell r="L22">
            <v>1.2279999999999999E-2</v>
          </cell>
        </row>
        <row r="25">
          <cell r="L25">
            <v>228.77</v>
          </cell>
        </row>
        <row r="26">
          <cell r="L26">
            <v>1.2279999999999999E-2</v>
          </cell>
        </row>
        <row r="29">
          <cell r="L29">
            <v>1281.1199999999999</v>
          </cell>
        </row>
        <row r="30">
          <cell r="L30">
            <v>1.2279999999999999E-2</v>
          </cell>
        </row>
        <row r="33">
          <cell r="L33">
            <v>6.0099999999999997E-3</v>
          </cell>
        </row>
      </sheetData>
      <sheetData sheetId="20"/>
      <sheetData sheetId="21">
        <row r="12">
          <cell r="L12">
            <v>44.959999999999994</v>
          </cell>
        </row>
        <row r="13">
          <cell r="L13">
            <v>1.6610000000000003E-2</v>
          </cell>
        </row>
        <row r="14">
          <cell r="L14">
            <v>1.5399999999999999E-2</v>
          </cell>
        </row>
        <row r="15">
          <cell r="L15">
            <v>1.4199999999999999E-2</v>
          </cell>
        </row>
        <row r="16">
          <cell r="L16">
            <v>1.2999999999999999E-2</v>
          </cell>
        </row>
        <row r="19">
          <cell r="L19">
            <v>95.27000000000001</v>
          </cell>
        </row>
        <row r="20">
          <cell r="L20">
            <v>1.5399999999999999E-2</v>
          </cell>
        </row>
        <row r="21">
          <cell r="L21">
            <v>1.4199999999999999E-2</v>
          </cell>
        </row>
        <row r="22">
          <cell r="L22">
            <v>1.2999999999999999E-2</v>
          </cell>
        </row>
        <row r="25">
          <cell r="L25">
            <v>242.14000000000001</v>
          </cell>
        </row>
        <row r="26">
          <cell r="L26">
            <v>1.2999999999999999E-2</v>
          </cell>
        </row>
        <row r="29">
          <cell r="L29">
            <v>1355.9799999999998</v>
          </cell>
        </row>
        <row r="30">
          <cell r="L30">
            <v>1.2999999999999999E-2</v>
          </cell>
        </row>
        <row r="33">
          <cell r="L33">
            <v>6.3599999999999993E-3</v>
          </cell>
        </row>
      </sheetData>
      <sheetData sheetId="22"/>
      <sheetData sheetId="23">
        <row r="5">
          <cell r="B5">
            <v>12088.03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436B-F682-434C-9C7E-27F6A81403D8}">
  <dimension ref="A1:R101"/>
  <sheetViews>
    <sheetView showGridLines="0" topLeftCell="B1" workbookViewId="0">
      <selection activeCell="H14" sqref="H14"/>
    </sheetView>
  </sheetViews>
  <sheetFormatPr defaultColWidth="19" defaultRowHeight="15" x14ac:dyDescent="0.25"/>
  <cols>
    <col min="2" max="3" width="13.85546875" customWidth="1"/>
    <col min="8" max="9" width="19" style="7"/>
  </cols>
  <sheetData>
    <row r="1" spans="1:14" ht="18.75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</row>
    <row r="2" spans="1:14" ht="18.75" x14ac:dyDescent="0.25">
      <c r="A2" s="51" t="str">
        <f>'[1]SAO - DSC'!C4</f>
        <v>Morgan County Water District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2"/>
      <c r="M2" s="2"/>
      <c r="N2" s="2"/>
    </row>
    <row r="3" spans="1:14" x14ac:dyDescent="0.25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3"/>
      <c r="M3" s="3"/>
      <c r="N3" s="3"/>
    </row>
    <row r="4" spans="1:14" ht="18.75" x14ac:dyDescent="0.3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1"/>
      <c r="M4" s="1"/>
      <c r="N4" s="1"/>
    </row>
    <row r="6" spans="1:14" x14ac:dyDescent="0.25">
      <c r="B6" s="4"/>
      <c r="C6" s="56" t="s">
        <v>2</v>
      </c>
      <c r="D6" s="56"/>
      <c r="F6" s="5" t="s">
        <v>3</v>
      </c>
      <c r="G6" s="5" t="s">
        <v>4</v>
      </c>
      <c r="H6" s="6" t="s">
        <v>5</v>
      </c>
    </row>
    <row r="7" spans="1:14" x14ac:dyDescent="0.25">
      <c r="B7" s="4"/>
      <c r="C7" s="57" t="s">
        <v>6</v>
      </c>
      <c r="D7" s="57"/>
      <c r="F7" s="8">
        <f>D35</f>
        <v>35191</v>
      </c>
      <c r="G7" s="8">
        <f>E40</f>
        <v>106282790</v>
      </c>
      <c r="H7" s="9">
        <f>H40</f>
        <v>2406393.5699999998</v>
      </c>
    </row>
    <row r="8" spans="1:14" x14ac:dyDescent="0.25">
      <c r="B8" s="4"/>
      <c r="C8" s="58" t="s">
        <v>7</v>
      </c>
      <c r="D8" s="58"/>
      <c r="F8" s="8">
        <f>D55</f>
        <v>200</v>
      </c>
      <c r="G8" s="8">
        <f>E59</f>
        <v>1076140</v>
      </c>
      <c r="H8" s="11">
        <f>H59</f>
        <v>27833.14</v>
      </c>
    </row>
    <row r="9" spans="1:14" x14ac:dyDescent="0.25">
      <c r="B9" s="4"/>
      <c r="C9" s="10" t="s">
        <v>8</v>
      </c>
      <c r="D9" s="10"/>
      <c r="F9" s="8">
        <f>D71</f>
        <v>96</v>
      </c>
      <c r="G9" s="8">
        <f>E73</f>
        <v>12676300</v>
      </c>
      <c r="H9" s="11">
        <f>H73</f>
        <v>172819.64</v>
      </c>
    </row>
    <row r="10" spans="1:14" x14ac:dyDescent="0.25">
      <c r="B10" s="4"/>
      <c r="C10" s="10" t="s">
        <v>9</v>
      </c>
      <c r="D10" s="10"/>
      <c r="F10" s="8">
        <f>D85</f>
        <v>12</v>
      </c>
      <c r="G10" s="8">
        <f>E87</f>
        <v>1136710</v>
      </c>
      <c r="H10" s="11">
        <f>H87</f>
        <v>20922.349999999999</v>
      </c>
    </row>
    <row r="11" spans="1:14" x14ac:dyDescent="0.25">
      <c r="B11" s="4"/>
      <c r="C11" s="10" t="s">
        <v>10</v>
      </c>
      <c r="D11" s="10"/>
      <c r="F11" s="12">
        <f>D99</f>
        <v>12</v>
      </c>
      <c r="G11" s="12">
        <f>E100</f>
        <v>6280000</v>
      </c>
      <c r="H11" s="13">
        <f>H100</f>
        <v>40003.599999999999</v>
      </c>
    </row>
    <row r="12" spans="1:14" x14ac:dyDescent="0.25">
      <c r="B12" s="4"/>
      <c r="C12" s="10" t="s">
        <v>11</v>
      </c>
      <c r="D12" s="10"/>
      <c r="F12" s="8">
        <f>SUM(F7:F11)</f>
        <v>35511</v>
      </c>
      <c r="G12" s="8">
        <f>SUM(G7:G11)</f>
        <v>127451940</v>
      </c>
      <c r="H12" s="11">
        <f>SUM(H7:H11)</f>
        <v>2667972.3000000003</v>
      </c>
    </row>
    <row r="13" spans="1:14" x14ac:dyDescent="0.25">
      <c r="B13" s="4"/>
      <c r="C13" s="10" t="s">
        <v>12</v>
      </c>
      <c r="D13" s="10"/>
      <c r="F13" s="14"/>
      <c r="G13" s="14"/>
      <c r="H13" s="13">
        <f>-ROUND('BA Adjustments'!B5,0)</f>
        <v>-12088</v>
      </c>
    </row>
    <row r="14" spans="1:14" x14ac:dyDescent="0.25">
      <c r="B14" s="4"/>
      <c r="C14" s="10" t="s">
        <v>13</v>
      </c>
      <c r="D14" s="10"/>
      <c r="F14" s="14"/>
      <c r="G14" s="14"/>
      <c r="H14" s="11">
        <f>SUM(H12:H13)</f>
        <v>2655884.3000000003</v>
      </c>
      <c r="M14" s="11"/>
    </row>
    <row r="15" spans="1:14" x14ac:dyDescent="0.25">
      <c r="B15" s="4"/>
      <c r="C15" s="15" t="s">
        <v>14</v>
      </c>
      <c r="D15" s="10"/>
      <c r="F15" s="14"/>
      <c r="G15" s="14"/>
      <c r="H15" s="13">
        <v>-1881341.07</v>
      </c>
      <c r="M15" s="11"/>
    </row>
    <row r="16" spans="1:14" ht="15.75" thickBot="1" x14ac:dyDescent="0.3">
      <c r="B16" s="4"/>
      <c r="C16" s="16" t="s">
        <v>15</v>
      </c>
      <c r="D16" s="16"/>
      <c r="H16" s="35">
        <f>SUM(H14:H15)</f>
        <v>774543.23000000021</v>
      </c>
    </row>
    <row r="17" spans="1:16" ht="15.75" thickTop="1" x14ac:dyDescent="0.25">
      <c r="B17" s="4"/>
    </row>
    <row r="18" spans="1:16" x14ac:dyDescent="0.25">
      <c r="B18" s="4"/>
      <c r="C18" t="s">
        <v>33</v>
      </c>
      <c r="H18" s="36">
        <f>H16</f>
        <v>774543.23000000021</v>
      </c>
    </row>
    <row r="19" spans="1:16" x14ac:dyDescent="0.25">
      <c r="B19" s="4"/>
      <c r="C19" t="s">
        <v>34</v>
      </c>
      <c r="H19" s="13">
        <v>-767513.1399999999</v>
      </c>
      <c r="M19" s="4"/>
    </row>
    <row r="20" spans="1:16" ht="15.75" thickBot="1" x14ac:dyDescent="0.3">
      <c r="B20" s="4"/>
      <c r="C20" t="s">
        <v>35</v>
      </c>
      <c r="H20" s="35">
        <f>SUM(H18:H19)</f>
        <v>7030.0900000003166</v>
      </c>
      <c r="M20" s="4"/>
    </row>
    <row r="21" spans="1:16" ht="16.5" thickTop="1" x14ac:dyDescent="0.25">
      <c r="B21" s="4"/>
      <c r="L21" s="17"/>
      <c r="M21" s="4"/>
    </row>
    <row r="22" spans="1:16" ht="15.75" x14ac:dyDescent="0.25">
      <c r="A22" t="s">
        <v>16</v>
      </c>
      <c r="B22" s="18" t="s">
        <v>17</v>
      </c>
      <c r="M22" s="4"/>
    </row>
    <row r="23" spans="1:16" x14ac:dyDescent="0.25">
      <c r="B23" s="14"/>
      <c r="C23" s="14"/>
      <c r="D23" s="14"/>
      <c r="E23" s="14"/>
      <c r="F23" s="14" t="s">
        <v>18</v>
      </c>
      <c r="G23" s="14" t="s">
        <v>19</v>
      </c>
      <c r="H23" s="19" t="s">
        <v>19</v>
      </c>
      <c r="I23" s="19" t="s">
        <v>19</v>
      </c>
      <c r="J23" s="14" t="s">
        <v>20</v>
      </c>
      <c r="K23" s="14" t="s">
        <v>21</v>
      </c>
      <c r="L23" s="14"/>
      <c r="M23" s="14"/>
      <c r="N23" s="14"/>
    </row>
    <row r="24" spans="1:16" x14ac:dyDescent="0.25">
      <c r="B24" s="14"/>
      <c r="C24" s="5" t="s">
        <v>22</v>
      </c>
      <c r="D24" s="5" t="s">
        <v>23</v>
      </c>
      <c r="E24" s="5" t="s">
        <v>24</v>
      </c>
      <c r="F24" s="20">
        <f>C25</f>
        <v>2000</v>
      </c>
      <c r="G24" s="12">
        <f>C26</f>
        <v>3000</v>
      </c>
      <c r="H24" s="6">
        <f>C28</f>
        <v>5000</v>
      </c>
      <c r="I24" s="6">
        <f>C28</f>
        <v>5000</v>
      </c>
      <c r="J24" s="21">
        <f>SUM(F24:H24)</f>
        <v>10000</v>
      </c>
      <c r="K24" s="5"/>
      <c r="L24" s="14"/>
      <c r="M24" s="14"/>
      <c r="N24" s="14"/>
    </row>
    <row r="25" spans="1:16" x14ac:dyDescent="0.25">
      <c r="B25" s="14" t="s">
        <v>18</v>
      </c>
      <c r="C25" s="19">
        <v>2000</v>
      </c>
      <c r="D25" s="8">
        <v>14898</v>
      </c>
      <c r="E25" s="8">
        <v>14083390</v>
      </c>
      <c r="F25" s="8">
        <f>E25</f>
        <v>14083390</v>
      </c>
      <c r="G25" s="8">
        <v>0</v>
      </c>
      <c r="H25" s="22">
        <v>0</v>
      </c>
      <c r="I25" s="22"/>
      <c r="J25" s="8">
        <v>0</v>
      </c>
      <c r="K25" s="8">
        <f>SUM(F25:J25)</f>
        <v>14083390</v>
      </c>
      <c r="L25" s="8"/>
      <c r="M25" s="8"/>
      <c r="N25" s="8"/>
    </row>
    <row r="26" spans="1:16" x14ac:dyDescent="0.25">
      <c r="B26" s="14" t="s">
        <v>19</v>
      </c>
      <c r="C26" s="19">
        <v>3000</v>
      </c>
      <c r="D26" s="8">
        <v>15472</v>
      </c>
      <c r="E26" s="8">
        <v>49891280</v>
      </c>
      <c r="F26" s="8">
        <f>$D26*F$24</f>
        <v>30944000</v>
      </c>
      <c r="G26" s="8">
        <f>E26-F26</f>
        <v>18947280</v>
      </c>
      <c r="H26" s="22">
        <v>0</v>
      </c>
      <c r="I26" s="22"/>
      <c r="J26" s="8">
        <v>0</v>
      </c>
      <c r="K26" s="8">
        <f t="shared" ref="K26:K29" si="0">SUM(F26:J26)</f>
        <v>49891280</v>
      </c>
      <c r="L26" s="8"/>
      <c r="M26" s="8"/>
      <c r="N26" s="8"/>
      <c r="O26" s="8">
        <f>SUM(G26:K26)</f>
        <v>68838560</v>
      </c>
      <c r="P26" s="8">
        <f>SUM(H26:O26)</f>
        <v>118729840</v>
      </c>
    </row>
    <row r="27" spans="1:16" x14ac:dyDescent="0.25">
      <c r="B27" s="14" t="s">
        <v>19</v>
      </c>
      <c r="C27" s="19">
        <v>5000</v>
      </c>
      <c r="D27" s="8">
        <v>3998</v>
      </c>
      <c r="E27" s="8">
        <v>26273360</v>
      </c>
      <c r="F27" s="8">
        <f>$D27*F$24</f>
        <v>7996000</v>
      </c>
      <c r="G27" s="8">
        <f>$D27*G$24</f>
        <v>11994000</v>
      </c>
      <c r="H27" s="22">
        <f>E27-F27-G27</f>
        <v>6283360</v>
      </c>
      <c r="I27" s="22"/>
      <c r="J27" s="8"/>
      <c r="K27" s="8">
        <f t="shared" si="0"/>
        <v>26273360</v>
      </c>
      <c r="L27" s="8"/>
      <c r="M27" s="8"/>
      <c r="N27" s="8"/>
    </row>
    <row r="28" spans="1:16" x14ac:dyDescent="0.25">
      <c r="B28" s="14" t="s">
        <v>19</v>
      </c>
      <c r="C28" s="19">
        <v>5000</v>
      </c>
      <c r="D28" s="8">
        <v>504</v>
      </c>
      <c r="E28" s="8">
        <v>5985670</v>
      </c>
      <c r="F28" s="8">
        <f t="shared" ref="F28:I29" si="1">$D28*F$24</f>
        <v>1008000</v>
      </c>
      <c r="G28" s="8">
        <f t="shared" si="1"/>
        <v>1512000</v>
      </c>
      <c r="H28" s="8">
        <f t="shared" si="1"/>
        <v>2520000</v>
      </c>
      <c r="I28" s="8">
        <f>E28-F28-G28-H28</f>
        <v>945670</v>
      </c>
      <c r="J28" s="8">
        <v>0</v>
      </c>
      <c r="K28" s="8">
        <f t="shared" si="0"/>
        <v>5985670</v>
      </c>
      <c r="L28" s="8"/>
      <c r="M28" s="8"/>
      <c r="N28" s="8"/>
    </row>
    <row r="29" spans="1:16" x14ac:dyDescent="0.25">
      <c r="B29" s="14" t="s">
        <v>20</v>
      </c>
      <c r="C29" s="19">
        <f>SUM(C25:C28)</f>
        <v>15000</v>
      </c>
      <c r="D29" s="8">
        <v>319</v>
      </c>
      <c r="E29" s="8">
        <v>10049090</v>
      </c>
      <c r="F29" s="8">
        <f t="shared" si="1"/>
        <v>638000</v>
      </c>
      <c r="G29" s="8">
        <f t="shared" si="1"/>
        <v>957000</v>
      </c>
      <c r="H29" s="8">
        <f t="shared" si="1"/>
        <v>1595000</v>
      </c>
      <c r="I29" s="8">
        <f t="shared" si="1"/>
        <v>1595000</v>
      </c>
      <c r="J29" s="8">
        <f>E29-F29-G29-H29-I29</f>
        <v>5264090</v>
      </c>
      <c r="K29" s="8">
        <f t="shared" si="0"/>
        <v>10049090</v>
      </c>
      <c r="L29" s="8"/>
      <c r="M29" s="8"/>
      <c r="N29" s="8"/>
    </row>
    <row r="30" spans="1:16" ht="15.75" thickBot="1" x14ac:dyDescent="0.3">
      <c r="B30" s="14"/>
      <c r="C30" t="s">
        <v>25</v>
      </c>
      <c r="D30" s="23">
        <f t="shared" ref="D30:K30" si="2">SUM(D25:D29)</f>
        <v>35191</v>
      </c>
      <c r="E30" s="23">
        <f t="shared" si="2"/>
        <v>106282790</v>
      </c>
      <c r="F30" s="23">
        <f t="shared" si="2"/>
        <v>54669390</v>
      </c>
      <c r="G30" s="23">
        <f t="shared" si="2"/>
        <v>33410280</v>
      </c>
      <c r="H30" s="24">
        <f t="shared" si="2"/>
        <v>10398360</v>
      </c>
      <c r="I30" s="24">
        <f t="shared" si="2"/>
        <v>2540670</v>
      </c>
      <c r="J30" s="23">
        <f t="shared" si="2"/>
        <v>5264090</v>
      </c>
      <c r="K30" s="23">
        <f t="shared" si="2"/>
        <v>106282790</v>
      </c>
      <c r="L30" s="25"/>
      <c r="M30" s="25"/>
      <c r="N30" s="25"/>
    </row>
    <row r="31" spans="1:16" ht="15.75" thickTop="1" x14ac:dyDescent="0.25"/>
    <row r="33" spans="1:18" x14ac:dyDescent="0.25">
      <c r="B33" s="48" t="s">
        <v>26</v>
      </c>
      <c r="C33" s="48"/>
      <c r="D33" s="48"/>
      <c r="E33" s="48"/>
      <c r="F33" s="48"/>
      <c r="G33" s="48"/>
      <c r="H33" s="48"/>
    </row>
    <row r="34" spans="1:18" x14ac:dyDescent="0.25">
      <c r="C34" s="27"/>
      <c r="D34" s="26" t="s">
        <v>23</v>
      </c>
      <c r="E34" s="26" t="s">
        <v>24</v>
      </c>
      <c r="F34" s="48" t="s">
        <v>27</v>
      </c>
      <c r="G34" s="48"/>
      <c r="H34" s="26" t="s">
        <v>5</v>
      </c>
      <c r="N34" t="s">
        <v>17</v>
      </c>
    </row>
    <row r="35" spans="1:18" x14ac:dyDescent="0.25">
      <c r="B35" s="14" t="s">
        <v>18</v>
      </c>
      <c r="C35" s="8">
        <f>C25</f>
        <v>2000</v>
      </c>
      <c r="D35" s="25">
        <f>D30</f>
        <v>35191</v>
      </c>
      <c r="E35" s="25">
        <f>F30</f>
        <v>54669390</v>
      </c>
      <c r="F35" s="28">
        <f>'[1]Rates Comp'!L12</f>
        <v>44.99</v>
      </c>
      <c r="G35" t="s">
        <v>28</v>
      </c>
      <c r="H35" s="28">
        <f>F35*D35</f>
        <v>1583243.09</v>
      </c>
      <c r="N35" t="s">
        <v>18</v>
      </c>
      <c r="O35">
        <v>2000</v>
      </c>
      <c r="P35" t="s">
        <v>24</v>
      </c>
      <c r="Q35">
        <v>45.28</v>
      </c>
      <c r="R35" t="s">
        <v>28</v>
      </c>
    </row>
    <row r="36" spans="1:18" x14ac:dyDescent="0.25">
      <c r="B36" s="14" t="s">
        <v>19</v>
      </c>
      <c r="C36" s="8">
        <f>C26</f>
        <v>3000</v>
      </c>
      <c r="E36" s="25">
        <f>G30</f>
        <v>33410280</v>
      </c>
      <c r="F36" s="29">
        <f>'[1]Rates Comp'!L13</f>
        <v>1.668E-2</v>
      </c>
      <c r="G36" t="s">
        <v>29</v>
      </c>
      <c r="H36" s="30">
        <f>ROUND(E36*F36,2)</f>
        <v>557283.47</v>
      </c>
      <c r="N36" t="s">
        <v>19</v>
      </c>
      <c r="O36">
        <v>3000</v>
      </c>
      <c r="P36" s="31" t="s">
        <v>24</v>
      </c>
      <c r="Q36">
        <v>1.6830000000000001E-2</v>
      </c>
      <c r="R36" t="s">
        <v>29</v>
      </c>
    </row>
    <row r="37" spans="1:18" x14ac:dyDescent="0.25">
      <c r="B37" s="14" t="s">
        <v>19</v>
      </c>
      <c r="C37" s="8">
        <f>C28</f>
        <v>5000</v>
      </c>
      <c r="E37" s="25">
        <f>H30</f>
        <v>10398360</v>
      </c>
      <c r="F37" s="29">
        <f>'[1]Rates Comp'!L14</f>
        <v>1.5469999999999999E-2</v>
      </c>
      <c r="G37" t="s">
        <v>29</v>
      </c>
      <c r="H37" s="30">
        <f>ROUND(E37*F37,2)</f>
        <v>160862.63</v>
      </c>
      <c r="N37" t="s">
        <v>19</v>
      </c>
      <c r="O37">
        <v>5000</v>
      </c>
      <c r="P37" s="31" t="s">
        <v>24</v>
      </c>
      <c r="Q37">
        <v>1.5609999999999999E-2</v>
      </c>
      <c r="R37" t="s">
        <v>29</v>
      </c>
    </row>
    <row r="38" spans="1:18" x14ac:dyDescent="0.25">
      <c r="B38" s="14" t="s">
        <v>19</v>
      </c>
      <c r="C38" s="8">
        <f>C29</f>
        <v>15000</v>
      </c>
      <c r="E38" s="25">
        <f>I30</f>
        <v>2540670</v>
      </c>
      <c r="F38" s="29">
        <f>'[1]Rates Comp'!L15</f>
        <v>1.427E-2</v>
      </c>
      <c r="G38" t="s">
        <v>29</v>
      </c>
      <c r="H38" s="30">
        <f>ROUND(E38*F38,2)</f>
        <v>36255.360000000001</v>
      </c>
      <c r="N38" t="s">
        <v>19</v>
      </c>
      <c r="O38">
        <v>15000</v>
      </c>
      <c r="P38" s="31" t="s">
        <v>24</v>
      </c>
      <c r="Q38">
        <v>1.4409999999999999E-2</v>
      </c>
      <c r="R38" t="s">
        <v>29</v>
      </c>
    </row>
    <row r="39" spans="1:18" x14ac:dyDescent="0.25">
      <c r="B39" s="14" t="s">
        <v>20</v>
      </c>
      <c r="C39" s="8">
        <f>C29</f>
        <v>15000</v>
      </c>
      <c r="D39" s="27"/>
      <c r="E39" s="32">
        <f>J29</f>
        <v>5264090</v>
      </c>
      <c r="F39" s="29">
        <f>'[1]Rates Comp'!L16</f>
        <v>1.306E-2</v>
      </c>
      <c r="G39" t="s">
        <v>29</v>
      </c>
      <c r="H39" s="30">
        <f>ROUND(E39*F39,2)</f>
        <v>68749.02</v>
      </c>
      <c r="N39" t="s">
        <v>20</v>
      </c>
      <c r="O39">
        <v>15000</v>
      </c>
      <c r="P39" s="31" t="s">
        <v>24</v>
      </c>
      <c r="Q39">
        <v>1.319E-2</v>
      </c>
      <c r="R39" t="s">
        <v>29</v>
      </c>
    </row>
    <row r="40" spans="1:18" ht="15.75" thickBot="1" x14ac:dyDescent="0.3">
      <c r="C40" t="s">
        <v>30</v>
      </c>
      <c r="E40" s="23">
        <f>SUM(E35:E39)</f>
        <v>106282790</v>
      </c>
      <c r="H40" s="33">
        <f>SUM(H35:H39)</f>
        <v>2406393.5699999998</v>
      </c>
      <c r="K40" t="s">
        <v>31</v>
      </c>
    </row>
    <row r="41" spans="1:18" ht="15.75" thickTop="1" x14ac:dyDescent="0.25">
      <c r="N41" t="s">
        <v>7</v>
      </c>
    </row>
    <row r="42" spans="1:18" x14ac:dyDescent="0.25">
      <c r="N42" t="s">
        <v>18</v>
      </c>
      <c r="O42">
        <v>5000</v>
      </c>
      <c r="P42" t="s">
        <v>24</v>
      </c>
      <c r="Q42">
        <v>45.28</v>
      </c>
      <c r="R42" t="s">
        <v>28</v>
      </c>
    </row>
    <row r="43" spans="1:18" x14ac:dyDescent="0.25">
      <c r="A43" t="s">
        <v>16</v>
      </c>
      <c r="B43" s="4" t="s">
        <v>7</v>
      </c>
      <c r="I43"/>
      <c r="N43" t="s">
        <v>19</v>
      </c>
      <c r="O43">
        <v>5000</v>
      </c>
      <c r="P43" t="s">
        <v>24</v>
      </c>
      <c r="Q43">
        <v>1.5609999999999999E-2</v>
      </c>
      <c r="R43" t="s">
        <v>29</v>
      </c>
    </row>
    <row r="44" spans="1:18" x14ac:dyDescent="0.25">
      <c r="B44" s="14"/>
      <c r="C44" s="14"/>
      <c r="D44" s="14"/>
      <c r="E44" s="14"/>
      <c r="F44" s="14" t="s">
        <v>18</v>
      </c>
      <c r="G44" s="14" t="s">
        <v>19</v>
      </c>
      <c r="H44" s="19" t="s">
        <v>19</v>
      </c>
      <c r="I44" s="14" t="s">
        <v>20</v>
      </c>
      <c r="J44" s="14" t="s">
        <v>21</v>
      </c>
      <c r="N44" t="s">
        <v>19</v>
      </c>
      <c r="O44">
        <v>5000</v>
      </c>
      <c r="P44" t="s">
        <v>24</v>
      </c>
      <c r="Q44">
        <v>1.44E-2</v>
      </c>
      <c r="R44" t="s">
        <v>29</v>
      </c>
    </row>
    <row r="45" spans="1:18" x14ac:dyDescent="0.25">
      <c r="B45" s="14"/>
      <c r="C45" s="5" t="s">
        <v>22</v>
      </c>
      <c r="D45" s="5" t="s">
        <v>23</v>
      </c>
      <c r="E45" s="5" t="s">
        <v>24</v>
      </c>
      <c r="F45" s="12">
        <f>C46</f>
        <v>5000</v>
      </c>
      <c r="G45" s="12">
        <f>C47</f>
        <v>5000</v>
      </c>
      <c r="H45" s="6">
        <f>C47</f>
        <v>5000</v>
      </c>
      <c r="I45" s="21">
        <f>SUM(F45:H45)</f>
        <v>15000</v>
      </c>
      <c r="J45" s="5"/>
      <c r="N45" t="s">
        <v>20</v>
      </c>
      <c r="O45">
        <v>15000</v>
      </c>
      <c r="P45" t="s">
        <v>24</v>
      </c>
      <c r="Q45">
        <v>1.3180000000000001E-2</v>
      </c>
      <c r="R45" t="s">
        <v>29</v>
      </c>
    </row>
    <row r="46" spans="1:18" x14ac:dyDescent="0.25">
      <c r="B46" s="14" t="s">
        <v>18</v>
      </c>
      <c r="C46" s="19">
        <v>5000</v>
      </c>
      <c r="D46" s="8">
        <v>173</v>
      </c>
      <c r="E46" s="8">
        <v>291950</v>
      </c>
      <c r="F46" s="8">
        <f>E46</f>
        <v>291950</v>
      </c>
      <c r="G46" s="8">
        <v>0</v>
      </c>
      <c r="H46" s="22">
        <v>0</v>
      </c>
      <c r="I46" s="8">
        <v>0</v>
      </c>
      <c r="J46" s="8">
        <f>SUM(F46:I46)</f>
        <v>291950</v>
      </c>
    </row>
    <row r="47" spans="1:18" x14ac:dyDescent="0.25">
      <c r="B47" s="14" t="s">
        <v>19</v>
      </c>
      <c r="C47" s="19">
        <v>5000</v>
      </c>
      <c r="D47" s="8">
        <v>15</v>
      </c>
      <c r="E47" s="8">
        <v>103990</v>
      </c>
      <c r="F47" s="8">
        <f>$D47*F$45</f>
        <v>75000</v>
      </c>
      <c r="G47" s="8">
        <f>E47-F47</f>
        <v>28990</v>
      </c>
      <c r="H47" s="22">
        <v>0</v>
      </c>
      <c r="I47" s="8">
        <v>0</v>
      </c>
      <c r="J47" s="8">
        <f>SUM(F47:I47)</f>
        <v>103990</v>
      </c>
      <c r="K47" s="8"/>
      <c r="L47" s="8"/>
      <c r="M47" s="8"/>
      <c r="N47" s="8" t="s">
        <v>8</v>
      </c>
      <c r="O47" s="8"/>
    </row>
    <row r="48" spans="1:18" x14ac:dyDescent="0.25">
      <c r="B48" s="14" t="s">
        <v>19</v>
      </c>
      <c r="C48" s="19">
        <v>5000</v>
      </c>
      <c r="D48" s="8">
        <v>2</v>
      </c>
      <c r="E48" s="8">
        <v>24750</v>
      </c>
      <c r="F48" s="8">
        <f t="shared" ref="F48:F49" si="3">$D48*F$45</f>
        <v>10000</v>
      </c>
      <c r="G48" s="8">
        <f>$D48*G$45</f>
        <v>10000</v>
      </c>
      <c r="H48" s="22">
        <f>E48-F48-G48</f>
        <v>4750</v>
      </c>
      <c r="I48" s="8"/>
      <c r="J48" s="8">
        <f>SUM(F48:I48)</f>
        <v>24750</v>
      </c>
      <c r="N48" t="s">
        <v>18</v>
      </c>
      <c r="O48">
        <v>15000</v>
      </c>
      <c r="P48" t="s">
        <v>24</v>
      </c>
      <c r="Q48">
        <v>244.14</v>
      </c>
      <c r="R48" t="s">
        <v>28</v>
      </c>
    </row>
    <row r="49" spans="1:18" x14ac:dyDescent="0.25">
      <c r="B49" s="14" t="s">
        <v>20</v>
      </c>
      <c r="C49" s="19">
        <f>SUM(C46:C48)</f>
        <v>15000</v>
      </c>
      <c r="D49" s="8">
        <v>10</v>
      </c>
      <c r="E49" s="8">
        <v>655450</v>
      </c>
      <c r="F49" s="8">
        <f t="shared" si="3"/>
        <v>50000</v>
      </c>
      <c r="G49" s="8">
        <f>$D49*G$45</f>
        <v>50000</v>
      </c>
      <c r="H49" s="8">
        <f>$D49*H$45</f>
        <v>50000</v>
      </c>
      <c r="I49" s="8">
        <f>E49-F49-G49-H49</f>
        <v>505450</v>
      </c>
      <c r="J49" s="8">
        <f>SUM(F49:I49)</f>
        <v>655450</v>
      </c>
      <c r="N49" t="s">
        <v>20</v>
      </c>
      <c r="O49">
        <v>15000</v>
      </c>
      <c r="P49" t="s">
        <v>24</v>
      </c>
      <c r="Q49">
        <v>1.3180000000000001E-2</v>
      </c>
      <c r="R49" t="s">
        <v>29</v>
      </c>
    </row>
    <row r="50" spans="1:18" ht="15.75" thickBot="1" x14ac:dyDescent="0.3">
      <c r="B50" s="14"/>
      <c r="C50" t="s">
        <v>25</v>
      </c>
      <c r="D50" s="23">
        <f t="shared" ref="D50:J50" si="4">SUM(D46:D49)</f>
        <v>200</v>
      </c>
      <c r="E50" s="23">
        <f t="shared" si="4"/>
        <v>1076140</v>
      </c>
      <c r="F50" s="23">
        <f t="shared" si="4"/>
        <v>426950</v>
      </c>
      <c r="G50" s="23">
        <f t="shared" si="4"/>
        <v>88990</v>
      </c>
      <c r="H50" s="24">
        <f t="shared" si="4"/>
        <v>54750</v>
      </c>
      <c r="I50" s="23">
        <f t="shared" si="4"/>
        <v>505450</v>
      </c>
      <c r="J50" s="23">
        <f t="shared" si="4"/>
        <v>1076140</v>
      </c>
    </row>
    <row r="51" spans="1:18" ht="15.75" thickTop="1" x14ac:dyDescent="0.25">
      <c r="I51"/>
      <c r="N51" t="s">
        <v>9</v>
      </c>
    </row>
    <row r="52" spans="1:18" x14ac:dyDescent="0.25">
      <c r="I52"/>
      <c r="N52" t="s">
        <v>18</v>
      </c>
      <c r="O52">
        <v>100000</v>
      </c>
      <c r="P52" t="s">
        <v>24</v>
      </c>
      <c r="Q52">
        <v>1367.5</v>
      </c>
      <c r="R52" t="s">
        <v>28</v>
      </c>
    </row>
    <row r="53" spans="1:18" x14ac:dyDescent="0.25">
      <c r="B53" s="48" t="s">
        <v>26</v>
      </c>
      <c r="C53" s="48"/>
      <c r="D53" s="48"/>
      <c r="E53" s="48"/>
      <c r="F53" s="48"/>
      <c r="G53" s="48"/>
      <c r="H53" s="48"/>
      <c r="I53"/>
      <c r="N53" t="s">
        <v>20</v>
      </c>
      <c r="O53">
        <v>100000</v>
      </c>
      <c r="P53" t="s">
        <v>24</v>
      </c>
      <c r="Q53">
        <v>1.3180000000000001E-2</v>
      </c>
      <c r="R53" t="s">
        <v>29</v>
      </c>
    </row>
    <row r="54" spans="1:18" x14ac:dyDescent="0.25">
      <c r="C54" s="27"/>
      <c r="D54" s="26" t="s">
        <v>23</v>
      </c>
      <c r="E54" s="26" t="s">
        <v>24</v>
      </c>
      <c r="F54" s="48" t="s">
        <v>27</v>
      </c>
      <c r="G54" s="48"/>
      <c r="H54" s="26" t="s">
        <v>5</v>
      </c>
      <c r="I54"/>
    </row>
    <row r="55" spans="1:18" x14ac:dyDescent="0.25">
      <c r="B55" s="14" t="s">
        <v>18</v>
      </c>
      <c r="C55" s="8">
        <f>C46</f>
        <v>5000</v>
      </c>
      <c r="D55" s="25">
        <f>D50</f>
        <v>200</v>
      </c>
      <c r="E55" s="25">
        <f>F50</f>
        <v>426950</v>
      </c>
      <c r="F55" s="28">
        <f>'[1]Rates Comp'!L19</f>
        <v>95.37</v>
      </c>
      <c r="G55" t="s">
        <v>28</v>
      </c>
      <c r="H55" s="28">
        <f>F55*D55</f>
        <v>19074</v>
      </c>
      <c r="I55"/>
      <c r="N55" t="s">
        <v>32</v>
      </c>
    </row>
    <row r="56" spans="1:18" x14ac:dyDescent="0.25">
      <c r="B56" s="14" t="s">
        <v>19</v>
      </c>
      <c r="C56" s="8">
        <f>C47</f>
        <v>5000</v>
      </c>
      <c r="E56" s="25">
        <f>G50</f>
        <v>88990</v>
      </c>
      <c r="F56" s="29">
        <f>'[1]Rates Comp'!L20</f>
        <v>1.5469999999999999E-2</v>
      </c>
      <c r="G56" t="s">
        <v>29</v>
      </c>
      <c r="H56" s="30">
        <f>ROUND(E56*F56,2)</f>
        <v>1376.68</v>
      </c>
      <c r="I56"/>
      <c r="P56" s="31"/>
      <c r="Q56">
        <v>6.4199999999999995E-3</v>
      </c>
      <c r="R56" t="s">
        <v>29</v>
      </c>
    </row>
    <row r="57" spans="1:18" x14ac:dyDescent="0.25">
      <c r="B57" s="14" t="s">
        <v>19</v>
      </c>
      <c r="C57" s="8">
        <f>C48</f>
        <v>5000</v>
      </c>
      <c r="E57" s="25">
        <f>H50</f>
        <v>54750</v>
      </c>
      <c r="F57" s="29">
        <f>'[1]Rates Comp'!L21</f>
        <v>1.427E-2</v>
      </c>
      <c r="G57" t="s">
        <v>29</v>
      </c>
      <c r="H57" s="30">
        <f>ROUND(E57*F57,2)</f>
        <v>781.28</v>
      </c>
      <c r="I57"/>
      <c r="P57" s="31">
        <v>10.15</v>
      </c>
    </row>
    <row r="58" spans="1:18" x14ac:dyDescent="0.25">
      <c r="B58" s="14" t="s">
        <v>20</v>
      </c>
      <c r="C58" s="8">
        <f>C49</f>
        <v>15000</v>
      </c>
      <c r="D58" s="27"/>
      <c r="E58" s="32">
        <f>I49</f>
        <v>505450</v>
      </c>
      <c r="F58" s="29">
        <f>'[1]Rates Comp'!L22</f>
        <v>1.306E-2</v>
      </c>
      <c r="G58" t="s">
        <v>29</v>
      </c>
      <c r="H58" s="30">
        <f>ROUND(E58*F58,2)</f>
        <v>6601.18</v>
      </c>
      <c r="I58"/>
      <c r="P58" s="31">
        <v>9.2899999999999991</v>
      </c>
    </row>
    <row r="59" spans="1:18" ht="15.75" thickBot="1" x14ac:dyDescent="0.3">
      <c r="C59" t="s">
        <v>30</v>
      </c>
      <c r="E59" s="23">
        <f>SUM(E55:E58)</f>
        <v>1076140</v>
      </c>
      <c r="H59" s="33">
        <f>SUM(H55:H58)</f>
        <v>27833.14</v>
      </c>
      <c r="I59"/>
      <c r="J59" t="s">
        <v>31</v>
      </c>
    </row>
    <row r="60" spans="1:18" ht="15.75" thickTop="1" x14ac:dyDescent="0.25"/>
    <row r="61" spans="1:18" x14ac:dyDescent="0.25">
      <c r="A61" t="s">
        <v>16</v>
      </c>
      <c r="B61" s="4" t="s">
        <v>8</v>
      </c>
      <c r="H61"/>
      <c r="I61"/>
    </row>
    <row r="62" spans="1:18" x14ac:dyDescent="0.25">
      <c r="B62" s="14"/>
      <c r="C62" s="14"/>
      <c r="D62" s="14"/>
      <c r="E62" s="14"/>
      <c r="F62" s="14" t="s">
        <v>18</v>
      </c>
      <c r="G62" s="14" t="s">
        <v>20</v>
      </c>
      <c r="H62" s="14" t="s">
        <v>21</v>
      </c>
      <c r="I62"/>
    </row>
    <row r="63" spans="1:18" x14ac:dyDescent="0.25">
      <c r="B63" s="14"/>
      <c r="C63" s="5" t="s">
        <v>22</v>
      </c>
      <c r="D63" s="5" t="s">
        <v>23</v>
      </c>
      <c r="E63" s="5" t="s">
        <v>24</v>
      </c>
      <c r="F63" s="12">
        <f>C64</f>
        <v>15000</v>
      </c>
      <c r="G63" s="21">
        <f>SUM(F63:F63)</f>
        <v>15000</v>
      </c>
      <c r="H63" s="5"/>
      <c r="I63"/>
    </row>
    <row r="64" spans="1:18" x14ac:dyDescent="0.25">
      <c r="B64" s="14" t="s">
        <v>18</v>
      </c>
      <c r="C64" s="19">
        <v>15000</v>
      </c>
      <c r="D64" s="8">
        <v>24</v>
      </c>
      <c r="E64" s="8">
        <v>145730</v>
      </c>
      <c r="F64" s="8">
        <f>E64</f>
        <v>145730</v>
      </c>
      <c r="G64" s="8">
        <v>0</v>
      </c>
      <c r="H64" s="8">
        <f>SUM(F64:G64)</f>
        <v>145730</v>
      </c>
      <c r="I64"/>
    </row>
    <row r="65" spans="1:16" x14ac:dyDescent="0.25">
      <c r="B65" s="14" t="s">
        <v>20</v>
      </c>
      <c r="C65" s="19">
        <f>SUM(C64:C64)</f>
        <v>15000</v>
      </c>
      <c r="D65" s="8">
        <v>72</v>
      </c>
      <c r="E65" s="8">
        <v>12530570</v>
      </c>
      <c r="F65" s="8">
        <f>$D65*F$63</f>
        <v>1080000</v>
      </c>
      <c r="G65" s="8">
        <f>E65-F65</f>
        <v>11450570</v>
      </c>
      <c r="H65" s="8">
        <f>SUM(F65:G65)</f>
        <v>12530570</v>
      </c>
      <c r="I65"/>
    </row>
    <row r="66" spans="1:16" ht="15.75" thickBot="1" x14ac:dyDescent="0.3">
      <c r="B66" s="14"/>
      <c r="C66" t="s">
        <v>25</v>
      </c>
      <c r="D66" s="23">
        <f>SUM(D64:D65)</f>
        <v>96</v>
      </c>
      <c r="E66" s="23">
        <f>SUM(E64:E65)</f>
        <v>12676300</v>
      </c>
      <c r="F66" s="23">
        <f>SUM(F64:F65)</f>
        <v>1225730</v>
      </c>
      <c r="G66" s="23">
        <f>SUM(G64:G65)</f>
        <v>11450570</v>
      </c>
      <c r="H66" s="23">
        <f>SUM(H64:H65)</f>
        <v>12676300</v>
      </c>
      <c r="I66"/>
    </row>
    <row r="67" spans="1:16" ht="15.75" thickTop="1" x14ac:dyDescent="0.25">
      <c r="H67"/>
      <c r="I67"/>
    </row>
    <row r="68" spans="1:16" x14ac:dyDescent="0.25">
      <c r="H68"/>
      <c r="I68"/>
    </row>
    <row r="69" spans="1:16" x14ac:dyDescent="0.25">
      <c r="B69" s="48" t="s">
        <v>26</v>
      </c>
      <c r="C69" s="48"/>
      <c r="D69" s="48"/>
      <c r="E69" s="48"/>
      <c r="F69" s="48"/>
      <c r="G69" s="48"/>
      <c r="H69" s="48"/>
      <c r="I69"/>
    </row>
    <row r="70" spans="1:16" x14ac:dyDescent="0.25">
      <c r="C70" s="27"/>
      <c r="D70" s="26" t="s">
        <v>23</v>
      </c>
      <c r="E70" s="26" t="s">
        <v>24</v>
      </c>
      <c r="F70" s="48" t="s">
        <v>27</v>
      </c>
      <c r="G70" s="48"/>
      <c r="H70" s="26" t="s">
        <v>5</v>
      </c>
      <c r="I70"/>
    </row>
    <row r="71" spans="1:16" x14ac:dyDescent="0.25">
      <c r="B71" s="14" t="s">
        <v>18</v>
      </c>
      <c r="C71" s="8">
        <f>C64</f>
        <v>15000</v>
      </c>
      <c r="D71" s="25">
        <f>D66</f>
        <v>96</v>
      </c>
      <c r="E71" s="25">
        <f>F66</f>
        <v>1225730</v>
      </c>
      <c r="F71" s="28">
        <f>'[1]Rates Comp'!L25</f>
        <v>242.45000000000002</v>
      </c>
      <c r="G71" t="s">
        <v>28</v>
      </c>
      <c r="H71" s="28">
        <f>F71*D71</f>
        <v>23275.200000000001</v>
      </c>
      <c r="I71"/>
    </row>
    <row r="72" spans="1:16" x14ac:dyDescent="0.25">
      <c r="B72" s="14" t="s">
        <v>20</v>
      </c>
      <c r="C72" s="8">
        <f>C65</f>
        <v>15000</v>
      </c>
      <c r="D72" s="27"/>
      <c r="E72" s="32">
        <f>G65</f>
        <v>11450570</v>
      </c>
      <c r="F72" s="29">
        <f>'[1]Rates Comp'!L26</f>
        <v>1.306E-2</v>
      </c>
      <c r="G72" t="s">
        <v>29</v>
      </c>
      <c r="H72" s="30">
        <f>ROUND(E72*F72,2)</f>
        <v>149544.44</v>
      </c>
      <c r="I72"/>
      <c r="P72" s="31">
        <v>9.2899999999999991</v>
      </c>
    </row>
    <row r="73" spans="1:16" ht="15.75" thickBot="1" x14ac:dyDescent="0.3">
      <c r="C73" t="s">
        <v>30</v>
      </c>
      <c r="E73" s="23">
        <f>SUM(E71:E72)</f>
        <v>12676300</v>
      </c>
      <c r="H73" s="33">
        <f>SUM(H71:H72)</f>
        <v>172819.64</v>
      </c>
      <c r="I73"/>
    </row>
    <row r="74" spans="1:16" ht="15.75" thickTop="1" x14ac:dyDescent="0.25"/>
    <row r="75" spans="1:16" x14ac:dyDescent="0.25">
      <c r="A75" t="s">
        <v>16</v>
      </c>
      <c r="B75" s="4" t="s">
        <v>9</v>
      </c>
      <c r="H75"/>
      <c r="I75"/>
    </row>
    <row r="76" spans="1:16" x14ac:dyDescent="0.25">
      <c r="B76" s="14"/>
      <c r="C76" s="14"/>
      <c r="D76" s="14"/>
      <c r="E76" s="14"/>
      <c r="F76" s="14" t="s">
        <v>18</v>
      </c>
      <c r="G76" s="14" t="s">
        <v>20</v>
      </c>
      <c r="H76" s="14" t="s">
        <v>21</v>
      </c>
      <c r="I76"/>
    </row>
    <row r="77" spans="1:16" x14ac:dyDescent="0.25">
      <c r="B77" s="14"/>
      <c r="C77" s="5" t="s">
        <v>22</v>
      </c>
      <c r="D77" s="5" t="s">
        <v>23</v>
      </c>
      <c r="E77" s="5" t="s">
        <v>24</v>
      </c>
      <c r="F77" s="12">
        <f>C78</f>
        <v>100000</v>
      </c>
      <c r="G77" s="21">
        <f>SUM(F77:F77)</f>
        <v>100000</v>
      </c>
      <c r="H77" s="5"/>
      <c r="I77"/>
    </row>
    <row r="78" spans="1:16" x14ac:dyDescent="0.25">
      <c r="B78" s="14" t="s">
        <v>18</v>
      </c>
      <c r="C78" s="19">
        <v>100000</v>
      </c>
      <c r="D78" s="8">
        <v>8</v>
      </c>
      <c r="E78" s="8">
        <v>382380</v>
      </c>
      <c r="F78" s="8">
        <f>E78</f>
        <v>382380</v>
      </c>
      <c r="G78" s="8">
        <v>0</v>
      </c>
      <c r="H78" s="8">
        <f>SUM(F78:G78)</f>
        <v>382380</v>
      </c>
      <c r="I78"/>
    </row>
    <row r="79" spans="1:16" x14ac:dyDescent="0.25">
      <c r="B79" s="14" t="s">
        <v>20</v>
      </c>
      <c r="C79" s="19">
        <f>SUM(C78:C78)</f>
        <v>100000</v>
      </c>
      <c r="D79" s="8">
        <v>4</v>
      </c>
      <c r="E79" s="8">
        <v>754330</v>
      </c>
      <c r="F79" s="8">
        <f>$D79*F$77</f>
        <v>400000</v>
      </c>
      <c r="G79" s="8">
        <f>E79-F79</f>
        <v>354330</v>
      </c>
      <c r="H79" s="8">
        <f>SUM(F79:G79)</f>
        <v>754330</v>
      </c>
      <c r="I79"/>
    </row>
    <row r="80" spans="1:16" ht="15.75" thickBot="1" x14ac:dyDescent="0.3">
      <c r="B80" s="14"/>
      <c r="C80" t="s">
        <v>25</v>
      </c>
      <c r="D80" s="23">
        <f>SUM(D78:D79)</f>
        <v>12</v>
      </c>
      <c r="E80" s="23">
        <f>SUM(E78:E79)</f>
        <v>1136710</v>
      </c>
      <c r="F80" s="23">
        <f>SUM(F78:F79)</f>
        <v>782380</v>
      </c>
      <c r="G80" s="23">
        <f>SUM(G78:G79)</f>
        <v>354330</v>
      </c>
      <c r="H80" s="23">
        <f>SUM(H78:H79)</f>
        <v>1136710</v>
      </c>
      <c r="I80"/>
    </row>
    <row r="81" spans="1:16" ht="15.75" thickTop="1" x14ac:dyDescent="0.25">
      <c r="H81"/>
      <c r="I81"/>
    </row>
    <row r="82" spans="1:16" x14ac:dyDescent="0.25">
      <c r="H82"/>
      <c r="I82"/>
    </row>
    <row r="83" spans="1:16" x14ac:dyDescent="0.25">
      <c r="B83" s="48" t="s">
        <v>26</v>
      </c>
      <c r="C83" s="48"/>
      <c r="D83" s="48"/>
      <c r="E83" s="48"/>
      <c r="F83" s="48"/>
      <c r="G83" s="48"/>
      <c r="H83" s="48"/>
      <c r="I83"/>
    </row>
    <row r="84" spans="1:16" x14ac:dyDescent="0.25">
      <c r="C84" s="27"/>
      <c r="D84" s="26" t="s">
        <v>23</v>
      </c>
      <c r="E84" s="26" t="s">
        <v>24</v>
      </c>
      <c r="F84" s="48" t="s">
        <v>27</v>
      </c>
      <c r="G84" s="48"/>
      <c r="H84" s="26" t="s">
        <v>5</v>
      </c>
      <c r="I84"/>
    </row>
    <row r="85" spans="1:16" x14ac:dyDescent="0.25">
      <c r="B85" s="14" t="s">
        <v>18</v>
      </c>
      <c r="C85" s="8">
        <f>C78</f>
        <v>100000</v>
      </c>
      <c r="D85" s="25">
        <f>D80</f>
        <v>12</v>
      </c>
      <c r="E85" s="25">
        <f>F80</f>
        <v>782380</v>
      </c>
      <c r="F85" s="28">
        <f>'[1]Rates Comp'!L29</f>
        <v>1357.8999999999999</v>
      </c>
      <c r="G85" t="s">
        <v>28</v>
      </c>
      <c r="H85" s="28">
        <f>F85*D85</f>
        <v>16294.8</v>
      </c>
      <c r="I85"/>
    </row>
    <row r="86" spans="1:16" x14ac:dyDescent="0.25">
      <c r="B86" s="14" t="s">
        <v>20</v>
      </c>
      <c r="C86" s="8">
        <f>C79</f>
        <v>100000</v>
      </c>
      <c r="D86" s="27"/>
      <c r="E86" s="32">
        <f>G79</f>
        <v>354330</v>
      </c>
      <c r="F86" s="29">
        <f>'[1]Rates Comp'!R30</f>
        <v>1.306E-2</v>
      </c>
      <c r="G86" t="s">
        <v>29</v>
      </c>
      <c r="H86" s="30">
        <f>ROUND(E86*F86,2)</f>
        <v>4627.55</v>
      </c>
      <c r="I86"/>
      <c r="P86" s="31">
        <v>9.2899999999999991</v>
      </c>
    </row>
    <row r="87" spans="1:16" ht="15.75" thickBot="1" x14ac:dyDescent="0.3">
      <c r="C87" t="s">
        <v>30</v>
      </c>
      <c r="E87" s="23">
        <f>SUM(E85:E86)</f>
        <v>1136710</v>
      </c>
      <c r="H87" s="33">
        <f>SUM(H85:H86)</f>
        <v>20922.349999999999</v>
      </c>
      <c r="I87"/>
    </row>
    <row r="88" spans="1:16" ht="15.75" thickTop="1" x14ac:dyDescent="0.25"/>
    <row r="89" spans="1:16" x14ac:dyDescent="0.25">
      <c r="A89" t="s">
        <v>16</v>
      </c>
      <c r="B89" s="4" t="s">
        <v>32</v>
      </c>
      <c r="H89"/>
      <c r="I89"/>
    </row>
    <row r="90" spans="1:16" x14ac:dyDescent="0.25">
      <c r="E90" s="34">
        <f>E87/12</f>
        <v>94725.833333333328</v>
      </c>
      <c r="H90"/>
      <c r="I90"/>
    </row>
    <row r="91" spans="1:16" x14ac:dyDescent="0.25">
      <c r="B91" s="14"/>
      <c r="C91" s="14"/>
      <c r="D91" s="14"/>
      <c r="E91" s="14"/>
      <c r="H91"/>
      <c r="I91"/>
    </row>
    <row r="92" spans="1:16" x14ac:dyDescent="0.25">
      <c r="B92" s="14"/>
      <c r="C92" s="5" t="s">
        <v>22</v>
      </c>
      <c r="D92" s="5" t="s">
        <v>23</v>
      </c>
      <c r="E92" s="5" t="s">
        <v>24</v>
      </c>
      <c r="H92"/>
      <c r="I92"/>
    </row>
    <row r="93" spans="1:16" x14ac:dyDescent="0.25">
      <c r="B93" s="14" t="s">
        <v>20</v>
      </c>
      <c r="C93" s="19">
        <v>6280000</v>
      </c>
      <c r="D93" s="8">
        <v>12</v>
      </c>
      <c r="E93" s="8">
        <v>6280000</v>
      </c>
      <c r="H93"/>
      <c r="I93"/>
    </row>
    <row r="94" spans="1:16" ht="15.75" thickBot="1" x14ac:dyDescent="0.3">
      <c r="B94" s="14"/>
      <c r="C94" t="s">
        <v>25</v>
      </c>
      <c r="D94" s="23">
        <f>SUM(D93:D93)</f>
        <v>12</v>
      </c>
      <c r="E94" s="23">
        <f>SUM(E93:E93)</f>
        <v>6280000</v>
      </c>
      <c r="H94"/>
      <c r="I94"/>
    </row>
    <row r="95" spans="1:16" ht="15.75" thickTop="1" x14ac:dyDescent="0.25">
      <c r="H95"/>
      <c r="I95"/>
    </row>
    <row r="96" spans="1:16" x14ac:dyDescent="0.25">
      <c r="H96"/>
      <c r="I96"/>
    </row>
    <row r="97" spans="2:16" x14ac:dyDescent="0.25">
      <c r="B97" s="48" t="s">
        <v>26</v>
      </c>
      <c r="C97" s="48"/>
      <c r="D97" s="48"/>
      <c r="E97" s="48"/>
      <c r="F97" s="48"/>
      <c r="G97" s="48"/>
      <c r="H97" s="48"/>
      <c r="I97"/>
    </row>
    <row r="98" spans="2:16" x14ac:dyDescent="0.25">
      <c r="C98" s="27"/>
      <c r="D98" s="26" t="s">
        <v>23</v>
      </c>
      <c r="E98" s="26" t="s">
        <v>24</v>
      </c>
      <c r="F98" s="48" t="s">
        <v>27</v>
      </c>
      <c r="G98" s="48"/>
      <c r="H98" s="26" t="s">
        <v>5</v>
      </c>
      <c r="I98"/>
    </row>
    <row r="99" spans="2:16" x14ac:dyDescent="0.25">
      <c r="B99" s="14" t="s">
        <v>24</v>
      </c>
      <c r="C99" s="8"/>
      <c r="D99" s="32">
        <f>D94</f>
        <v>12</v>
      </c>
      <c r="E99" s="32">
        <f>E94</f>
        <v>6280000</v>
      </c>
      <c r="F99" s="29">
        <f>'[1]Rates Comp'!L33</f>
        <v>6.3699999999999998E-3</v>
      </c>
      <c r="G99" t="s">
        <v>29</v>
      </c>
      <c r="H99" s="30">
        <f>ROUND(E99*F99,2)</f>
        <v>40003.599999999999</v>
      </c>
      <c r="I99"/>
      <c r="P99" s="31">
        <v>4.5199999999999996</v>
      </c>
    </row>
    <row r="100" spans="2:16" ht="15.75" thickBot="1" x14ac:dyDescent="0.3">
      <c r="C100" t="s">
        <v>30</v>
      </c>
      <c r="E100" s="23">
        <f>SUM(E99:E99)</f>
        <v>6280000</v>
      </c>
      <c r="H100" s="33">
        <f>SUM(H99:H99)</f>
        <v>40003.599999999999</v>
      </c>
      <c r="I100"/>
    </row>
    <row r="101" spans="2:16" ht="15.75" thickTop="1" x14ac:dyDescent="0.25"/>
  </sheetData>
  <mergeCells count="17">
    <mergeCell ref="B69:H69"/>
    <mergeCell ref="A1:K1"/>
    <mergeCell ref="A2:K2"/>
    <mergeCell ref="A3:K3"/>
    <mergeCell ref="A4:K4"/>
    <mergeCell ref="C6:D6"/>
    <mergeCell ref="C7:D7"/>
    <mergeCell ref="C8:D8"/>
    <mergeCell ref="B33:H33"/>
    <mergeCell ref="F34:G34"/>
    <mergeCell ref="B53:H53"/>
    <mergeCell ref="F54:G54"/>
    <mergeCell ref="F70:G70"/>
    <mergeCell ref="B83:H83"/>
    <mergeCell ref="F84:G84"/>
    <mergeCell ref="B97:H97"/>
    <mergeCell ref="F98:G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D0B3-B25D-4B9A-AF1C-80AFBD1AAC93}">
  <dimension ref="A1:B7"/>
  <sheetViews>
    <sheetView workbookViewId="0">
      <selection activeCell="B17" sqref="B17"/>
    </sheetView>
  </sheetViews>
  <sheetFormatPr defaultRowHeight="15" x14ac:dyDescent="0.2"/>
  <cols>
    <col min="1" max="1" width="25" style="17" customWidth="1"/>
    <col min="2" max="2" width="14.85546875" style="47" customWidth="1"/>
    <col min="3" max="3" width="18.42578125" style="17" customWidth="1"/>
    <col min="4" max="16384" width="9.140625" style="17"/>
  </cols>
  <sheetData>
    <row r="1" spans="1:2" x14ac:dyDescent="0.2">
      <c r="A1" s="37" t="s">
        <v>36</v>
      </c>
      <c r="B1" s="38" t="s">
        <v>37</v>
      </c>
    </row>
    <row r="2" spans="1:2" x14ac:dyDescent="0.2">
      <c r="A2" s="39" t="s">
        <v>38</v>
      </c>
      <c r="B2" s="40">
        <v>9228.59</v>
      </c>
    </row>
    <row r="3" spans="1:2" x14ac:dyDescent="0.2">
      <c r="A3" s="41" t="s">
        <v>39</v>
      </c>
      <c r="B3" s="42">
        <v>398.75</v>
      </c>
    </row>
    <row r="4" spans="1:2" x14ac:dyDescent="0.2">
      <c r="A4" s="41" t="s">
        <v>40</v>
      </c>
      <c r="B4" s="43">
        <v>2460.69</v>
      </c>
    </row>
    <row r="5" spans="1:2" ht="15.75" thickBot="1" x14ac:dyDescent="0.25">
      <c r="A5" s="41" t="s">
        <v>21</v>
      </c>
      <c r="B5" s="44">
        <f>SUM(B2:B4)</f>
        <v>12088.03</v>
      </c>
    </row>
    <row r="6" spans="1:2" ht="15.75" thickTop="1" x14ac:dyDescent="0.2">
      <c r="A6" s="45"/>
      <c r="B6" s="46"/>
    </row>
    <row r="7" spans="1:2" x14ac:dyDescent="0.2">
      <c r="A7" s="45"/>
      <c r="B7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B605-BD99-42E7-BF33-2F657CF3E946}">
  <dimension ref="A1:P102"/>
  <sheetViews>
    <sheetView workbookViewId="0">
      <selection activeCell="C18" sqref="C18:H20"/>
    </sheetView>
  </sheetViews>
  <sheetFormatPr defaultColWidth="19" defaultRowHeight="15" x14ac:dyDescent="0.25"/>
  <cols>
    <col min="8" max="9" width="19" style="7"/>
  </cols>
  <sheetData>
    <row r="1" spans="1:14" ht="18.75" x14ac:dyDescent="0.3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</row>
    <row r="2" spans="1:14" ht="18.75" x14ac:dyDescent="0.25">
      <c r="A2" s="52" t="str">
        <f>'[1]SAO - DSC'!C4</f>
        <v>Morgan County Water District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2"/>
      <c r="M2" s="2"/>
      <c r="N2" s="2"/>
    </row>
    <row r="3" spans="1:14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3"/>
      <c r="M3" s="3"/>
      <c r="N3" s="3"/>
    </row>
    <row r="4" spans="1:14" ht="18.75" x14ac:dyDescent="0.3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1"/>
      <c r="M4" s="1"/>
      <c r="N4" s="1"/>
    </row>
    <row r="6" spans="1:14" ht="15.75" x14ac:dyDescent="0.25">
      <c r="B6" s="4"/>
      <c r="C6" s="56" t="s">
        <v>2</v>
      </c>
      <c r="D6" s="56"/>
      <c r="F6" s="5" t="s">
        <v>3</v>
      </c>
      <c r="G6" s="5" t="s">
        <v>4</v>
      </c>
      <c r="H6" s="6" t="s">
        <v>5</v>
      </c>
      <c r="M6" s="17" t="s">
        <v>42</v>
      </c>
      <c r="N6" s="4">
        <f>H14</f>
        <v>2357785.2600000002</v>
      </c>
    </row>
    <row r="7" spans="1:14" ht="15.75" x14ac:dyDescent="0.25">
      <c r="B7" s="4"/>
      <c r="C7" s="57" t="s">
        <v>6</v>
      </c>
      <c r="D7" s="57"/>
      <c r="F7" s="8">
        <f>D36</f>
        <v>35191</v>
      </c>
      <c r="G7" s="8">
        <f>E41</f>
        <v>106282790</v>
      </c>
      <c r="H7" s="9">
        <f>H41</f>
        <v>2137517.7200000002</v>
      </c>
      <c r="M7" s="17" t="s">
        <v>43</v>
      </c>
      <c r="N7" s="4">
        <f>-'[1]Working Capital Phas-In'!L6</f>
        <v>-2356379.6902000001</v>
      </c>
    </row>
    <row r="8" spans="1:14" ht="15.75" x14ac:dyDescent="0.25">
      <c r="B8" s="4"/>
      <c r="C8" s="58" t="s">
        <v>7</v>
      </c>
      <c r="D8" s="58"/>
      <c r="F8" s="8">
        <f>D56</f>
        <v>200</v>
      </c>
      <c r="G8" s="8">
        <f>E60</f>
        <v>1076140</v>
      </c>
      <c r="H8" s="11">
        <f>H60</f>
        <v>24723.620000000003</v>
      </c>
      <c r="M8" s="17" t="s">
        <v>44</v>
      </c>
      <c r="N8" s="4">
        <f>SUM(N6:N7)</f>
        <v>1405.5698000001721</v>
      </c>
    </row>
    <row r="9" spans="1:14" x14ac:dyDescent="0.25">
      <c r="B9" s="4"/>
      <c r="C9" s="10" t="s">
        <v>8</v>
      </c>
      <c r="D9" s="10"/>
      <c r="F9" s="8">
        <f>D72</f>
        <v>96</v>
      </c>
      <c r="G9" s="8">
        <f>E74</f>
        <v>12676300</v>
      </c>
      <c r="H9" s="11">
        <f>H74</f>
        <v>153502.12999999998</v>
      </c>
    </row>
    <row r="10" spans="1:14" x14ac:dyDescent="0.25">
      <c r="B10" s="4"/>
      <c r="C10" s="10" t="s">
        <v>9</v>
      </c>
      <c r="D10" s="10"/>
      <c r="F10" s="8">
        <f>D86</f>
        <v>12</v>
      </c>
      <c r="G10" s="8">
        <f>E88</f>
        <v>1136710</v>
      </c>
      <c r="H10" s="11">
        <f>H88</f>
        <v>18584.989999999998</v>
      </c>
    </row>
    <row r="11" spans="1:14" x14ac:dyDescent="0.25">
      <c r="B11" s="4"/>
      <c r="C11" s="10" t="s">
        <v>10</v>
      </c>
      <c r="D11" s="10"/>
      <c r="F11" s="12">
        <f>D100</f>
        <v>12</v>
      </c>
      <c r="G11" s="12">
        <f>E101</f>
        <v>6280000</v>
      </c>
      <c r="H11" s="13">
        <f>H101</f>
        <v>35544.800000000003</v>
      </c>
    </row>
    <row r="12" spans="1:14" x14ac:dyDescent="0.25">
      <c r="B12" s="4"/>
      <c r="C12" s="10" t="s">
        <v>11</v>
      </c>
      <c r="D12" s="10"/>
      <c r="F12" s="8">
        <f>SUM(F7:F11)</f>
        <v>35511</v>
      </c>
      <c r="G12" s="8">
        <f>SUM(G7:G11)</f>
        <v>127451940</v>
      </c>
      <c r="H12" s="11">
        <f>SUM(H7:H11)</f>
        <v>2369873.2600000002</v>
      </c>
    </row>
    <row r="13" spans="1:14" x14ac:dyDescent="0.25">
      <c r="B13" s="4"/>
      <c r="C13" s="10" t="s">
        <v>12</v>
      </c>
      <c r="D13" s="10"/>
      <c r="F13" s="14"/>
      <c r="G13" s="14"/>
      <c r="H13" s="13">
        <f>-ROUND('[1]BA Adj'!B5,0)</f>
        <v>-12088</v>
      </c>
    </row>
    <row r="14" spans="1:14" x14ac:dyDescent="0.25">
      <c r="B14" s="4"/>
      <c r="C14" s="10" t="s">
        <v>13</v>
      </c>
      <c r="D14" s="10"/>
      <c r="F14" s="14"/>
      <c r="G14" s="14"/>
      <c r="H14" s="11">
        <f>SUM(H12:H13)</f>
        <v>2357785.2600000002</v>
      </c>
    </row>
    <row r="15" spans="1:14" x14ac:dyDescent="0.25">
      <c r="B15" s="4"/>
      <c r="C15" s="15" t="s">
        <v>45</v>
      </c>
      <c r="D15" s="10"/>
      <c r="F15" s="14"/>
      <c r="G15" s="14"/>
      <c r="H15" s="13">
        <f>-H20</f>
        <v>-1405.5698000001721</v>
      </c>
    </row>
    <row r="16" spans="1:14" ht="15.75" thickBot="1" x14ac:dyDescent="0.3">
      <c r="B16" s="4"/>
      <c r="C16" s="16" t="s">
        <v>15</v>
      </c>
      <c r="D16" s="16"/>
      <c r="H16" s="59">
        <f>SUM(H14:H15)</f>
        <v>2356379.6902000001</v>
      </c>
    </row>
    <row r="17" spans="1:16" ht="15.75" thickTop="1" x14ac:dyDescent="0.25">
      <c r="B17" s="4"/>
      <c r="C17" s="16"/>
      <c r="D17" s="16"/>
      <c r="H17" s="60"/>
    </row>
    <row r="18" spans="1:16" x14ac:dyDescent="0.25">
      <c r="B18" s="4"/>
      <c r="C18" t="s">
        <v>46</v>
      </c>
      <c r="H18" s="36">
        <f>H14</f>
        <v>2357785.2600000002</v>
      </c>
    </row>
    <row r="19" spans="1:16" x14ac:dyDescent="0.25">
      <c r="B19" s="4"/>
      <c r="C19" t="s">
        <v>34</v>
      </c>
      <c r="H19" s="13">
        <v>-2356379.6902000001</v>
      </c>
    </row>
    <row r="20" spans="1:16" ht="15.75" thickBot="1" x14ac:dyDescent="0.3">
      <c r="B20" s="4"/>
      <c r="C20" t="s">
        <v>35</v>
      </c>
      <c r="H20" s="35">
        <f>SUM(H18:H19)</f>
        <v>1405.5698000001721</v>
      </c>
    </row>
    <row r="21" spans="1:16" ht="15.75" thickTop="1" x14ac:dyDescent="0.25">
      <c r="B21" s="4"/>
    </row>
    <row r="22" spans="1:16" x14ac:dyDescent="0.25">
      <c r="B22" s="4"/>
    </row>
    <row r="23" spans="1:16" ht="15.75" x14ac:dyDescent="0.25">
      <c r="A23" t="s">
        <v>16</v>
      </c>
      <c r="B23" s="18" t="s">
        <v>17</v>
      </c>
    </row>
    <row r="24" spans="1:16" x14ac:dyDescent="0.25">
      <c r="B24" s="14"/>
      <c r="C24" s="14"/>
      <c r="D24" s="14"/>
      <c r="E24" s="14"/>
      <c r="F24" s="14" t="s">
        <v>18</v>
      </c>
      <c r="G24" s="14" t="s">
        <v>19</v>
      </c>
      <c r="H24" s="19" t="s">
        <v>19</v>
      </c>
      <c r="I24" s="19" t="s">
        <v>19</v>
      </c>
      <c r="J24" s="14" t="s">
        <v>20</v>
      </c>
      <c r="K24" s="14" t="s">
        <v>21</v>
      </c>
      <c r="L24" s="14"/>
      <c r="M24" s="14"/>
      <c r="N24" s="14"/>
    </row>
    <row r="25" spans="1:16" x14ac:dyDescent="0.25">
      <c r="B25" s="14"/>
      <c r="C25" s="5" t="s">
        <v>22</v>
      </c>
      <c r="D25" s="5" t="s">
        <v>23</v>
      </c>
      <c r="E25" s="5" t="s">
        <v>24</v>
      </c>
      <c r="F25" s="20">
        <f>C26</f>
        <v>2000</v>
      </c>
      <c r="G25" s="12">
        <f>C27</f>
        <v>3000</v>
      </c>
      <c r="H25" s="6">
        <f>C29</f>
        <v>5000</v>
      </c>
      <c r="I25" s="6">
        <f>C29</f>
        <v>5000</v>
      </c>
      <c r="J25" s="21">
        <f>SUM(F25:H25)</f>
        <v>10000</v>
      </c>
      <c r="K25" s="5"/>
      <c r="L25" s="14"/>
      <c r="M25" s="14"/>
      <c r="N25" s="14"/>
    </row>
    <row r="26" spans="1:16" x14ac:dyDescent="0.25">
      <c r="B26" s="14" t="s">
        <v>18</v>
      </c>
      <c r="C26" s="19">
        <v>2000</v>
      </c>
      <c r="D26" s="8">
        <v>14898</v>
      </c>
      <c r="E26" s="8">
        <v>14083390</v>
      </c>
      <c r="F26" s="8">
        <f>E26</f>
        <v>14083390</v>
      </c>
      <c r="G26" s="8">
        <v>0</v>
      </c>
      <c r="H26" s="22">
        <v>0</v>
      </c>
      <c r="I26" s="22"/>
      <c r="J26" s="8">
        <v>0</v>
      </c>
      <c r="K26" s="8">
        <f>SUM(F26:J26)</f>
        <v>14083390</v>
      </c>
      <c r="L26" s="8"/>
      <c r="M26" s="8"/>
      <c r="N26" s="8"/>
    </row>
    <row r="27" spans="1:16" x14ac:dyDescent="0.25">
      <c r="B27" s="14" t="s">
        <v>19</v>
      </c>
      <c r="C27" s="19">
        <v>3000</v>
      </c>
      <c r="D27" s="8">
        <v>15472</v>
      </c>
      <c r="E27" s="8">
        <v>49891280</v>
      </c>
      <c r="F27" s="8">
        <f>$D27*F$25</f>
        <v>30944000</v>
      </c>
      <c r="G27" s="8">
        <f>E27-F27</f>
        <v>18947280</v>
      </c>
      <c r="H27" s="22">
        <v>0</v>
      </c>
      <c r="I27" s="22"/>
      <c r="J27" s="8">
        <v>0</v>
      </c>
      <c r="K27" s="8">
        <f t="shared" ref="K27:K30" si="0">SUM(F27:J27)</f>
        <v>49891280</v>
      </c>
      <c r="L27" s="8"/>
      <c r="M27" s="8"/>
      <c r="N27" s="8"/>
      <c r="O27" s="8">
        <f>SUM(G27:K27)</f>
        <v>68838560</v>
      </c>
      <c r="P27" s="8">
        <f>SUM(H27:O27)</f>
        <v>118729840</v>
      </c>
    </row>
    <row r="28" spans="1:16" x14ac:dyDescent="0.25">
      <c r="B28" s="14" t="s">
        <v>19</v>
      </c>
      <c r="C28" s="19">
        <v>5000</v>
      </c>
      <c r="D28" s="8">
        <v>3998</v>
      </c>
      <c r="E28" s="8">
        <v>26273360</v>
      </c>
      <c r="F28" s="8">
        <f>$D28*F$25</f>
        <v>7996000</v>
      </c>
      <c r="G28" s="8">
        <f>$D28*G$25</f>
        <v>11994000</v>
      </c>
      <c r="H28" s="22">
        <f>E28-F28-G28</f>
        <v>6283360</v>
      </c>
      <c r="I28" s="22"/>
      <c r="J28" s="8"/>
      <c r="K28" s="8">
        <f t="shared" si="0"/>
        <v>26273360</v>
      </c>
      <c r="L28" s="8"/>
      <c r="M28" s="8"/>
      <c r="N28" s="8"/>
    </row>
    <row r="29" spans="1:16" x14ac:dyDescent="0.25">
      <c r="B29" s="14" t="s">
        <v>19</v>
      </c>
      <c r="C29" s="19">
        <v>5000</v>
      </c>
      <c r="D29" s="8">
        <v>504</v>
      </c>
      <c r="E29" s="8">
        <v>5985670</v>
      </c>
      <c r="F29" s="8">
        <f t="shared" ref="F29:I30" si="1">$D29*F$25</f>
        <v>1008000</v>
      </c>
      <c r="G29" s="8">
        <f t="shared" si="1"/>
        <v>1512000</v>
      </c>
      <c r="H29" s="8">
        <f t="shared" si="1"/>
        <v>2520000</v>
      </c>
      <c r="I29" s="8">
        <f>E29-F29-G29-H29</f>
        <v>945670</v>
      </c>
      <c r="J29" s="8">
        <v>0</v>
      </c>
      <c r="K29" s="8">
        <f t="shared" si="0"/>
        <v>5985670</v>
      </c>
      <c r="L29" s="8"/>
      <c r="M29" s="8"/>
      <c r="N29" s="8"/>
    </row>
    <row r="30" spans="1:16" x14ac:dyDescent="0.25">
      <c r="B30" s="14" t="s">
        <v>20</v>
      </c>
      <c r="C30" s="19">
        <f>SUM(C26:C29)</f>
        <v>15000</v>
      </c>
      <c r="D30" s="8">
        <v>319</v>
      </c>
      <c r="E30" s="8">
        <v>10049090</v>
      </c>
      <c r="F30" s="8">
        <f t="shared" si="1"/>
        <v>638000</v>
      </c>
      <c r="G30" s="8">
        <f t="shared" si="1"/>
        <v>957000</v>
      </c>
      <c r="H30" s="8">
        <f t="shared" si="1"/>
        <v>1595000</v>
      </c>
      <c r="I30" s="8">
        <f t="shared" si="1"/>
        <v>1595000</v>
      </c>
      <c r="J30" s="8">
        <f>E30-F30-G30-H30-I30</f>
        <v>5264090</v>
      </c>
      <c r="K30" s="8">
        <f t="shared" si="0"/>
        <v>10049090</v>
      </c>
      <c r="L30" s="8"/>
      <c r="M30" s="8"/>
      <c r="N30" s="8"/>
    </row>
    <row r="31" spans="1:16" ht="15.75" thickBot="1" x14ac:dyDescent="0.3">
      <c r="B31" s="14"/>
      <c r="C31" t="s">
        <v>25</v>
      </c>
      <c r="D31" s="23">
        <f t="shared" ref="D31:K31" si="2">SUM(D26:D30)</f>
        <v>35191</v>
      </c>
      <c r="E31" s="23">
        <f t="shared" si="2"/>
        <v>106282790</v>
      </c>
      <c r="F31" s="23">
        <f t="shared" si="2"/>
        <v>54669390</v>
      </c>
      <c r="G31" s="23">
        <f t="shared" si="2"/>
        <v>33410280</v>
      </c>
      <c r="H31" s="24">
        <f t="shared" si="2"/>
        <v>10398360</v>
      </c>
      <c r="I31" s="24">
        <f t="shared" si="2"/>
        <v>2540670</v>
      </c>
      <c r="J31" s="23">
        <f t="shared" si="2"/>
        <v>5264090</v>
      </c>
      <c r="K31" s="23">
        <f t="shared" si="2"/>
        <v>106282790</v>
      </c>
      <c r="L31" s="25"/>
      <c r="M31" s="25"/>
      <c r="N31" s="25"/>
    </row>
    <row r="32" spans="1:16" ht="15.75" thickTop="1" x14ac:dyDescent="0.25"/>
    <row r="34" spans="1:16" x14ac:dyDescent="0.25">
      <c r="B34" s="48" t="s">
        <v>26</v>
      </c>
      <c r="C34" s="48"/>
      <c r="D34" s="48"/>
      <c r="E34" s="48"/>
      <c r="F34" s="48"/>
      <c r="G34" s="48"/>
      <c r="H34" s="48"/>
    </row>
    <row r="35" spans="1:16" x14ac:dyDescent="0.25">
      <c r="C35" s="27"/>
      <c r="D35" s="26" t="s">
        <v>23</v>
      </c>
      <c r="E35" s="26" t="s">
        <v>24</v>
      </c>
      <c r="F35" s="48" t="s">
        <v>27</v>
      </c>
      <c r="G35" s="48"/>
      <c r="H35" s="26" t="s">
        <v>5</v>
      </c>
    </row>
    <row r="36" spans="1:16" x14ac:dyDescent="0.25">
      <c r="B36" s="14" t="s">
        <v>18</v>
      </c>
      <c r="C36" s="8">
        <f>C26</f>
        <v>2000</v>
      </c>
      <c r="D36" s="25">
        <f>D31</f>
        <v>35191</v>
      </c>
      <c r="E36" s="25">
        <f>F31</f>
        <v>54669390</v>
      </c>
      <c r="F36" s="28">
        <f>'[1]Interim Rate Comp'!L12</f>
        <v>39.97</v>
      </c>
      <c r="G36" t="s">
        <v>28</v>
      </c>
      <c r="H36" s="28">
        <f>F36*D36</f>
        <v>1406584.27</v>
      </c>
    </row>
    <row r="37" spans="1:16" x14ac:dyDescent="0.25">
      <c r="B37" s="14" t="s">
        <v>19</v>
      </c>
      <c r="C37" s="8">
        <f>C27</f>
        <v>3000</v>
      </c>
      <c r="E37" s="25">
        <f>G31</f>
        <v>33410280</v>
      </c>
      <c r="F37" s="29">
        <f>'[1]Interim Rate Comp'!L13</f>
        <v>1.481E-2</v>
      </c>
      <c r="G37" t="s">
        <v>29</v>
      </c>
      <c r="H37" s="30">
        <f>ROUND(E37*F37,2)</f>
        <v>494806.25</v>
      </c>
      <c r="P37" s="31">
        <v>11.86</v>
      </c>
    </row>
    <row r="38" spans="1:16" x14ac:dyDescent="0.25">
      <c r="B38" s="14" t="s">
        <v>19</v>
      </c>
      <c r="C38" s="8">
        <f>C29</f>
        <v>5000</v>
      </c>
      <c r="E38" s="25">
        <f>H31</f>
        <v>10398360</v>
      </c>
      <c r="F38" s="29">
        <f>'[1]Interim Rate Comp'!L14</f>
        <v>1.3739999999999999E-2</v>
      </c>
      <c r="G38" t="s">
        <v>29</v>
      </c>
      <c r="H38" s="30">
        <f>ROUND(E38*F38,2)</f>
        <v>142873.47</v>
      </c>
      <c r="P38" s="31">
        <v>11</v>
      </c>
    </row>
    <row r="39" spans="1:16" x14ac:dyDescent="0.25">
      <c r="B39" s="14" t="s">
        <v>19</v>
      </c>
      <c r="C39" s="8">
        <v>5000</v>
      </c>
      <c r="E39" s="25">
        <f>I31</f>
        <v>2540670</v>
      </c>
      <c r="F39" s="29">
        <f>'[1]Interim Rate Comp'!L15</f>
        <v>1.2669999999999999E-2</v>
      </c>
      <c r="G39" t="s">
        <v>29</v>
      </c>
      <c r="H39" s="30">
        <f>ROUND(E39*F39,2)</f>
        <v>32190.29</v>
      </c>
      <c r="P39" s="31">
        <v>10.15</v>
      </c>
    </row>
    <row r="40" spans="1:16" x14ac:dyDescent="0.25">
      <c r="B40" s="14" t="s">
        <v>20</v>
      </c>
      <c r="C40" s="8">
        <f>C30</f>
        <v>15000</v>
      </c>
      <c r="D40" s="27"/>
      <c r="E40" s="32">
        <f>J30</f>
        <v>5264090</v>
      </c>
      <c r="F40" s="29">
        <f>'[1]Interim Rate Comp'!L16</f>
        <v>1.1599999999999999E-2</v>
      </c>
      <c r="G40" t="s">
        <v>29</v>
      </c>
      <c r="H40" s="30">
        <f>ROUND(E40*F40,2)</f>
        <v>61063.44</v>
      </c>
      <c r="P40" s="31">
        <v>9.2899999999999991</v>
      </c>
    </row>
    <row r="41" spans="1:16" ht="15.75" thickBot="1" x14ac:dyDescent="0.3">
      <c r="C41" t="s">
        <v>30</v>
      </c>
      <c r="E41" s="23">
        <f>SUM(E36:E40)</f>
        <v>106282790</v>
      </c>
      <c r="H41" s="33">
        <f>SUM(H36:H40)</f>
        <v>2137517.7200000002</v>
      </c>
      <c r="K41" t="s">
        <v>31</v>
      </c>
    </row>
    <row r="42" spans="1:16" ht="15.75" thickTop="1" x14ac:dyDescent="0.25"/>
    <row r="44" spans="1:16" x14ac:dyDescent="0.25">
      <c r="A44" t="s">
        <v>16</v>
      </c>
      <c r="B44" s="4" t="s">
        <v>7</v>
      </c>
      <c r="I44"/>
    </row>
    <row r="45" spans="1:16" x14ac:dyDescent="0.25">
      <c r="B45" s="14"/>
      <c r="C45" s="14"/>
      <c r="D45" s="14"/>
      <c r="E45" s="14"/>
      <c r="F45" s="14" t="s">
        <v>18</v>
      </c>
      <c r="G45" s="14" t="s">
        <v>19</v>
      </c>
      <c r="H45" s="19" t="s">
        <v>19</v>
      </c>
      <c r="I45" s="14" t="s">
        <v>20</v>
      </c>
      <c r="J45" s="14" t="s">
        <v>21</v>
      </c>
    </row>
    <row r="46" spans="1:16" x14ac:dyDescent="0.25">
      <c r="B46" s="14"/>
      <c r="C46" s="5" t="s">
        <v>22</v>
      </c>
      <c r="D46" s="5" t="s">
        <v>23</v>
      </c>
      <c r="E46" s="5" t="s">
        <v>24</v>
      </c>
      <c r="F46" s="12">
        <f>C47</f>
        <v>5000</v>
      </c>
      <c r="G46" s="12">
        <f>C48</f>
        <v>5000</v>
      </c>
      <c r="H46" s="6">
        <f>C48</f>
        <v>5000</v>
      </c>
      <c r="I46" s="21">
        <f>SUM(F46:H46)</f>
        <v>15000</v>
      </c>
      <c r="J46" s="5"/>
    </row>
    <row r="47" spans="1:16" x14ac:dyDescent="0.25">
      <c r="B47" s="14" t="s">
        <v>18</v>
      </c>
      <c r="C47" s="19">
        <v>5000</v>
      </c>
      <c r="D47" s="8">
        <v>173</v>
      </c>
      <c r="E47" s="8">
        <v>291950</v>
      </c>
      <c r="F47" s="8">
        <f>E47</f>
        <v>291950</v>
      </c>
      <c r="G47" s="8">
        <v>0</v>
      </c>
      <c r="H47" s="22">
        <v>0</v>
      </c>
      <c r="I47" s="8">
        <v>0</v>
      </c>
      <c r="J47" s="8">
        <f>SUM(F47:I47)</f>
        <v>291950</v>
      </c>
    </row>
    <row r="48" spans="1:16" x14ac:dyDescent="0.25">
      <c r="B48" s="14" t="s">
        <v>19</v>
      </c>
      <c r="C48" s="19">
        <v>5000</v>
      </c>
      <c r="D48" s="8">
        <v>15</v>
      </c>
      <c r="E48" s="8">
        <v>103990</v>
      </c>
      <c r="F48" s="8">
        <f>$D48*F$46</f>
        <v>75000</v>
      </c>
      <c r="G48" s="8">
        <f>E48-F48</f>
        <v>28990</v>
      </c>
      <c r="H48" s="22">
        <v>0</v>
      </c>
      <c r="I48" s="8">
        <v>0</v>
      </c>
      <c r="J48" s="8">
        <f>SUM(F48:I48)</f>
        <v>103990</v>
      </c>
      <c r="K48" s="8"/>
      <c r="L48" s="8"/>
      <c r="M48" s="8"/>
      <c r="N48" s="8"/>
      <c r="O48" s="8"/>
    </row>
    <row r="49" spans="1:16" x14ac:dyDescent="0.25">
      <c r="B49" s="14" t="s">
        <v>19</v>
      </c>
      <c r="C49" s="19">
        <v>5000</v>
      </c>
      <c r="D49" s="8">
        <v>2</v>
      </c>
      <c r="E49" s="8">
        <v>24750</v>
      </c>
      <c r="F49" s="8">
        <f t="shared" ref="F49:F50" si="3">$D49*F$46</f>
        <v>10000</v>
      </c>
      <c r="G49" s="8">
        <f>$D49*G$46</f>
        <v>10000</v>
      </c>
      <c r="H49" s="22">
        <f>E49-F49-G49</f>
        <v>4750</v>
      </c>
      <c r="I49" s="8"/>
      <c r="J49" s="8">
        <f>SUM(F49:I49)</f>
        <v>24750</v>
      </c>
    </row>
    <row r="50" spans="1:16" x14ac:dyDescent="0.25">
      <c r="B50" s="14" t="s">
        <v>20</v>
      </c>
      <c r="C50" s="19">
        <f>SUM(C47:C49)</f>
        <v>15000</v>
      </c>
      <c r="D50" s="8">
        <v>10</v>
      </c>
      <c r="E50" s="8">
        <v>655450</v>
      </c>
      <c r="F50" s="8">
        <f t="shared" si="3"/>
        <v>50000</v>
      </c>
      <c r="G50" s="8">
        <f>$D50*G$46</f>
        <v>50000</v>
      </c>
      <c r="H50" s="8">
        <f>$D50*H$46</f>
        <v>50000</v>
      </c>
      <c r="I50" s="8">
        <f>E50-F50-G50-H50</f>
        <v>505450</v>
      </c>
      <c r="J50" s="8">
        <f>SUM(F50:I50)</f>
        <v>655450</v>
      </c>
    </row>
    <row r="51" spans="1:16" ht="15.75" thickBot="1" x14ac:dyDescent="0.3">
      <c r="B51" s="14"/>
      <c r="C51" t="s">
        <v>25</v>
      </c>
      <c r="D51" s="23">
        <f t="shared" ref="D51:J51" si="4">SUM(D47:D50)</f>
        <v>200</v>
      </c>
      <c r="E51" s="23">
        <f t="shared" si="4"/>
        <v>1076140</v>
      </c>
      <c r="F51" s="23">
        <f t="shared" si="4"/>
        <v>426950</v>
      </c>
      <c r="G51" s="23">
        <f t="shared" si="4"/>
        <v>88990</v>
      </c>
      <c r="H51" s="24">
        <f t="shared" si="4"/>
        <v>54750</v>
      </c>
      <c r="I51" s="23">
        <f t="shared" si="4"/>
        <v>505450</v>
      </c>
      <c r="J51" s="23">
        <f t="shared" si="4"/>
        <v>1076140</v>
      </c>
    </row>
    <row r="52" spans="1:16" ht="15.75" thickTop="1" x14ac:dyDescent="0.25">
      <c r="I52"/>
    </row>
    <row r="53" spans="1:16" x14ac:dyDescent="0.25">
      <c r="I53"/>
    </row>
    <row r="54" spans="1:16" x14ac:dyDescent="0.25">
      <c r="B54" s="48" t="s">
        <v>26</v>
      </c>
      <c r="C54" s="48"/>
      <c r="D54" s="48"/>
      <c r="E54" s="48"/>
      <c r="F54" s="48"/>
      <c r="G54" s="48"/>
      <c r="H54" s="48"/>
      <c r="I54"/>
    </row>
    <row r="55" spans="1:16" x14ac:dyDescent="0.25">
      <c r="C55" s="27"/>
      <c r="D55" s="26" t="s">
        <v>23</v>
      </c>
      <c r="E55" s="26" t="s">
        <v>24</v>
      </c>
      <c r="F55" s="48" t="s">
        <v>27</v>
      </c>
      <c r="G55" s="48"/>
      <c r="H55" s="26" t="s">
        <v>5</v>
      </c>
      <c r="I55"/>
    </row>
    <row r="56" spans="1:16" x14ac:dyDescent="0.25">
      <c r="B56" s="14" t="s">
        <v>18</v>
      </c>
      <c r="C56" s="8">
        <f>C47</f>
        <v>5000</v>
      </c>
      <c r="D56" s="25">
        <f>D51</f>
        <v>200</v>
      </c>
      <c r="E56" s="25">
        <f>F51</f>
        <v>426950</v>
      </c>
      <c r="F56" s="28">
        <f>'[1]Interim Rate Comp'!L19</f>
        <v>84.72</v>
      </c>
      <c r="G56" t="s">
        <v>28</v>
      </c>
      <c r="H56" s="28">
        <f>F56*D56</f>
        <v>16944</v>
      </c>
      <c r="I56"/>
    </row>
    <row r="57" spans="1:16" x14ac:dyDescent="0.25">
      <c r="B57" s="14" t="s">
        <v>19</v>
      </c>
      <c r="C57" s="8">
        <f>C48</f>
        <v>5000</v>
      </c>
      <c r="E57" s="25">
        <f>G51</f>
        <v>88990</v>
      </c>
      <c r="F57" s="29">
        <f>'[1]Interim Rate Comp'!L20</f>
        <v>1.3739999999999999E-2</v>
      </c>
      <c r="G57" t="s">
        <v>29</v>
      </c>
      <c r="H57" s="30">
        <f>ROUND(E57*F57,2)</f>
        <v>1222.72</v>
      </c>
      <c r="I57"/>
      <c r="P57" s="31">
        <v>11</v>
      </c>
    </row>
    <row r="58" spans="1:16" x14ac:dyDescent="0.25">
      <c r="B58" s="14" t="s">
        <v>19</v>
      </c>
      <c r="C58" s="8">
        <f>C49</f>
        <v>5000</v>
      </c>
      <c r="E58" s="25">
        <f>H51</f>
        <v>54750</v>
      </c>
      <c r="F58" s="29">
        <f>'[1]Interim Rate Comp'!L21</f>
        <v>1.2669999999999999E-2</v>
      </c>
      <c r="G58" t="s">
        <v>29</v>
      </c>
      <c r="H58" s="30">
        <f>ROUND(E58*F58,2)</f>
        <v>693.68</v>
      </c>
      <c r="I58"/>
      <c r="P58" s="31">
        <v>10.15</v>
      </c>
    </row>
    <row r="59" spans="1:16" x14ac:dyDescent="0.25">
      <c r="B59" s="14" t="s">
        <v>20</v>
      </c>
      <c r="C59" s="8">
        <f>C50</f>
        <v>15000</v>
      </c>
      <c r="D59" s="27"/>
      <c r="E59" s="32">
        <f>I50</f>
        <v>505450</v>
      </c>
      <c r="F59" s="29">
        <f>'[1]Interim Rate Comp'!L22</f>
        <v>1.1599999999999999E-2</v>
      </c>
      <c r="G59" t="s">
        <v>29</v>
      </c>
      <c r="H59" s="30">
        <f>ROUND(E59*F59,2)</f>
        <v>5863.22</v>
      </c>
      <c r="I59"/>
      <c r="P59" s="31">
        <v>9.2899999999999991</v>
      </c>
    </row>
    <row r="60" spans="1:16" ht="15.75" thickBot="1" x14ac:dyDescent="0.3">
      <c r="C60" t="s">
        <v>30</v>
      </c>
      <c r="E60" s="23">
        <f>SUM(E56:E59)</f>
        <v>1076140</v>
      </c>
      <c r="H60" s="33">
        <f>SUM(H56:H59)</f>
        <v>24723.620000000003</v>
      </c>
      <c r="I60"/>
      <c r="J60" t="s">
        <v>31</v>
      </c>
    </row>
    <row r="61" spans="1:16" ht="15.75" thickTop="1" x14ac:dyDescent="0.25"/>
    <row r="62" spans="1:16" x14ac:dyDescent="0.25">
      <c r="A62" t="s">
        <v>16</v>
      </c>
      <c r="B62" s="4" t="s">
        <v>8</v>
      </c>
      <c r="H62"/>
      <c r="I62"/>
    </row>
    <row r="63" spans="1:16" x14ac:dyDescent="0.25">
      <c r="B63" s="14"/>
      <c r="C63" s="14"/>
      <c r="D63" s="14"/>
      <c r="E63" s="14"/>
      <c r="F63" s="14" t="s">
        <v>18</v>
      </c>
      <c r="G63" s="14" t="s">
        <v>20</v>
      </c>
      <c r="H63" s="14" t="s">
        <v>21</v>
      </c>
      <c r="I63"/>
    </row>
    <row r="64" spans="1:16" x14ac:dyDescent="0.25">
      <c r="B64" s="14"/>
      <c r="C64" s="5" t="s">
        <v>22</v>
      </c>
      <c r="D64" s="5" t="s">
        <v>23</v>
      </c>
      <c r="E64" s="5" t="s">
        <v>24</v>
      </c>
      <c r="F64" s="12">
        <f>C65</f>
        <v>15000</v>
      </c>
      <c r="G64" s="21">
        <f>SUM(F64:F64)</f>
        <v>15000</v>
      </c>
      <c r="H64" s="5"/>
      <c r="I64"/>
    </row>
    <row r="65" spans="1:16" x14ac:dyDescent="0.25">
      <c r="B65" s="14" t="s">
        <v>18</v>
      </c>
      <c r="C65" s="19">
        <v>15000</v>
      </c>
      <c r="D65" s="8">
        <v>24</v>
      </c>
      <c r="E65" s="8">
        <v>145730</v>
      </c>
      <c r="F65" s="8">
        <f>E65</f>
        <v>145730</v>
      </c>
      <c r="G65" s="8">
        <v>0</v>
      </c>
      <c r="H65" s="8">
        <f>SUM(F65:G65)</f>
        <v>145730</v>
      </c>
      <c r="I65"/>
    </row>
    <row r="66" spans="1:16" x14ac:dyDescent="0.25">
      <c r="B66" s="14" t="s">
        <v>20</v>
      </c>
      <c r="C66" s="19">
        <f>SUM(C65:C65)</f>
        <v>15000</v>
      </c>
      <c r="D66" s="8">
        <v>72</v>
      </c>
      <c r="E66" s="8">
        <v>12530570</v>
      </c>
      <c r="F66" s="8">
        <f>$D66*F$64</f>
        <v>1080000</v>
      </c>
      <c r="G66" s="8">
        <f>E66-F66</f>
        <v>11450570</v>
      </c>
      <c r="H66" s="8">
        <f>SUM(F66:G66)</f>
        <v>12530570</v>
      </c>
      <c r="I66"/>
    </row>
    <row r="67" spans="1:16" ht="15.75" thickBot="1" x14ac:dyDescent="0.3">
      <c r="B67" s="14"/>
      <c r="C67" t="s">
        <v>25</v>
      </c>
      <c r="D67" s="23">
        <f>SUM(D65:D66)</f>
        <v>96</v>
      </c>
      <c r="E67" s="23">
        <f>SUM(E65:E66)</f>
        <v>12676300</v>
      </c>
      <c r="F67" s="23">
        <f>SUM(F65:F66)</f>
        <v>1225730</v>
      </c>
      <c r="G67" s="23">
        <f>SUM(G65:G66)</f>
        <v>11450570</v>
      </c>
      <c r="H67" s="23">
        <f>SUM(H65:H66)</f>
        <v>12676300</v>
      </c>
      <c r="I67"/>
    </row>
    <row r="68" spans="1:16" ht="15.75" thickTop="1" x14ac:dyDescent="0.25">
      <c r="H68"/>
      <c r="I68"/>
    </row>
    <row r="69" spans="1:16" x14ac:dyDescent="0.25">
      <c r="H69"/>
      <c r="I69"/>
    </row>
    <row r="70" spans="1:16" x14ac:dyDescent="0.25">
      <c r="B70" s="48" t="s">
        <v>26</v>
      </c>
      <c r="C70" s="48"/>
      <c r="D70" s="48"/>
      <c r="E70" s="48"/>
      <c r="F70" s="48"/>
      <c r="G70" s="48"/>
      <c r="H70" s="48"/>
      <c r="I70"/>
    </row>
    <row r="71" spans="1:16" x14ac:dyDescent="0.25">
      <c r="C71" s="27"/>
      <c r="D71" s="26" t="s">
        <v>23</v>
      </c>
      <c r="E71" s="26" t="s">
        <v>24</v>
      </c>
      <c r="F71" s="48" t="s">
        <v>27</v>
      </c>
      <c r="G71" s="48"/>
      <c r="H71" s="26" t="s">
        <v>5</v>
      </c>
      <c r="I71"/>
    </row>
    <row r="72" spans="1:16" x14ac:dyDescent="0.25">
      <c r="B72" s="14" t="s">
        <v>18</v>
      </c>
      <c r="C72" s="8">
        <f>C65</f>
        <v>15000</v>
      </c>
      <c r="D72" s="25">
        <f>D67</f>
        <v>96</v>
      </c>
      <c r="E72" s="25">
        <f>F67</f>
        <v>1225730</v>
      </c>
      <c r="F72" s="28">
        <f>'[1]Interim Rate Comp'!L25</f>
        <v>215.37</v>
      </c>
      <c r="G72" t="s">
        <v>28</v>
      </c>
      <c r="H72" s="28">
        <f>F72*D72</f>
        <v>20675.52</v>
      </c>
      <c r="I72"/>
    </row>
    <row r="73" spans="1:16" x14ac:dyDescent="0.25">
      <c r="B73" s="14" t="s">
        <v>20</v>
      </c>
      <c r="C73" s="8">
        <f>C66</f>
        <v>15000</v>
      </c>
      <c r="D73" s="27"/>
      <c r="E73" s="32">
        <f>G66</f>
        <v>11450570</v>
      </c>
      <c r="F73" s="29">
        <f>'[1]Interim Rate Comp'!L26</f>
        <v>1.1599999999999999E-2</v>
      </c>
      <c r="G73" t="s">
        <v>29</v>
      </c>
      <c r="H73" s="30">
        <f>ROUND(E73*F73,2)</f>
        <v>132826.60999999999</v>
      </c>
      <c r="I73"/>
      <c r="P73" s="31">
        <v>9.2899999999999991</v>
      </c>
    </row>
    <row r="74" spans="1:16" ht="15.75" thickBot="1" x14ac:dyDescent="0.3">
      <c r="C74" t="s">
        <v>30</v>
      </c>
      <c r="E74" s="23">
        <f>SUM(E72:E73)</f>
        <v>12676300</v>
      </c>
      <c r="H74" s="33">
        <f>SUM(H72:H73)</f>
        <v>153502.12999999998</v>
      </c>
      <c r="I74"/>
    </row>
    <row r="75" spans="1:16" ht="15.75" thickTop="1" x14ac:dyDescent="0.25"/>
    <row r="76" spans="1:16" x14ac:dyDescent="0.25">
      <c r="A76" t="s">
        <v>16</v>
      </c>
      <c r="B76" s="4" t="s">
        <v>9</v>
      </c>
      <c r="H76"/>
      <c r="I76"/>
    </row>
    <row r="77" spans="1:16" x14ac:dyDescent="0.25">
      <c r="B77" s="14"/>
      <c r="C77" s="14"/>
      <c r="D77" s="14"/>
      <c r="E77" s="14"/>
      <c r="F77" s="14" t="s">
        <v>18</v>
      </c>
      <c r="G77" s="14" t="s">
        <v>20</v>
      </c>
      <c r="H77" s="14" t="s">
        <v>21</v>
      </c>
      <c r="I77"/>
    </row>
    <row r="78" spans="1:16" x14ac:dyDescent="0.25">
      <c r="B78" s="14"/>
      <c r="C78" s="5" t="s">
        <v>22</v>
      </c>
      <c r="D78" s="5" t="s">
        <v>23</v>
      </c>
      <c r="E78" s="5" t="s">
        <v>24</v>
      </c>
      <c r="F78" s="12">
        <f>C79</f>
        <v>100000</v>
      </c>
      <c r="G78" s="21">
        <f>SUM(F78:F78)</f>
        <v>100000</v>
      </c>
      <c r="H78" s="5"/>
      <c r="I78"/>
    </row>
    <row r="79" spans="1:16" x14ac:dyDescent="0.25">
      <c r="B79" s="14" t="s">
        <v>18</v>
      </c>
      <c r="C79" s="19">
        <v>100000</v>
      </c>
      <c r="D79" s="8">
        <v>8</v>
      </c>
      <c r="E79" s="8">
        <v>382380</v>
      </c>
      <c r="F79" s="8">
        <f>E79</f>
        <v>382380</v>
      </c>
      <c r="G79" s="8">
        <v>0</v>
      </c>
      <c r="H79" s="8">
        <f>SUM(F79:G79)</f>
        <v>382380</v>
      </c>
      <c r="I79"/>
    </row>
    <row r="80" spans="1:16" x14ac:dyDescent="0.25">
      <c r="B80" s="14" t="s">
        <v>20</v>
      </c>
      <c r="C80" s="19">
        <f>SUM(C79:C79)</f>
        <v>100000</v>
      </c>
      <c r="D80" s="8">
        <v>4</v>
      </c>
      <c r="E80" s="8">
        <v>754330</v>
      </c>
      <c r="F80" s="8">
        <f>$D80*F$78</f>
        <v>400000</v>
      </c>
      <c r="G80" s="8">
        <f>E80-F80</f>
        <v>354330</v>
      </c>
      <c r="H80" s="8">
        <f>SUM(F80:G80)</f>
        <v>754330</v>
      </c>
      <c r="I80"/>
    </row>
    <row r="81" spans="1:16" ht="15.75" thickBot="1" x14ac:dyDescent="0.3">
      <c r="B81" s="14"/>
      <c r="C81" t="s">
        <v>25</v>
      </c>
      <c r="D81" s="23">
        <f>SUM(D79:D80)</f>
        <v>12</v>
      </c>
      <c r="E81" s="23">
        <f>SUM(E79:E80)</f>
        <v>1136710</v>
      </c>
      <c r="F81" s="23">
        <f>SUM(F79:F80)</f>
        <v>782380</v>
      </c>
      <c r="G81" s="23">
        <f>SUM(G79:G80)</f>
        <v>354330</v>
      </c>
      <c r="H81" s="23">
        <f>SUM(H79:H80)</f>
        <v>1136710</v>
      </c>
      <c r="I81"/>
    </row>
    <row r="82" spans="1:16" ht="15.75" thickTop="1" x14ac:dyDescent="0.25">
      <c r="H82"/>
      <c r="I82"/>
    </row>
    <row r="83" spans="1:16" x14ac:dyDescent="0.25">
      <c r="H83"/>
      <c r="I83"/>
    </row>
    <row r="84" spans="1:16" x14ac:dyDescent="0.25">
      <c r="B84" s="48" t="s">
        <v>26</v>
      </c>
      <c r="C84" s="48"/>
      <c r="D84" s="48"/>
      <c r="E84" s="48"/>
      <c r="F84" s="48"/>
      <c r="G84" s="48"/>
      <c r="H84" s="48"/>
      <c r="I84"/>
    </row>
    <row r="85" spans="1:16" x14ac:dyDescent="0.25">
      <c r="C85" s="27"/>
      <c r="D85" s="26" t="s">
        <v>23</v>
      </c>
      <c r="E85" s="26" t="s">
        <v>24</v>
      </c>
      <c r="F85" s="48" t="s">
        <v>27</v>
      </c>
      <c r="G85" s="48"/>
      <c r="H85" s="26" t="s">
        <v>5</v>
      </c>
      <c r="I85"/>
    </row>
    <row r="86" spans="1:16" x14ac:dyDescent="0.25">
      <c r="B86" s="14" t="s">
        <v>18</v>
      </c>
      <c r="C86" s="8">
        <f>C79</f>
        <v>100000</v>
      </c>
      <c r="D86" s="25">
        <f>D81</f>
        <v>12</v>
      </c>
      <c r="E86" s="25">
        <f>F81</f>
        <v>782380</v>
      </c>
      <c r="F86" s="28">
        <f>'[1]Interim Rate Comp'!L29</f>
        <v>1206.23</v>
      </c>
      <c r="G86" t="s">
        <v>28</v>
      </c>
      <c r="H86" s="28">
        <f>F86*D86</f>
        <v>14474.76</v>
      </c>
      <c r="I86"/>
    </row>
    <row r="87" spans="1:16" x14ac:dyDescent="0.25">
      <c r="B87" s="14" t="s">
        <v>20</v>
      </c>
      <c r="C87" s="8">
        <f>C80</f>
        <v>100000</v>
      </c>
      <c r="D87" s="27"/>
      <c r="E87" s="32">
        <f>G80</f>
        <v>354330</v>
      </c>
      <c r="F87" s="29">
        <f>'[1]Interim Rate Comp'!L30</f>
        <v>1.1599999999999999E-2</v>
      </c>
      <c r="G87" t="s">
        <v>29</v>
      </c>
      <c r="H87" s="30">
        <f>ROUND(E87*F87,2)</f>
        <v>4110.2299999999996</v>
      </c>
      <c r="I87"/>
      <c r="P87" s="31">
        <v>9.2899999999999991</v>
      </c>
    </row>
    <row r="88" spans="1:16" ht="15.75" thickBot="1" x14ac:dyDescent="0.3">
      <c r="C88" t="s">
        <v>30</v>
      </c>
      <c r="E88" s="23">
        <f>SUM(E86:E87)</f>
        <v>1136710</v>
      </c>
      <c r="H88" s="33">
        <f>SUM(H86:H87)</f>
        <v>18584.989999999998</v>
      </c>
      <c r="I88"/>
    </row>
    <row r="89" spans="1:16" ht="15.75" thickTop="1" x14ac:dyDescent="0.25"/>
    <row r="90" spans="1:16" x14ac:dyDescent="0.25">
      <c r="A90" t="s">
        <v>16</v>
      </c>
      <c r="B90" s="4" t="s">
        <v>32</v>
      </c>
      <c r="H90"/>
      <c r="I90"/>
    </row>
    <row r="91" spans="1:16" x14ac:dyDescent="0.25">
      <c r="H91"/>
      <c r="I91"/>
    </row>
    <row r="92" spans="1:16" x14ac:dyDescent="0.25">
      <c r="B92" s="14"/>
      <c r="C92" s="14"/>
      <c r="D92" s="14"/>
      <c r="E92" s="14"/>
      <c r="H92"/>
      <c r="I92"/>
    </row>
    <row r="93" spans="1:16" x14ac:dyDescent="0.25">
      <c r="B93" s="14"/>
      <c r="C93" s="5" t="s">
        <v>22</v>
      </c>
      <c r="D93" s="5" t="s">
        <v>23</v>
      </c>
      <c r="E93" s="5" t="s">
        <v>24</v>
      </c>
      <c r="H93"/>
      <c r="I93"/>
    </row>
    <row r="94" spans="1:16" x14ac:dyDescent="0.25">
      <c r="B94" s="14" t="s">
        <v>20</v>
      </c>
      <c r="C94" s="19">
        <v>6280000</v>
      </c>
      <c r="D94" s="8">
        <v>12</v>
      </c>
      <c r="E94" s="8">
        <v>6280000</v>
      </c>
      <c r="H94"/>
      <c r="I94"/>
    </row>
    <row r="95" spans="1:16" ht="15.75" thickBot="1" x14ac:dyDescent="0.3">
      <c r="B95" s="14"/>
      <c r="C95" t="s">
        <v>25</v>
      </c>
      <c r="D95" s="23">
        <f>SUM(D94:D94)</f>
        <v>12</v>
      </c>
      <c r="E95" s="23">
        <f>SUM(E94:E94)</f>
        <v>6280000</v>
      </c>
      <c r="H95"/>
      <c r="I95"/>
    </row>
    <row r="96" spans="1:16" ht="15.75" thickTop="1" x14ac:dyDescent="0.25">
      <c r="H96"/>
      <c r="I96"/>
    </row>
    <row r="97" spans="2:16" x14ac:dyDescent="0.25">
      <c r="H97"/>
      <c r="I97"/>
    </row>
    <row r="98" spans="2:16" x14ac:dyDescent="0.25">
      <c r="B98" s="48" t="s">
        <v>26</v>
      </c>
      <c r="C98" s="48"/>
      <c r="D98" s="48"/>
      <c r="E98" s="48"/>
      <c r="F98" s="48"/>
      <c r="G98" s="48"/>
      <c r="H98" s="48"/>
      <c r="I98"/>
    </row>
    <row r="99" spans="2:16" x14ac:dyDescent="0.25">
      <c r="C99" s="27"/>
      <c r="D99" s="26" t="s">
        <v>23</v>
      </c>
      <c r="E99" s="26" t="s">
        <v>24</v>
      </c>
      <c r="F99" s="48" t="s">
        <v>27</v>
      </c>
      <c r="G99" s="48"/>
      <c r="H99" s="26" t="s">
        <v>5</v>
      </c>
      <c r="I99"/>
    </row>
    <row r="100" spans="2:16" x14ac:dyDescent="0.25">
      <c r="B100" s="14" t="s">
        <v>24</v>
      </c>
      <c r="C100" s="8"/>
      <c r="D100" s="32">
        <f>D95</f>
        <v>12</v>
      </c>
      <c r="E100" s="32">
        <f>E95</f>
        <v>6280000</v>
      </c>
      <c r="F100" s="29">
        <f>'[1]Interim Rate Comp'!L33</f>
        <v>5.6600000000000001E-3</v>
      </c>
      <c r="G100" t="s">
        <v>29</v>
      </c>
      <c r="H100" s="30">
        <f>ROUND(E100*F100,2)</f>
        <v>35544.800000000003</v>
      </c>
      <c r="I100"/>
      <c r="P100" s="31">
        <v>4.5199999999999996</v>
      </c>
    </row>
    <row r="101" spans="2:16" ht="15.75" thickBot="1" x14ac:dyDescent="0.3">
      <c r="C101" t="s">
        <v>30</v>
      </c>
      <c r="E101" s="23">
        <f>SUM(E100:E100)</f>
        <v>6280000</v>
      </c>
      <c r="H101" s="33">
        <f>SUM(H100:H100)</f>
        <v>35544.800000000003</v>
      </c>
      <c r="I101"/>
    </row>
    <row r="102" spans="2:16" ht="15.75" thickTop="1" x14ac:dyDescent="0.25"/>
  </sheetData>
  <mergeCells count="17">
    <mergeCell ref="F71:G71"/>
    <mergeCell ref="B84:H84"/>
    <mergeCell ref="F85:G85"/>
    <mergeCell ref="B98:H98"/>
    <mergeCell ref="F99:G99"/>
    <mergeCell ref="C8:D8"/>
    <mergeCell ref="B34:H34"/>
    <mergeCell ref="F35:G35"/>
    <mergeCell ref="B54:H54"/>
    <mergeCell ref="F55:G55"/>
    <mergeCell ref="B70:H70"/>
    <mergeCell ref="A1:K1"/>
    <mergeCell ref="A2:K2"/>
    <mergeCell ref="A3:K3"/>
    <mergeCell ref="A4:K4"/>
    <mergeCell ref="C6:D6"/>
    <mergeCell ref="C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F499-56E2-4B8A-9C29-CF676D59BBC9}">
  <dimension ref="A1:P102"/>
  <sheetViews>
    <sheetView workbookViewId="0">
      <selection activeCell="H20" sqref="H20"/>
    </sheetView>
  </sheetViews>
  <sheetFormatPr defaultColWidth="19" defaultRowHeight="15" x14ac:dyDescent="0.25"/>
  <cols>
    <col min="8" max="9" width="19" style="7"/>
  </cols>
  <sheetData>
    <row r="1" spans="1:14" ht="18.75" x14ac:dyDescent="0.3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</row>
    <row r="2" spans="1:14" ht="18.75" x14ac:dyDescent="0.25">
      <c r="A2" s="52" t="str">
        <f>'[1]SAO - DSC'!C4</f>
        <v>Morgan County Water District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2"/>
      <c r="M2" s="2"/>
      <c r="N2" s="2"/>
    </row>
    <row r="3" spans="1:14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3"/>
      <c r="M3" s="3"/>
      <c r="N3" s="3"/>
    </row>
    <row r="4" spans="1:14" ht="18.75" x14ac:dyDescent="0.3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1"/>
      <c r="M4" s="1"/>
      <c r="N4" s="1"/>
    </row>
    <row r="6" spans="1:14" ht="15.75" x14ac:dyDescent="0.25">
      <c r="B6" s="4"/>
      <c r="C6" s="56" t="s">
        <v>2</v>
      </c>
      <c r="D6" s="56"/>
      <c r="F6" s="5" t="s">
        <v>3</v>
      </c>
      <c r="G6" s="5" t="s">
        <v>4</v>
      </c>
      <c r="H6" s="6" t="s">
        <v>5</v>
      </c>
      <c r="M6" s="17" t="s">
        <v>42</v>
      </c>
      <c r="N6" s="4">
        <f>H14</f>
        <v>2503348.7399999993</v>
      </c>
    </row>
    <row r="7" spans="1:14" ht="15.75" x14ac:dyDescent="0.25">
      <c r="B7" s="4"/>
      <c r="C7" s="57" t="s">
        <v>6</v>
      </c>
      <c r="D7" s="57"/>
      <c r="F7" s="8">
        <f>D36</f>
        <v>35191</v>
      </c>
      <c r="G7" s="8">
        <f>E41</f>
        <v>106282790</v>
      </c>
      <c r="H7" s="9">
        <f>H41</f>
        <v>2269155.9299999997</v>
      </c>
      <c r="M7" s="17" t="s">
        <v>43</v>
      </c>
      <c r="N7" s="4">
        <f>-'[1]Working Capital Phas-In'!N6</f>
        <v>-2502616.6902000001</v>
      </c>
    </row>
    <row r="8" spans="1:14" ht="15.75" x14ac:dyDescent="0.25">
      <c r="B8" s="4"/>
      <c r="C8" s="58" t="s">
        <v>7</v>
      </c>
      <c r="D8" s="58"/>
      <c r="F8" s="8">
        <f>D56</f>
        <v>200</v>
      </c>
      <c r="G8" s="8">
        <f>E60</f>
        <v>1076140</v>
      </c>
      <c r="H8" s="11">
        <f>H60</f>
        <v>26238.48</v>
      </c>
      <c r="M8" s="17" t="s">
        <v>44</v>
      </c>
      <c r="N8" s="4">
        <f>SUM(N6:N7)</f>
        <v>732.04979999922216</v>
      </c>
    </row>
    <row r="9" spans="1:14" x14ac:dyDescent="0.25">
      <c r="B9" s="4"/>
      <c r="C9" s="10" t="s">
        <v>8</v>
      </c>
      <c r="D9" s="10"/>
      <c r="F9" s="8">
        <f>D72</f>
        <v>96</v>
      </c>
      <c r="G9" s="8">
        <f>E74</f>
        <v>12676300</v>
      </c>
      <c r="H9" s="11">
        <f>H74</f>
        <v>162574.92000000001</v>
      </c>
    </row>
    <row r="10" spans="1:14" x14ac:dyDescent="0.25">
      <c r="B10" s="4"/>
      <c r="C10" s="10" t="s">
        <v>9</v>
      </c>
      <c r="D10" s="10"/>
      <c r="F10" s="8">
        <f>D86</f>
        <v>12</v>
      </c>
      <c r="G10" s="8">
        <f>E88</f>
        <v>1136710</v>
      </c>
      <c r="H10" s="11">
        <f>H88</f>
        <v>19724.61</v>
      </c>
    </row>
    <row r="11" spans="1:14" x14ac:dyDescent="0.25">
      <c r="B11" s="4"/>
      <c r="C11" s="10" t="s">
        <v>10</v>
      </c>
      <c r="D11" s="10"/>
      <c r="F11" s="12">
        <f>D100</f>
        <v>12</v>
      </c>
      <c r="G11" s="12">
        <f>E101</f>
        <v>6280000</v>
      </c>
      <c r="H11" s="13">
        <f>H101</f>
        <v>37742.800000000003</v>
      </c>
    </row>
    <row r="12" spans="1:14" x14ac:dyDescent="0.25">
      <c r="B12" s="4"/>
      <c r="C12" s="10" t="s">
        <v>11</v>
      </c>
      <c r="D12" s="10"/>
      <c r="F12" s="8">
        <f>SUM(F7:F11)</f>
        <v>35511</v>
      </c>
      <c r="G12" s="8">
        <f>SUM(G7:G11)</f>
        <v>127451940</v>
      </c>
      <c r="H12" s="11">
        <f>SUM(H7:H11)</f>
        <v>2515436.7399999993</v>
      </c>
    </row>
    <row r="13" spans="1:14" x14ac:dyDescent="0.25">
      <c r="B13" s="4"/>
      <c r="C13" s="10" t="s">
        <v>12</v>
      </c>
      <c r="D13" s="10"/>
      <c r="F13" s="14"/>
      <c r="G13" s="14"/>
      <c r="H13" s="13">
        <f>-ROUND('[1]BA Adj'!B5,0)</f>
        <v>-12088</v>
      </c>
    </row>
    <row r="14" spans="1:14" x14ac:dyDescent="0.25">
      <c r="B14" s="4"/>
      <c r="C14" s="10" t="s">
        <v>13</v>
      </c>
      <c r="D14" s="10"/>
      <c r="F14" s="14"/>
      <c r="G14" s="14"/>
      <c r="H14" s="11">
        <f>SUM(H12:H13)</f>
        <v>2503348.7399999993</v>
      </c>
    </row>
    <row r="15" spans="1:14" x14ac:dyDescent="0.25">
      <c r="B15" s="4"/>
      <c r="C15" s="15" t="s">
        <v>45</v>
      </c>
      <c r="D15" s="10"/>
      <c r="F15" s="14"/>
      <c r="G15" s="14"/>
      <c r="H15" s="13">
        <f>-'[1]PropBA - Interim Rates'!H14</f>
        <v>-2357785.2600000002</v>
      </c>
    </row>
    <row r="16" spans="1:14" ht="15.75" thickBot="1" x14ac:dyDescent="0.3">
      <c r="B16" s="4"/>
      <c r="C16" s="16" t="s">
        <v>15</v>
      </c>
      <c r="D16" s="16"/>
      <c r="H16" s="59">
        <f>SUM(H14:H15)</f>
        <v>145563.47999999905</v>
      </c>
    </row>
    <row r="17" spans="1:16" ht="15.75" thickTop="1" x14ac:dyDescent="0.25">
      <c r="B17" s="4"/>
      <c r="C17" s="16"/>
      <c r="D17" s="16"/>
      <c r="H17" s="60"/>
    </row>
    <row r="18" spans="1:16" x14ac:dyDescent="0.25">
      <c r="B18" s="4"/>
      <c r="C18" t="s">
        <v>47</v>
      </c>
      <c r="H18" s="36">
        <f>H14</f>
        <v>2503348.7399999993</v>
      </c>
    </row>
    <row r="19" spans="1:16" x14ac:dyDescent="0.25">
      <c r="B19" s="4"/>
      <c r="C19" t="s">
        <v>49</v>
      </c>
      <c r="H19" s="13">
        <v>-2502616.6902000001</v>
      </c>
    </row>
    <row r="20" spans="1:16" ht="15.75" thickBot="1" x14ac:dyDescent="0.3">
      <c r="B20" s="4"/>
      <c r="C20" t="s">
        <v>35</v>
      </c>
      <c r="H20" s="35">
        <f>SUM(H18:H19)</f>
        <v>732.04979999922216</v>
      </c>
    </row>
    <row r="21" spans="1:16" ht="15.75" thickTop="1" x14ac:dyDescent="0.25">
      <c r="B21" s="4"/>
    </row>
    <row r="22" spans="1:16" x14ac:dyDescent="0.25">
      <c r="B22" s="4"/>
    </row>
    <row r="23" spans="1:16" ht="15.75" x14ac:dyDescent="0.25">
      <c r="A23" t="s">
        <v>16</v>
      </c>
      <c r="B23" s="18" t="s">
        <v>17</v>
      </c>
    </row>
    <row r="24" spans="1:16" x14ac:dyDescent="0.25">
      <c r="B24" s="14"/>
      <c r="C24" s="14"/>
      <c r="D24" s="14"/>
      <c r="E24" s="14"/>
      <c r="F24" s="14" t="s">
        <v>18</v>
      </c>
      <c r="G24" s="14" t="s">
        <v>19</v>
      </c>
      <c r="H24" s="19" t="s">
        <v>19</v>
      </c>
      <c r="I24" s="19" t="s">
        <v>19</v>
      </c>
      <c r="J24" s="14" t="s">
        <v>20</v>
      </c>
      <c r="K24" s="14" t="s">
        <v>21</v>
      </c>
      <c r="L24" s="14"/>
      <c r="M24" s="14"/>
      <c r="N24" s="14"/>
    </row>
    <row r="25" spans="1:16" x14ac:dyDescent="0.25">
      <c r="B25" s="14"/>
      <c r="C25" s="5" t="s">
        <v>22</v>
      </c>
      <c r="D25" s="5" t="s">
        <v>23</v>
      </c>
      <c r="E25" s="5" t="s">
        <v>24</v>
      </c>
      <c r="F25" s="20">
        <f>C26</f>
        <v>2000</v>
      </c>
      <c r="G25" s="12">
        <f>C27</f>
        <v>3000</v>
      </c>
      <c r="H25" s="6">
        <f>C29</f>
        <v>5000</v>
      </c>
      <c r="I25" s="6">
        <f>C29</f>
        <v>5000</v>
      </c>
      <c r="J25" s="21">
        <f>SUM(F25:H25)</f>
        <v>10000</v>
      </c>
      <c r="K25" s="5"/>
      <c r="L25" s="14"/>
      <c r="M25" s="14"/>
      <c r="N25" s="14"/>
    </row>
    <row r="26" spans="1:16" x14ac:dyDescent="0.25">
      <c r="B26" s="14" t="s">
        <v>18</v>
      </c>
      <c r="C26" s="19">
        <v>2000</v>
      </c>
      <c r="D26" s="8">
        <v>14898</v>
      </c>
      <c r="E26" s="8">
        <v>14083390</v>
      </c>
      <c r="F26" s="8">
        <f>E26</f>
        <v>14083390</v>
      </c>
      <c r="G26" s="8">
        <v>0</v>
      </c>
      <c r="H26" s="22">
        <v>0</v>
      </c>
      <c r="I26" s="22"/>
      <c r="J26" s="8">
        <v>0</v>
      </c>
      <c r="K26" s="8">
        <f>SUM(F26:J26)</f>
        <v>14083390</v>
      </c>
      <c r="L26" s="8"/>
      <c r="M26" s="8"/>
      <c r="N26" s="8"/>
    </row>
    <row r="27" spans="1:16" x14ac:dyDescent="0.25">
      <c r="B27" s="14" t="s">
        <v>19</v>
      </c>
      <c r="C27" s="19">
        <v>3000</v>
      </c>
      <c r="D27" s="8">
        <v>15472</v>
      </c>
      <c r="E27" s="8">
        <v>49891280</v>
      </c>
      <c r="F27" s="8">
        <f>$D27*F$25</f>
        <v>30944000</v>
      </c>
      <c r="G27" s="8">
        <f>E27-F27</f>
        <v>18947280</v>
      </c>
      <c r="H27" s="22">
        <v>0</v>
      </c>
      <c r="I27" s="22"/>
      <c r="J27" s="8">
        <v>0</v>
      </c>
      <c r="K27" s="8">
        <f t="shared" ref="K27:K30" si="0">SUM(F27:J27)</f>
        <v>49891280</v>
      </c>
      <c r="L27" s="8"/>
      <c r="M27" s="8"/>
      <c r="N27" s="8"/>
      <c r="O27" s="8">
        <f>SUM(G27:K27)</f>
        <v>68838560</v>
      </c>
      <c r="P27" s="8">
        <f>SUM(H27:O27)</f>
        <v>118729840</v>
      </c>
    </row>
    <row r="28" spans="1:16" x14ac:dyDescent="0.25">
      <c r="B28" s="14" t="s">
        <v>19</v>
      </c>
      <c r="C28" s="19">
        <v>5000</v>
      </c>
      <c r="D28" s="8">
        <v>3998</v>
      </c>
      <c r="E28" s="8">
        <v>26273360</v>
      </c>
      <c r="F28" s="8">
        <f>$D28*F$25</f>
        <v>7996000</v>
      </c>
      <c r="G28" s="8">
        <f>$D28*G$25</f>
        <v>11994000</v>
      </c>
      <c r="H28" s="22">
        <f>E28-F28-G28</f>
        <v>6283360</v>
      </c>
      <c r="I28" s="22"/>
      <c r="J28" s="8"/>
      <c r="K28" s="8">
        <f t="shared" si="0"/>
        <v>26273360</v>
      </c>
      <c r="L28" s="8"/>
      <c r="M28" s="8"/>
      <c r="N28" s="8"/>
    </row>
    <row r="29" spans="1:16" x14ac:dyDescent="0.25">
      <c r="B29" s="14" t="s">
        <v>19</v>
      </c>
      <c r="C29" s="19">
        <v>5000</v>
      </c>
      <c r="D29" s="8">
        <v>504</v>
      </c>
      <c r="E29" s="8">
        <v>5985670</v>
      </c>
      <c r="F29" s="8">
        <f t="shared" ref="F29:I30" si="1">$D29*F$25</f>
        <v>1008000</v>
      </c>
      <c r="G29" s="8">
        <f t="shared" si="1"/>
        <v>1512000</v>
      </c>
      <c r="H29" s="8">
        <f t="shared" si="1"/>
        <v>2520000</v>
      </c>
      <c r="I29" s="8">
        <f>E29-F29-G29-H29</f>
        <v>945670</v>
      </c>
      <c r="J29" s="8">
        <v>0</v>
      </c>
      <c r="K29" s="8">
        <f t="shared" si="0"/>
        <v>5985670</v>
      </c>
      <c r="L29" s="8"/>
      <c r="M29" s="8"/>
      <c r="N29" s="8"/>
    </row>
    <row r="30" spans="1:16" x14ac:dyDescent="0.25">
      <c r="B30" s="14" t="s">
        <v>20</v>
      </c>
      <c r="C30" s="19">
        <f>SUM(C26:C29)</f>
        <v>15000</v>
      </c>
      <c r="D30" s="8">
        <v>319</v>
      </c>
      <c r="E30" s="8">
        <v>10049090</v>
      </c>
      <c r="F30" s="8">
        <f t="shared" si="1"/>
        <v>638000</v>
      </c>
      <c r="G30" s="8">
        <f t="shared" si="1"/>
        <v>957000</v>
      </c>
      <c r="H30" s="8">
        <f t="shared" si="1"/>
        <v>1595000</v>
      </c>
      <c r="I30" s="8">
        <f t="shared" si="1"/>
        <v>1595000</v>
      </c>
      <c r="J30" s="8">
        <f>E30-F30-G30-H30-I30</f>
        <v>5264090</v>
      </c>
      <c r="K30" s="8">
        <f t="shared" si="0"/>
        <v>10049090</v>
      </c>
      <c r="L30" s="8"/>
      <c r="M30" s="8"/>
      <c r="N30" s="8"/>
    </row>
    <row r="31" spans="1:16" ht="15.75" thickBot="1" x14ac:dyDescent="0.3">
      <c r="B31" s="14"/>
      <c r="C31" t="s">
        <v>25</v>
      </c>
      <c r="D31" s="23">
        <f t="shared" ref="D31:K31" si="2">SUM(D26:D30)</f>
        <v>35191</v>
      </c>
      <c r="E31" s="23">
        <f t="shared" si="2"/>
        <v>106282790</v>
      </c>
      <c r="F31" s="23">
        <f t="shared" si="2"/>
        <v>54669390</v>
      </c>
      <c r="G31" s="23">
        <f t="shared" si="2"/>
        <v>33410280</v>
      </c>
      <c r="H31" s="24">
        <f t="shared" si="2"/>
        <v>10398360</v>
      </c>
      <c r="I31" s="24">
        <f t="shared" si="2"/>
        <v>2540670</v>
      </c>
      <c r="J31" s="23">
        <f t="shared" si="2"/>
        <v>5264090</v>
      </c>
      <c r="K31" s="23">
        <f t="shared" si="2"/>
        <v>106282790</v>
      </c>
      <c r="L31" s="25"/>
      <c r="M31" s="25"/>
      <c r="N31" s="25"/>
    </row>
    <row r="32" spans="1:16" ht="15.75" thickTop="1" x14ac:dyDescent="0.25"/>
    <row r="34" spans="1:16" x14ac:dyDescent="0.25">
      <c r="B34" s="48" t="s">
        <v>26</v>
      </c>
      <c r="C34" s="48"/>
      <c r="D34" s="48"/>
      <c r="E34" s="48"/>
      <c r="F34" s="48"/>
      <c r="G34" s="48"/>
      <c r="H34" s="48"/>
    </row>
    <row r="35" spans="1:16" x14ac:dyDescent="0.25">
      <c r="C35" s="27"/>
      <c r="D35" s="26" t="s">
        <v>23</v>
      </c>
      <c r="E35" s="26" t="s">
        <v>24</v>
      </c>
      <c r="F35" s="48" t="s">
        <v>27</v>
      </c>
      <c r="G35" s="48"/>
      <c r="H35" s="26" t="s">
        <v>5</v>
      </c>
    </row>
    <row r="36" spans="1:16" x14ac:dyDescent="0.25">
      <c r="B36" s="14" t="s">
        <v>18</v>
      </c>
      <c r="C36" s="8">
        <f>C26</f>
        <v>2000</v>
      </c>
      <c r="D36" s="25">
        <f>D31</f>
        <v>35191</v>
      </c>
      <c r="E36" s="25">
        <f>F31</f>
        <v>54669390</v>
      </c>
      <c r="F36" s="28">
        <f>'[1]Year 1 Rate Comp'!L12</f>
        <v>42.48</v>
      </c>
      <c r="G36" t="s">
        <v>28</v>
      </c>
      <c r="H36" s="28">
        <f>F36*D36</f>
        <v>1494913.68</v>
      </c>
    </row>
    <row r="37" spans="1:16" x14ac:dyDescent="0.25">
      <c r="B37" s="14" t="s">
        <v>19</v>
      </c>
      <c r="C37" s="8">
        <f>C27</f>
        <v>3000</v>
      </c>
      <c r="E37" s="25">
        <f>G31</f>
        <v>33410280</v>
      </c>
      <c r="F37" s="29">
        <f>'[1]Year 1 Rate Comp'!L13</f>
        <v>1.5690000000000003E-2</v>
      </c>
      <c r="G37" t="s">
        <v>29</v>
      </c>
      <c r="H37" s="30">
        <f>ROUND(E37*F37,2)</f>
        <v>524207.29</v>
      </c>
      <c r="P37" s="31">
        <v>11.86</v>
      </c>
    </row>
    <row r="38" spans="1:16" x14ac:dyDescent="0.25">
      <c r="B38" s="14" t="s">
        <v>19</v>
      </c>
      <c r="C38" s="8">
        <f>C29</f>
        <v>5000</v>
      </c>
      <c r="E38" s="25">
        <f>H31</f>
        <v>10398360</v>
      </c>
      <c r="F38" s="29">
        <f>'[1]Year 1 Rate Comp'!L14</f>
        <v>1.4549999999999999E-2</v>
      </c>
      <c r="G38" t="s">
        <v>29</v>
      </c>
      <c r="H38" s="30">
        <f>ROUND(E38*F38,2)</f>
        <v>151296.14000000001</v>
      </c>
      <c r="P38" s="31">
        <v>11</v>
      </c>
    </row>
    <row r="39" spans="1:16" x14ac:dyDescent="0.25">
      <c r="B39" s="14" t="s">
        <v>19</v>
      </c>
      <c r="C39" s="8">
        <v>5000</v>
      </c>
      <c r="E39" s="25">
        <f>I31</f>
        <v>2540670</v>
      </c>
      <c r="F39" s="29">
        <f>'[1]Year 1 Rate Comp'!L15</f>
        <v>1.342E-2</v>
      </c>
      <c r="G39" t="s">
        <v>29</v>
      </c>
      <c r="H39" s="30">
        <f>ROUND(E39*F39,2)</f>
        <v>34095.79</v>
      </c>
      <c r="P39" s="31">
        <v>10.15</v>
      </c>
    </row>
    <row r="40" spans="1:16" x14ac:dyDescent="0.25">
      <c r="B40" s="14" t="s">
        <v>20</v>
      </c>
      <c r="C40" s="8">
        <f>C30</f>
        <v>15000</v>
      </c>
      <c r="D40" s="27"/>
      <c r="E40" s="32">
        <f>J30</f>
        <v>5264090</v>
      </c>
      <c r="F40" s="29">
        <f>'[1]Year 1 Rate Comp'!L16</f>
        <v>1.2279999999999999E-2</v>
      </c>
      <c r="G40" t="s">
        <v>29</v>
      </c>
      <c r="H40" s="30">
        <f>ROUND(E40*F40,2)</f>
        <v>64643.03</v>
      </c>
      <c r="P40" s="31">
        <v>9.2899999999999991</v>
      </c>
    </row>
    <row r="41" spans="1:16" ht="15.75" thickBot="1" x14ac:dyDescent="0.3">
      <c r="C41" t="s">
        <v>30</v>
      </c>
      <c r="E41" s="23">
        <f>SUM(E36:E40)</f>
        <v>106282790</v>
      </c>
      <c r="H41" s="33">
        <f>SUM(H36:H40)</f>
        <v>2269155.9299999997</v>
      </c>
      <c r="K41" t="s">
        <v>31</v>
      </c>
    </row>
    <row r="42" spans="1:16" ht="15.75" thickTop="1" x14ac:dyDescent="0.25"/>
    <row r="44" spans="1:16" x14ac:dyDescent="0.25">
      <c r="A44" t="s">
        <v>16</v>
      </c>
      <c r="B44" s="4" t="s">
        <v>7</v>
      </c>
      <c r="I44"/>
    </row>
    <row r="45" spans="1:16" x14ac:dyDescent="0.25">
      <c r="B45" s="14"/>
      <c r="C45" s="14"/>
      <c r="D45" s="14"/>
      <c r="E45" s="14"/>
      <c r="F45" s="14" t="s">
        <v>18</v>
      </c>
      <c r="G45" s="14" t="s">
        <v>19</v>
      </c>
      <c r="H45" s="19" t="s">
        <v>19</v>
      </c>
      <c r="I45" s="14" t="s">
        <v>20</v>
      </c>
      <c r="J45" s="14" t="s">
        <v>21</v>
      </c>
    </row>
    <row r="46" spans="1:16" x14ac:dyDescent="0.25">
      <c r="B46" s="14"/>
      <c r="C46" s="5" t="s">
        <v>22</v>
      </c>
      <c r="D46" s="5" t="s">
        <v>23</v>
      </c>
      <c r="E46" s="5" t="s">
        <v>24</v>
      </c>
      <c r="F46" s="12">
        <f>C47</f>
        <v>5000</v>
      </c>
      <c r="G46" s="12">
        <f>C48</f>
        <v>5000</v>
      </c>
      <c r="H46" s="6">
        <f>C48</f>
        <v>5000</v>
      </c>
      <c r="I46" s="21">
        <f>SUM(F46:H46)</f>
        <v>15000</v>
      </c>
      <c r="J46" s="5"/>
    </row>
    <row r="47" spans="1:16" x14ac:dyDescent="0.25">
      <c r="B47" s="14" t="s">
        <v>18</v>
      </c>
      <c r="C47" s="19">
        <v>5000</v>
      </c>
      <c r="D47" s="8">
        <v>173</v>
      </c>
      <c r="E47" s="8">
        <v>291950</v>
      </c>
      <c r="F47" s="8">
        <f>E47</f>
        <v>291950</v>
      </c>
      <c r="G47" s="8">
        <v>0</v>
      </c>
      <c r="H47" s="22">
        <v>0</v>
      </c>
      <c r="I47" s="8">
        <v>0</v>
      </c>
      <c r="J47" s="8">
        <f>SUM(F47:I47)</f>
        <v>291950</v>
      </c>
    </row>
    <row r="48" spans="1:16" x14ac:dyDescent="0.25">
      <c r="B48" s="14" t="s">
        <v>19</v>
      </c>
      <c r="C48" s="19">
        <v>5000</v>
      </c>
      <c r="D48" s="8">
        <v>15</v>
      </c>
      <c r="E48" s="8">
        <v>103990</v>
      </c>
      <c r="F48" s="8">
        <f>$D48*F$46</f>
        <v>75000</v>
      </c>
      <c r="G48" s="8">
        <f>E48-F48</f>
        <v>28990</v>
      </c>
      <c r="H48" s="22">
        <v>0</v>
      </c>
      <c r="I48" s="8">
        <v>0</v>
      </c>
      <c r="J48" s="8">
        <f>SUM(F48:I48)</f>
        <v>103990</v>
      </c>
      <c r="K48" s="8"/>
      <c r="L48" s="8"/>
      <c r="M48" s="8"/>
      <c r="N48" s="8"/>
      <c r="O48" s="8"/>
    </row>
    <row r="49" spans="1:16" x14ac:dyDescent="0.25">
      <c r="B49" s="14" t="s">
        <v>19</v>
      </c>
      <c r="C49" s="19">
        <v>5000</v>
      </c>
      <c r="D49" s="8">
        <v>2</v>
      </c>
      <c r="E49" s="8">
        <v>24750</v>
      </c>
      <c r="F49" s="8">
        <f t="shared" ref="F49:F50" si="3">$D49*F$46</f>
        <v>10000</v>
      </c>
      <c r="G49" s="8">
        <f>$D49*G$46</f>
        <v>10000</v>
      </c>
      <c r="H49" s="22">
        <f>E49-F49-G49</f>
        <v>4750</v>
      </c>
      <c r="I49" s="8"/>
      <c r="J49" s="8">
        <f>SUM(F49:I49)</f>
        <v>24750</v>
      </c>
    </row>
    <row r="50" spans="1:16" x14ac:dyDescent="0.25">
      <c r="B50" s="14" t="s">
        <v>20</v>
      </c>
      <c r="C50" s="19">
        <f>SUM(C47:C49)</f>
        <v>15000</v>
      </c>
      <c r="D50" s="8">
        <v>10</v>
      </c>
      <c r="E50" s="8">
        <v>655450</v>
      </c>
      <c r="F50" s="8">
        <f t="shared" si="3"/>
        <v>50000</v>
      </c>
      <c r="G50" s="8">
        <f>$D50*G$46</f>
        <v>50000</v>
      </c>
      <c r="H50" s="8">
        <f>$D50*H$46</f>
        <v>50000</v>
      </c>
      <c r="I50" s="8">
        <f>E50-F50-G50-H50</f>
        <v>505450</v>
      </c>
      <c r="J50" s="8">
        <f>SUM(F50:I50)</f>
        <v>655450</v>
      </c>
    </row>
    <row r="51" spans="1:16" ht="15.75" thickBot="1" x14ac:dyDescent="0.3">
      <c r="B51" s="14"/>
      <c r="C51" t="s">
        <v>25</v>
      </c>
      <c r="D51" s="23">
        <f t="shared" ref="D51:J51" si="4">SUM(D47:D50)</f>
        <v>200</v>
      </c>
      <c r="E51" s="23">
        <f t="shared" si="4"/>
        <v>1076140</v>
      </c>
      <c r="F51" s="23">
        <f t="shared" si="4"/>
        <v>426950</v>
      </c>
      <c r="G51" s="23">
        <f t="shared" si="4"/>
        <v>88990</v>
      </c>
      <c r="H51" s="24">
        <f t="shared" si="4"/>
        <v>54750</v>
      </c>
      <c r="I51" s="23">
        <f t="shared" si="4"/>
        <v>505450</v>
      </c>
      <c r="J51" s="23">
        <f t="shared" si="4"/>
        <v>1076140</v>
      </c>
    </row>
    <row r="52" spans="1:16" ht="15.75" thickTop="1" x14ac:dyDescent="0.25">
      <c r="I52"/>
    </row>
    <row r="53" spans="1:16" x14ac:dyDescent="0.25">
      <c r="I53"/>
    </row>
    <row r="54" spans="1:16" x14ac:dyDescent="0.25">
      <c r="B54" s="48" t="s">
        <v>26</v>
      </c>
      <c r="C54" s="48"/>
      <c r="D54" s="48"/>
      <c r="E54" s="48"/>
      <c r="F54" s="48"/>
      <c r="G54" s="48"/>
      <c r="H54" s="48"/>
      <c r="I54"/>
    </row>
    <row r="55" spans="1:16" x14ac:dyDescent="0.25">
      <c r="C55" s="27"/>
      <c r="D55" s="26" t="s">
        <v>23</v>
      </c>
      <c r="E55" s="26" t="s">
        <v>24</v>
      </c>
      <c r="F55" s="48" t="s">
        <v>27</v>
      </c>
      <c r="G55" s="48"/>
      <c r="H55" s="26" t="s">
        <v>5</v>
      </c>
      <c r="I55"/>
    </row>
    <row r="56" spans="1:16" x14ac:dyDescent="0.25">
      <c r="B56" s="14" t="s">
        <v>18</v>
      </c>
      <c r="C56" s="8">
        <f>C47</f>
        <v>5000</v>
      </c>
      <c r="D56" s="25">
        <f>D51</f>
        <v>200</v>
      </c>
      <c r="E56" s="25">
        <f>F51</f>
        <v>426950</v>
      </c>
      <c r="F56" s="28">
        <f>'[1]Year 1 Rate Comp'!L19</f>
        <v>90.01</v>
      </c>
      <c r="G56" t="s">
        <v>28</v>
      </c>
      <c r="H56" s="28">
        <f>F56*D56</f>
        <v>18002</v>
      </c>
      <c r="I56"/>
    </row>
    <row r="57" spans="1:16" x14ac:dyDescent="0.25">
      <c r="B57" s="14" t="s">
        <v>19</v>
      </c>
      <c r="C57" s="8">
        <f>C48</f>
        <v>5000</v>
      </c>
      <c r="E57" s="25">
        <f>G51</f>
        <v>88990</v>
      </c>
      <c r="F57" s="29">
        <f>'[1]Year 1 Rate Comp'!L20</f>
        <v>1.4549999999999999E-2</v>
      </c>
      <c r="G57" t="s">
        <v>29</v>
      </c>
      <c r="H57" s="30">
        <f>ROUND(E57*F57,2)</f>
        <v>1294.8</v>
      </c>
      <c r="I57"/>
      <c r="P57" s="31">
        <v>11</v>
      </c>
    </row>
    <row r="58" spans="1:16" x14ac:dyDescent="0.25">
      <c r="B58" s="14" t="s">
        <v>19</v>
      </c>
      <c r="C58" s="8">
        <f>C49</f>
        <v>5000</v>
      </c>
      <c r="E58" s="25">
        <f>H51</f>
        <v>54750</v>
      </c>
      <c r="F58" s="29">
        <f>'[1]Year 1 Rate Comp'!L21</f>
        <v>1.342E-2</v>
      </c>
      <c r="G58" t="s">
        <v>29</v>
      </c>
      <c r="H58" s="30">
        <f>ROUND(E58*F58,2)</f>
        <v>734.75</v>
      </c>
      <c r="I58"/>
      <c r="P58" s="31">
        <v>10.15</v>
      </c>
    </row>
    <row r="59" spans="1:16" x14ac:dyDescent="0.25">
      <c r="B59" s="14" t="s">
        <v>20</v>
      </c>
      <c r="C59" s="8">
        <f>C50</f>
        <v>15000</v>
      </c>
      <c r="D59" s="27"/>
      <c r="E59" s="32">
        <f>I50</f>
        <v>505450</v>
      </c>
      <c r="F59" s="29">
        <f>'[1]Year 1 Rate Comp'!L22</f>
        <v>1.2279999999999999E-2</v>
      </c>
      <c r="G59" t="s">
        <v>29</v>
      </c>
      <c r="H59" s="30">
        <f>ROUND(E59*F59,2)</f>
        <v>6206.93</v>
      </c>
      <c r="I59"/>
      <c r="P59" s="31">
        <v>9.2899999999999991</v>
      </c>
    </row>
    <row r="60" spans="1:16" ht="15.75" thickBot="1" x14ac:dyDescent="0.3">
      <c r="C60" t="s">
        <v>30</v>
      </c>
      <c r="E60" s="23">
        <f>SUM(E56:E59)</f>
        <v>1076140</v>
      </c>
      <c r="H60" s="33">
        <f>SUM(H56:H59)</f>
        <v>26238.48</v>
      </c>
      <c r="I60"/>
      <c r="J60" t="s">
        <v>31</v>
      </c>
    </row>
    <row r="61" spans="1:16" ht="15.75" thickTop="1" x14ac:dyDescent="0.25"/>
    <row r="62" spans="1:16" x14ac:dyDescent="0.25">
      <c r="A62" t="s">
        <v>16</v>
      </c>
      <c r="B62" s="4" t="s">
        <v>8</v>
      </c>
      <c r="H62"/>
      <c r="I62"/>
    </row>
    <row r="63" spans="1:16" x14ac:dyDescent="0.25">
      <c r="B63" s="14"/>
      <c r="C63" s="14"/>
      <c r="D63" s="14"/>
      <c r="E63" s="14"/>
      <c r="F63" s="14" t="s">
        <v>18</v>
      </c>
      <c r="G63" s="14" t="s">
        <v>20</v>
      </c>
      <c r="H63" s="14" t="s">
        <v>21</v>
      </c>
      <c r="I63"/>
    </row>
    <row r="64" spans="1:16" x14ac:dyDescent="0.25">
      <c r="B64" s="14"/>
      <c r="C64" s="5" t="s">
        <v>22</v>
      </c>
      <c r="D64" s="5" t="s">
        <v>23</v>
      </c>
      <c r="E64" s="5" t="s">
        <v>24</v>
      </c>
      <c r="F64" s="12">
        <f>C65</f>
        <v>15000</v>
      </c>
      <c r="G64" s="21">
        <f>SUM(F64:F64)</f>
        <v>15000</v>
      </c>
      <c r="H64" s="5"/>
      <c r="I64"/>
    </row>
    <row r="65" spans="1:16" x14ac:dyDescent="0.25">
      <c r="B65" s="14" t="s">
        <v>18</v>
      </c>
      <c r="C65" s="19">
        <v>15000</v>
      </c>
      <c r="D65" s="8">
        <v>24</v>
      </c>
      <c r="E65" s="8">
        <v>145730</v>
      </c>
      <c r="F65" s="8">
        <f>E65</f>
        <v>145730</v>
      </c>
      <c r="G65" s="8">
        <v>0</v>
      </c>
      <c r="H65" s="8">
        <f>SUM(F65:G65)</f>
        <v>145730</v>
      </c>
      <c r="I65"/>
    </row>
    <row r="66" spans="1:16" x14ac:dyDescent="0.25">
      <c r="B66" s="14" t="s">
        <v>20</v>
      </c>
      <c r="C66" s="19">
        <f>SUM(C65:C65)</f>
        <v>15000</v>
      </c>
      <c r="D66" s="8">
        <v>72</v>
      </c>
      <c r="E66" s="8">
        <v>12530570</v>
      </c>
      <c r="F66" s="8">
        <f>$D66*F$64</f>
        <v>1080000</v>
      </c>
      <c r="G66" s="8">
        <f>E66-F66</f>
        <v>11450570</v>
      </c>
      <c r="H66" s="8">
        <f>SUM(F66:G66)</f>
        <v>12530570</v>
      </c>
      <c r="I66"/>
    </row>
    <row r="67" spans="1:16" ht="15.75" thickBot="1" x14ac:dyDescent="0.3">
      <c r="B67" s="14"/>
      <c r="C67" t="s">
        <v>25</v>
      </c>
      <c r="D67" s="23">
        <f>SUM(D65:D66)</f>
        <v>96</v>
      </c>
      <c r="E67" s="23">
        <f>SUM(E65:E66)</f>
        <v>12676300</v>
      </c>
      <c r="F67" s="23">
        <f>SUM(F65:F66)</f>
        <v>1225730</v>
      </c>
      <c r="G67" s="23">
        <f>SUM(G65:G66)</f>
        <v>11450570</v>
      </c>
      <c r="H67" s="23">
        <f>SUM(H65:H66)</f>
        <v>12676300</v>
      </c>
      <c r="I67"/>
    </row>
    <row r="68" spans="1:16" ht="15.75" thickTop="1" x14ac:dyDescent="0.25">
      <c r="H68"/>
      <c r="I68"/>
    </row>
    <row r="69" spans="1:16" x14ac:dyDescent="0.25">
      <c r="H69"/>
      <c r="I69"/>
    </row>
    <row r="70" spans="1:16" x14ac:dyDescent="0.25">
      <c r="B70" s="48" t="s">
        <v>26</v>
      </c>
      <c r="C70" s="48"/>
      <c r="D70" s="48"/>
      <c r="E70" s="48"/>
      <c r="F70" s="48"/>
      <c r="G70" s="48"/>
      <c r="H70" s="48"/>
      <c r="I70"/>
    </row>
    <row r="71" spans="1:16" x14ac:dyDescent="0.25">
      <c r="C71" s="27"/>
      <c r="D71" s="26" t="s">
        <v>23</v>
      </c>
      <c r="E71" s="26" t="s">
        <v>24</v>
      </c>
      <c r="F71" s="48" t="s">
        <v>27</v>
      </c>
      <c r="G71" s="48"/>
      <c r="H71" s="26" t="s">
        <v>5</v>
      </c>
      <c r="I71"/>
    </row>
    <row r="72" spans="1:16" x14ac:dyDescent="0.25">
      <c r="B72" s="14" t="s">
        <v>18</v>
      </c>
      <c r="C72" s="8">
        <f>C65</f>
        <v>15000</v>
      </c>
      <c r="D72" s="25">
        <f>D67</f>
        <v>96</v>
      </c>
      <c r="E72" s="25">
        <f>F67</f>
        <v>1225730</v>
      </c>
      <c r="F72" s="28">
        <f>'[1]Year 1 Rate Comp'!L25</f>
        <v>228.77</v>
      </c>
      <c r="G72" t="s">
        <v>28</v>
      </c>
      <c r="H72" s="28">
        <f>F72*D72</f>
        <v>21961.920000000002</v>
      </c>
      <c r="I72"/>
    </row>
    <row r="73" spans="1:16" x14ac:dyDescent="0.25">
      <c r="B73" s="14" t="s">
        <v>20</v>
      </c>
      <c r="C73" s="8">
        <f>C66</f>
        <v>15000</v>
      </c>
      <c r="D73" s="27"/>
      <c r="E73" s="32">
        <f>G66</f>
        <v>11450570</v>
      </c>
      <c r="F73" s="29">
        <f>'[1]Year 1 Rate Comp'!L26</f>
        <v>1.2279999999999999E-2</v>
      </c>
      <c r="G73" t="s">
        <v>29</v>
      </c>
      <c r="H73" s="30">
        <f>ROUND(E73*F73,2)</f>
        <v>140613</v>
      </c>
      <c r="I73"/>
      <c r="P73" s="31">
        <v>9.2899999999999991</v>
      </c>
    </row>
    <row r="74" spans="1:16" ht="15.75" thickBot="1" x14ac:dyDescent="0.3">
      <c r="C74" t="s">
        <v>30</v>
      </c>
      <c r="E74" s="23">
        <f>SUM(E72:E73)</f>
        <v>12676300</v>
      </c>
      <c r="H74" s="33">
        <f>SUM(H72:H73)</f>
        <v>162574.92000000001</v>
      </c>
      <c r="I74"/>
    </row>
    <row r="75" spans="1:16" ht="15.75" thickTop="1" x14ac:dyDescent="0.25"/>
    <row r="76" spans="1:16" x14ac:dyDescent="0.25">
      <c r="A76" t="s">
        <v>16</v>
      </c>
      <c r="B76" s="4" t="s">
        <v>9</v>
      </c>
      <c r="H76"/>
      <c r="I76"/>
    </row>
    <row r="77" spans="1:16" x14ac:dyDescent="0.25">
      <c r="B77" s="14"/>
      <c r="C77" s="14"/>
      <c r="D77" s="14"/>
      <c r="E77" s="14"/>
      <c r="F77" s="14" t="s">
        <v>18</v>
      </c>
      <c r="G77" s="14" t="s">
        <v>20</v>
      </c>
      <c r="H77" s="14" t="s">
        <v>21</v>
      </c>
      <c r="I77"/>
    </row>
    <row r="78" spans="1:16" x14ac:dyDescent="0.25">
      <c r="B78" s="14"/>
      <c r="C78" s="5" t="s">
        <v>22</v>
      </c>
      <c r="D78" s="5" t="s">
        <v>23</v>
      </c>
      <c r="E78" s="5" t="s">
        <v>24</v>
      </c>
      <c r="F78" s="12">
        <f>C79</f>
        <v>100000</v>
      </c>
      <c r="G78" s="21">
        <f>SUM(F78:F78)</f>
        <v>100000</v>
      </c>
      <c r="H78" s="5"/>
      <c r="I78"/>
    </row>
    <row r="79" spans="1:16" x14ac:dyDescent="0.25">
      <c r="B79" s="14" t="s">
        <v>18</v>
      </c>
      <c r="C79" s="19">
        <v>100000</v>
      </c>
      <c r="D79" s="8">
        <v>8</v>
      </c>
      <c r="E79" s="8">
        <v>382380</v>
      </c>
      <c r="F79" s="8">
        <f>E79</f>
        <v>382380</v>
      </c>
      <c r="G79" s="8">
        <v>0</v>
      </c>
      <c r="H79" s="8">
        <f>SUM(F79:G79)</f>
        <v>382380</v>
      </c>
      <c r="I79"/>
    </row>
    <row r="80" spans="1:16" x14ac:dyDescent="0.25">
      <c r="B80" s="14" t="s">
        <v>20</v>
      </c>
      <c r="C80" s="19">
        <f>SUM(C79:C79)</f>
        <v>100000</v>
      </c>
      <c r="D80" s="8">
        <v>4</v>
      </c>
      <c r="E80" s="8">
        <v>754330</v>
      </c>
      <c r="F80" s="8">
        <f>$D80*F$78</f>
        <v>400000</v>
      </c>
      <c r="G80" s="8">
        <f>E80-F80</f>
        <v>354330</v>
      </c>
      <c r="H80" s="8">
        <f>SUM(F80:G80)</f>
        <v>754330</v>
      </c>
      <c r="I80"/>
    </row>
    <row r="81" spans="1:16" ht="15.75" thickBot="1" x14ac:dyDescent="0.3">
      <c r="B81" s="14"/>
      <c r="C81" t="s">
        <v>25</v>
      </c>
      <c r="D81" s="23">
        <f>SUM(D79:D80)</f>
        <v>12</v>
      </c>
      <c r="E81" s="23">
        <f>SUM(E79:E80)</f>
        <v>1136710</v>
      </c>
      <c r="F81" s="23">
        <f>SUM(F79:F80)</f>
        <v>782380</v>
      </c>
      <c r="G81" s="23">
        <f>SUM(G79:G80)</f>
        <v>354330</v>
      </c>
      <c r="H81" s="23">
        <f>SUM(H79:H80)</f>
        <v>1136710</v>
      </c>
      <c r="I81"/>
    </row>
    <row r="82" spans="1:16" ht="15.75" thickTop="1" x14ac:dyDescent="0.25">
      <c r="H82"/>
      <c r="I82"/>
    </row>
    <row r="83" spans="1:16" x14ac:dyDescent="0.25">
      <c r="H83"/>
      <c r="I83"/>
    </row>
    <row r="84" spans="1:16" x14ac:dyDescent="0.25">
      <c r="B84" s="48" t="s">
        <v>26</v>
      </c>
      <c r="C84" s="48"/>
      <c r="D84" s="48"/>
      <c r="E84" s="48"/>
      <c r="F84" s="48"/>
      <c r="G84" s="48"/>
      <c r="H84" s="48"/>
      <c r="I84"/>
    </row>
    <row r="85" spans="1:16" x14ac:dyDescent="0.25">
      <c r="C85" s="27"/>
      <c r="D85" s="26" t="s">
        <v>23</v>
      </c>
      <c r="E85" s="26" t="s">
        <v>24</v>
      </c>
      <c r="F85" s="48" t="s">
        <v>27</v>
      </c>
      <c r="G85" s="48"/>
      <c r="H85" s="26" t="s">
        <v>5</v>
      </c>
      <c r="I85"/>
    </row>
    <row r="86" spans="1:16" x14ac:dyDescent="0.25">
      <c r="B86" s="14" t="s">
        <v>18</v>
      </c>
      <c r="C86" s="8">
        <f>C79</f>
        <v>100000</v>
      </c>
      <c r="D86" s="25">
        <f>D81</f>
        <v>12</v>
      </c>
      <c r="E86" s="25">
        <f>F81</f>
        <v>782380</v>
      </c>
      <c r="F86" s="28">
        <f>'[1]Year 1 Rate Comp'!L29</f>
        <v>1281.1199999999999</v>
      </c>
      <c r="G86" t="s">
        <v>28</v>
      </c>
      <c r="H86" s="28">
        <f>F86*D86</f>
        <v>15373.439999999999</v>
      </c>
      <c r="I86"/>
    </row>
    <row r="87" spans="1:16" x14ac:dyDescent="0.25">
      <c r="B87" s="14" t="s">
        <v>20</v>
      </c>
      <c r="C87" s="8">
        <f>C80</f>
        <v>100000</v>
      </c>
      <c r="D87" s="27"/>
      <c r="E87" s="32">
        <f>G80</f>
        <v>354330</v>
      </c>
      <c r="F87" s="29">
        <f>'[1]Year 1 Rate Comp'!L30</f>
        <v>1.2279999999999999E-2</v>
      </c>
      <c r="G87" t="s">
        <v>29</v>
      </c>
      <c r="H87" s="30">
        <f>ROUND(E87*F87,2)</f>
        <v>4351.17</v>
      </c>
      <c r="I87"/>
      <c r="P87" s="31">
        <v>9.2899999999999991</v>
      </c>
    </row>
    <row r="88" spans="1:16" ht="15.75" thickBot="1" x14ac:dyDescent="0.3">
      <c r="C88" t="s">
        <v>30</v>
      </c>
      <c r="E88" s="23">
        <f>SUM(E86:E87)</f>
        <v>1136710</v>
      </c>
      <c r="H88" s="33">
        <f>SUM(H86:H87)</f>
        <v>19724.61</v>
      </c>
      <c r="I88"/>
    </row>
    <row r="89" spans="1:16" ht="15.75" thickTop="1" x14ac:dyDescent="0.25"/>
    <row r="90" spans="1:16" x14ac:dyDescent="0.25">
      <c r="A90" t="s">
        <v>16</v>
      </c>
      <c r="B90" s="4" t="s">
        <v>32</v>
      </c>
      <c r="H90"/>
      <c r="I90"/>
    </row>
    <row r="91" spans="1:16" x14ac:dyDescent="0.25">
      <c r="H91"/>
      <c r="I91"/>
    </row>
    <row r="92" spans="1:16" x14ac:dyDescent="0.25">
      <c r="B92" s="14"/>
      <c r="C92" s="14"/>
      <c r="D92" s="14"/>
      <c r="E92" s="14"/>
      <c r="H92"/>
      <c r="I92"/>
    </row>
    <row r="93" spans="1:16" x14ac:dyDescent="0.25">
      <c r="B93" s="14"/>
      <c r="C93" s="5" t="s">
        <v>22</v>
      </c>
      <c r="D93" s="5" t="s">
        <v>23</v>
      </c>
      <c r="E93" s="5" t="s">
        <v>24</v>
      </c>
      <c r="H93"/>
      <c r="I93"/>
    </row>
    <row r="94" spans="1:16" x14ac:dyDescent="0.25">
      <c r="B94" s="14" t="s">
        <v>20</v>
      </c>
      <c r="C94" s="19">
        <v>6280000</v>
      </c>
      <c r="D94" s="8">
        <v>12</v>
      </c>
      <c r="E94" s="8">
        <v>6280000</v>
      </c>
      <c r="H94"/>
      <c r="I94"/>
    </row>
    <row r="95" spans="1:16" ht="15.75" thickBot="1" x14ac:dyDescent="0.3">
      <c r="B95" s="14"/>
      <c r="C95" t="s">
        <v>25</v>
      </c>
      <c r="D95" s="23">
        <f>SUM(D94:D94)</f>
        <v>12</v>
      </c>
      <c r="E95" s="23">
        <f>SUM(E94:E94)</f>
        <v>6280000</v>
      </c>
      <c r="H95"/>
      <c r="I95"/>
    </row>
    <row r="96" spans="1:16" ht="15.75" thickTop="1" x14ac:dyDescent="0.25">
      <c r="H96"/>
      <c r="I96"/>
    </row>
    <row r="97" spans="2:16" x14ac:dyDescent="0.25">
      <c r="H97"/>
      <c r="I97"/>
    </row>
    <row r="98" spans="2:16" x14ac:dyDescent="0.25">
      <c r="B98" s="48" t="s">
        <v>26</v>
      </c>
      <c r="C98" s="48"/>
      <c r="D98" s="48"/>
      <c r="E98" s="48"/>
      <c r="F98" s="48"/>
      <c r="G98" s="48"/>
      <c r="H98" s="48"/>
      <c r="I98"/>
    </row>
    <row r="99" spans="2:16" x14ac:dyDescent="0.25">
      <c r="C99" s="27"/>
      <c r="D99" s="26" t="s">
        <v>23</v>
      </c>
      <c r="E99" s="26" t="s">
        <v>24</v>
      </c>
      <c r="F99" s="48" t="s">
        <v>27</v>
      </c>
      <c r="G99" s="48"/>
      <c r="H99" s="26" t="s">
        <v>5</v>
      </c>
      <c r="I99"/>
    </row>
    <row r="100" spans="2:16" x14ac:dyDescent="0.25">
      <c r="B100" s="14" t="s">
        <v>24</v>
      </c>
      <c r="C100" s="8"/>
      <c r="D100" s="32">
        <f>D95</f>
        <v>12</v>
      </c>
      <c r="E100" s="32">
        <f>E95</f>
        <v>6280000</v>
      </c>
      <c r="F100" s="29">
        <f>'[1]Year 1 Rate Comp'!L33</f>
        <v>6.0099999999999997E-3</v>
      </c>
      <c r="G100" t="s">
        <v>29</v>
      </c>
      <c r="H100" s="30">
        <f>ROUND(E100*F100,2)</f>
        <v>37742.800000000003</v>
      </c>
      <c r="I100"/>
      <c r="P100" s="31">
        <v>4.5199999999999996</v>
      </c>
    </row>
    <row r="101" spans="2:16" ht="15.75" thickBot="1" x14ac:dyDescent="0.3">
      <c r="C101" t="s">
        <v>30</v>
      </c>
      <c r="E101" s="23">
        <f>SUM(E100:E100)</f>
        <v>6280000</v>
      </c>
      <c r="H101" s="33">
        <f>SUM(H100:H100)</f>
        <v>37742.800000000003</v>
      </c>
      <c r="I101"/>
    </row>
    <row r="102" spans="2:16" ht="15.75" thickTop="1" x14ac:dyDescent="0.25"/>
  </sheetData>
  <mergeCells count="17">
    <mergeCell ref="F71:G71"/>
    <mergeCell ref="B84:H84"/>
    <mergeCell ref="F85:G85"/>
    <mergeCell ref="B98:H98"/>
    <mergeCell ref="F99:G99"/>
    <mergeCell ref="C8:D8"/>
    <mergeCell ref="B34:H34"/>
    <mergeCell ref="F35:G35"/>
    <mergeCell ref="B54:H54"/>
    <mergeCell ref="F55:G55"/>
    <mergeCell ref="B70:H70"/>
    <mergeCell ref="A1:K1"/>
    <mergeCell ref="A2:K2"/>
    <mergeCell ref="A3:K3"/>
    <mergeCell ref="A4:K4"/>
    <mergeCell ref="C6:D6"/>
    <mergeCell ref="C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28A80-04A0-42D6-8E9D-A8B34B4DEB80}">
  <dimension ref="A1:P102"/>
  <sheetViews>
    <sheetView tabSelected="1" workbookViewId="0">
      <selection activeCell="H20" sqref="H20"/>
    </sheetView>
  </sheetViews>
  <sheetFormatPr defaultColWidth="19" defaultRowHeight="15" x14ac:dyDescent="0.25"/>
  <cols>
    <col min="8" max="9" width="19" style="7"/>
  </cols>
  <sheetData>
    <row r="1" spans="1:14" ht="18.75" x14ac:dyDescent="0.3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</row>
    <row r="2" spans="1:14" ht="18.75" x14ac:dyDescent="0.25">
      <c r="A2" s="52" t="str">
        <f>'[1]SAO - DSC'!C4</f>
        <v>Morgan County Water District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2"/>
      <c r="M2" s="2"/>
      <c r="N2" s="2"/>
    </row>
    <row r="3" spans="1:14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3"/>
      <c r="M3" s="3"/>
      <c r="N3" s="3"/>
    </row>
    <row r="4" spans="1:14" ht="18.75" x14ac:dyDescent="0.3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1"/>
      <c r="M4" s="1"/>
      <c r="N4" s="1"/>
    </row>
    <row r="6" spans="1:14" ht="15.75" x14ac:dyDescent="0.25">
      <c r="B6" s="4"/>
      <c r="C6" s="56" t="s">
        <v>2</v>
      </c>
      <c r="D6" s="56"/>
      <c r="F6" s="5" t="s">
        <v>3</v>
      </c>
      <c r="G6" s="5" t="s">
        <v>4</v>
      </c>
      <c r="H6" s="6" t="s">
        <v>5</v>
      </c>
      <c r="M6" s="17" t="s">
        <v>42</v>
      </c>
      <c r="N6" s="4">
        <f>H14</f>
        <v>2650383.9799999991</v>
      </c>
    </row>
    <row r="7" spans="1:14" ht="15.75" x14ac:dyDescent="0.25">
      <c r="B7" s="4"/>
      <c r="C7" s="57" t="s">
        <v>6</v>
      </c>
      <c r="D7" s="57"/>
      <c r="F7" s="8">
        <f>D36</f>
        <v>35191</v>
      </c>
      <c r="G7" s="8">
        <f>E41</f>
        <v>106282790</v>
      </c>
      <c r="H7" s="9">
        <f>H41</f>
        <v>2401777.5299999993</v>
      </c>
      <c r="M7" s="17" t="s">
        <v>43</v>
      </c>
      <c r="N7" s="4">
        <f>-'[1]Working Capital Phas-In'!P6</f>
        <v>-2648853.6902000001</v>
      </c>
    </row>
    <row r="8" spans="1:14" ht="15.75" x14ac:dyDescent="0.25">
      <c r="B8" s="4"/>
      <c r="C8" s="58" t="s">
        <v>7</v>
      </c>
      <c r="D8" s="58"/>
      <c r="F8" s="8">
        <f>D56</f>
        <v>200</v>
      </c>
      <c r="G8" s="8">
        <f>E60</f>
        <v>1076140</v>
      </c>
      <c r="H8" s="11">
        <f>H60</f>
        <v>27772.750000000007</v>
      </c>
      <c r="M8" s="17" t="s">
        <v>44</v>
      </c>
      <c r="N8" s="4">
        <f>SUM(N6:N7)</f>
        <v>1530.28979999898</v>
      </c>
    </row>
    <row r="9" spans="1:14" x14ac:dyDescent="0.25">
      <c r="B9" s="4"/>
      <c r="C9" s="10" t="s">
        <v>8</v>
      </c>
      <c r="D9" s="10"/>
      <c r="F9" s="8">
        <f>D72</f>
        <v>96</v>
      </c>
      <c r="G9" s="8">
        <f>E74</f>
        <v>12676300</v>
      </c>
      <c r="H9" s="11">
        <f>H74</f>
        <v>172102.85</v>
      </c>
    </row>
    <row r="10" spans="1:14" x14ac:dyDescent="0.25">
      <c r="B10" s="4"/>
      <c r="C10" s="10" t="s">
        <v>9</v>
      </c>
      <c r="D10" s="10"/>
      <c r="F10" s="8">
        <f>D86</f>
        <v>12</v>
      </c>
      <c r="G10" s="8">
        <f>E88</f>
        <v>1136710</v>
      </c>
      <c r="H10" s="11">
        <f>H88</f>
        <v>20878.05</v>
      </c>
    </row>
    <row r="11" spans="1:14" x14ac:dyDescent="0.25">
      <c r="B11" s="4"/>
      <c r="C11" s="10" t="s">
        <v>10</v>
      </c>
      <c r="D11" s="10"/>
      <c r="F11" s="12">
        <f>D100</f>
        <v>12</v>
      </c>
      <c r="G11" s="12">
        <f>E101</f>
        <v>6280000</v>
      </c>
      <c r="H11" s="13">
        <f>H101</f>
        <v>39940.800000000003</v>
      </c>
    </row>
    <row r="12" spans="1:14" x14ac:dyDescent="0.25">
      <c r="B12" s="4"/>
      <c r="C12" s="10" t="s">
        <v>11</v>
      </c>
      <c r="D12" s="10"/>
      <c r="F12" s="8">
        <f>SUM(F7:F11)</f>
        <v>35511</v>
      </c>
      <c r="G12" s="8">
        <f>SUM(G7:G11)</f>
        <v>127451940</v>
      </c>
      <c r="H12" s="11">
        <f>SUM(H7:H11)</f>
        <v>2662471.9799999991</v>
      </c>
    </row>
    <row r="13" spans="1:14" x14ac:dyDescent="0.25">
      <c r="B13" s="4"/>
      <c r="C13" s="10" t="s">
        <v>12</v>
      </c>
      <c r="D13" s="10"/>
      <c r="F13" s="14"/>
      <c r="G13" s="14"/>
      <c r="H13" s="13">
        <f>-ROUND('[1]BA Adj'!B5,0)</f>
        <v>-12088</v>
      </c>
    </row>
    <row r="14" spans="1:14" x14ac:dyDescent="0.25">
      <c r="B14" s="4"/>
      <c r="C14" s="10" t="s">
        <v>13</v>
      </c>
      <c r="D14" s="10"/>
      <c r="F14" s="14"/>
      <c r="G14" s="14"/>
      <c r="H14" s="11">
        <f>SUM(H12:H13)</f>
        <v>2650383.9799999991</v>
      </c>
    </row>
    <row r="15" spans="1:14" x14ac:dyDescent="0.25">
      <c r="B15" s="4"/>
      <c r="C15" s="15" t="s">
        <v>45</v>
      </c>
      <c r="D15" s="10"/>
      <c r="F15" s="14"/>
      <c r="G15" s="14"/>
      <c r="H15" s="13">
        <f>-'[1]PropBA - Interim Rates'!H14</f>
        <v>-2357785.2600000002</v>
      </c>
    </row>
    <row r="16" spans="1:14" ht="15.75" thickBot="1" x14ac:dyDescent="0.3">
      <c r="B16" s="4"/>
      <c r="C16" s="16" t="s">
        <v>15</v>
      </c>
      <c r="D16" s="16"/>
      <c r="H16" s="59">
        <f>SUM(H14:H15)</f>
        <v>292598.71999999881</v>
      </c>
    </row>
    <row r="17" spans="1:16" ht="15.75" thickTop="1" x14ac:dyDescent="0.25">
      <c r="B17" s="4"/>
      <c r="C17" s="16"/>
      <c r="D17" s="16"/>
      <c r="H17" s="60"/>
    </row>
    <row r="18" spans="1:16" x14ac:dyDescent="0.25">
      <c r="B18" s="4"/>
      <c r="C18" t="s">
        <v>48</v>
      </c>
      <c r="H18" s="36">
        <f>H14</f>
        <v>2650383.9799999991</v>
      </c>
    </row>
    <row r="19" spans="1:16" x14ac:dyDescent="0.25">
      <c r="B19" s="4"/>
      <c r="C19" t="s">
        <v>50</v>
      </c>
      <c r="H19" s="13">
        <v>-2648853.6902000001</v>
      </c>
    </row>
    <row r="20" spans="1:16" ht="15.75" thickBot="1" x14ac:dyDescent="0.3">
      <c r="B20" s="4"/>
      <c r="C20" t="s">
        <v>35</v>
      </c>
      <c r="H20" s="35">
        <f>SUM(H18:H19)</f>
        <v>1530.28979999898</v>
      </c>
    </row>
    <row r="21" spans="1:16" ht="15.75" thickTop="1" x14ac:dyDescent="0.25">
      <c r="B21" s="4"/>
    </row>
    <row r="22" spans="1:16" x14ac:dyDescent="0.25">
      <c r="B22" s="4"/>
    </row>
    <row r="23" spans="1:16" ht="15.75" x14ac:dyDescent="0.25">
      <c r="A23" t="s">
        <v>16</v>
      </c>
      <c r="B23" s="18" t="s">
        <v>17</v>
      </c>
    </row>
    <row r="24" spans="1:16" x14ac:dyDescent="0.25">
      <c r="B24" s="14"/>
      <c r="C24" s="14"/>
      <c r="D24" s="14"/>
      <c r="E24" s="14"/>
      <c r="F24" s="14" t="s">
        <v>18</v>
      </c>
      <c r="G24" s="14" t="s">
        <v>19</v>
      </c>
      <c r="H24" s="19" t="s">
        <v>19</v>
      </c>
      <c r="I24" s="19" t="s">
        <v>19</v>
      </c>
      <c r="J24" s="14" t="s">
        <v>20</v>
      </c>
      <c r="K24" s="14" t="s">
        <v>21</v>
      </c>
      <c r="L24" s="14"/>
      <c r="M24" s="14"/>
      <c r="N24" s="14"/>
    </row>
    <row r="25" spans="1:16" x14ac:dyDescent="0.25">
      <c r="B25" s="14"/>
      <c r="C25" s="5" t="s">
        <v>22</v>
      </c>
      <c r="D25" s="5" t="s">
        <v>23</v>
      </c>
      <c r="E25" s="5" t="s">
        <v>24</v>
      </c>
      <c r="F25" s="20">
        <f>C26</f>
        <v>2000</v>
      </c>
      <c r="G25" s="12">
        <f>C27</f>
        <v>3000</v>
      </c>
      <c r="H25" s="6">
        <f>C29</f>
        <v>5000</v>
      </c>
      <c r="I25" s="6">
        <f>C29</f>
        <v>5000</v>
      </c>
      <c r="J25" s="21">
        <f>SUM(F25:H25)</f>
        <v>10000</v>
      </c>
      <c r="K25" s="5"/>
      <c r="L25" s="14"/>
      <c r="M25" s="14"/>
      <c r="N25" s="14"/>
    </row>
    <row r="26" spans="1:16" x14ac:dyDescent="0.25">
      <c r="B26" s="14" t="s">
        <v>18</v>
      </c>
      <c r="C26" s="19">
        <v>2000</v>
      </c>
      <c r="D26" s="8">
        <v>14898</v>
      </c>
      <c r="E26" s="8">
        <v>14083390</v>
      </c>
      <c r="F26" s="8">
        <f>E26</f>
        <v>14083390</v>
      </c>
      <c r="G26" s="8">
        <v>0</v>
      </c>
      <c r="H26" s="22">
        <v>0</v>
      </c>
      <c r="I26" s="22"/>
      <c r="J26" s="8">
        <v>0</v>
      </c>
      <c r="K26" s="8">
        <f>SUM(F26:J26)</f>
        <v>14083390</v>
      </c>
      <c r="L26" s="8"/>
      <c r="M26" s="8"/>
      <c r="N26" s="8"/>
    </row>
    <row r="27" spans="1:16" x14ac:dyDescent="0.25">
      <c r="B27" s="14" t="s">
        <v>19</v>
      </c>
      <c r="C27" s="19">
        <v>3000</v>
      </c>
      <c r="D27" s="8">
        <v>15472</v>
      </c>
      <c r="E27" s="8">
        <v>49891280</v>
      </c>
      <c r="F27" s="8">
        <f>$D27*F$25</f>
        <v>30944000</v>
      </c>
      <c r="G27" s="8">
        <f>E27-F27</f>
        <v>18947280</v>
      </c>
      <c r="H27" s="22">
        <v>0</v>
      </c>
      <c r="I27" s="22"/>
      <c r="J27" s="8">
        <v>0</v>
      </c>
      <c r="K27" s="8">
        <f t="shared" ref="K27:K30" si="0">SUM(F27:J27)</f>
        <v>49891280</v>
      </c>
      <c r="L27" s="8"/>
      <c r="M27" s="8"/>
      <c r="N27" s="8"/>
      <c r="O27" s="8">
        <f>SUM(G27:K27)</f>
        <v>68838560</v>
      </c>
      <c r="P27" s="8">
        <f>SUM(H27:O27)</f>
        <v>118729840</v>
      </c>
    </row>
    <row r="28" spans="1:16" x14ac:dyDescent="0.25">
      <c r="B28" s="14" t="s">
        <v>19</v>
      </c>
      <c r="C28" s="19">
        <v>5000</v>
      </c>
      <c r="D28" s="8">
        <v>3998</v>
      </c>
      <c r="E28" s="8">
        <v>26273360</v>
      </c>
      <c r="F28" s="8">
        <f>$D28*F$25</f>
        <v>7996000</v>
      </c>
      <c r="G28" s="8">
        <f>$D28*G$25</f>
        <v>11994000</v>
      </c>
      <c r="H28" s="22">
        <f>E28-F28-G28</f>
        <v>6283360</v>
      </c>
      <c r="I28" s="22"/>
      <c r="J28" s="8"/>
      <c r="K28" s="8">
        <f t="shared" si="0"/>
        <v>26273360</v>
      </c>
      <c r="L28" s="8"/>
      <c r="M28" s="8"/>
      <c r="N28" s="8"/>
    </row>
    <row r="29" spans="1:16" x14ac:dyDescent="0.25">
      <c r="B29" s="14" t="s">
        <v>19</v>
      </c>
      <c r="C29" s="19">
        <v>5000</v>
      </c>
      <c r="D29" s="8">
        <v>504</v>
      </c>
      <c r="E29" s="8">
        <v>5985670</v>
      </c>
      <c r="F29" s="8">
        <f t="shared" ref="F29:I30" si="1">$D29*F$25</f>
        <v>1008000</v>
      </c>
      <c r="G29" s="8">
        <f t="shared" si="1"/>
        <v>1512000</v>
      </c>
      <c r="H29" s="8">
        <f t="shared" si="1"/>
        <v>2520000</v>
      </c>
      <c r="I29" s="8">
        <f>E29-F29-G29-H29</f>
        <v>945670</v>
      </c>
      <c r="J29" s="8">
        <v>0</v>
      </c>
      <c r="K29" s="8">
        <f t="shared" si="0"/>
        <v>5985670</v>
      </c>
      <c r="L29" s="8"/>
      <c r="M29" s="8"/>
      <c r="N29" s="8"/>
    </row>
    <row r="30" spans="1:16" x14ac:dyDescent="0.25">
      <c r="B30" s="14" t="s">
        <v>20</v>
      </c>
      <c r="C30" s="19">
        <f>SUM(C26:C29)</f>
        <v>15000</v>
      </c>
      <c r="D30" s="8">
        <v>319</v>
      </c>
      <c r="E30" s="8">
        <v>10049090</v>
      </c>
      <c r="F30" s="8">
        <f t="shared" si="1"/>
        <v>638000</v>
      </c>
      <c r="G30" s="8">
        <f t="shared" si="1"/>
        <v>957000</v>
      </c>
      <c r="H30" s="8">
        <f t="shared" si="1"/>
        <v>1595000</v>
      </c>
      <c r="I30" s="8">
        <f t="shared" si="1"/>
        <v>1595000</v>
      </c>
      <c r="J30" s="8">
        <f>E30-F30-G30-H30-I30</f>
        <v>5264090</v>
      </c>
      <c r="K30" s="8">
        <f t="shared" si="0"/>
        <v>10049090</v>
      </c>
      <c r="L30" s="8"/>
      <c r="M30" s="8"/>
      <c r="N30" s="8"/>
    </row>
    <row r="31" spans="1:16" ht="15.75" thickBot="1" x14ac:dyDescent="0.3">
      <c r="B31" s="14"/>
      <c r="C31" t="s">
        <v>25</v>
      </c>
      <c r="D31" s="23">
        <f t="shared" ref="D31:K31" si="2">SUM(D26:D30)</f>
        <v>35191</v>
      </c>
      <c r="E31" s="23">
        <f t="shared" si="2"/>
        <v>106282790</v>
      </c>
      <c r="F31" s="23">
        <f t="shared" si="2"/>
        <v>54669390</v>
      </c>
      <c r="G31" s="23">
        <f t="shared" si="2"/>
        <v>33410280</v>
      </c>
      <c r="H31" s="24">
        <f t="shared" si="2"/>
        <v>10398360</v>
      </c>
      <c r="I31" s="24">
        <f t="shared" si="2"/>
        <v>2540670</v>
      </c>
      <c r="J31" s="23">
        <f t="shared" si="2"/>
        <v>5264090</v>
      </c>
      <c r="K31" s="23">
        <f t="shared" si="2"/>
        <v>106282790</v>
      </c>
      <c r="L31" s="25"/>
      <c r="M31" s="25"/>
      <c r="N31" s="25"/>
    </row>
    <row r="32" spans="1:16" ht="15.75" thickTop="1" x14ac:dyDescent="0.25"/>
    <row r="34" spans="1:16" x14ac:dyDescent="0.25">
      <c r="B34" s="48" t="s">
        <v>26</v>
      </c>
      <c r="C34" s="48"/>
      <c r="D34" s="48"/>
      <c r="E34" s="48"/>
      <c r="F34" s="48"/>
      <c r="G34" s="48"/>
      <c r="H34" s="48"/>
    </row>
    <row r="35" spans="1:16" x14ac:dyDescent="0.25">
      <c r="C35" s="27"/>
      <c r="D35" s="26" t="s">
        <v>23</v>
      </c>
      <c r="E35" s="26" t="s">
        <v>24</v>
      </c>
      <c r="F35" s="48" t="s">
        <v>27</v>
      </c>
      <c r="G35" s="48"/>
      <c r="H35" s="26" t="s">
        <v>5</v>
      </c>
    </row>
    <row r="36" spans="1:16" x14ac:dyDescent="0.25">
      <c r="B36" s="14" t="s">
        <v>18</v>
      </c>
      <c r="C36" s="8">
        <f>C26</f>
        <v>2000</v>
      </c>
      <c r="D36" s="25">
        <f>D31</f>
        <v>35191</v>
      </c>
      <c r="E36" s="25">
        <f>F31</f>
        <v>54669390</v>
      </c>
      <c r="F36" s="28">
        <f>'[1]Year 2 Rate Comp'!L12</f>
        <v>44.959999999999994</v>
      </c>
      <c r="G36" t="s">
        <v>28</v>
      </c>
      <c r="H36" s="28">
        <f>F36*D36</f>
        <v>1582187.3599999999</v>
      </c>
    </row>
    <row r="37" spans="1:16" x14ac:dyDescent="0.25">
      <c r="B37" s="14" t="s">
        <v>19</v>
      </c>
      <c r="C37" s="8">
        <f>C27</f>
        <v>3000</v>
      </c>
      <c r="E37" s="25">
        <f>G31</f>
        <v>33410280</v>
      </c>
      <c r="F37" s="29">
        <f>'[1]Year 2 Rate Comp'!L13</f>
        <v>1.6610000000000003E-2</v>
      </c>
      <c r="G37" t="s">
        <v>29</v>
      </c>
      <c r="H37" s="30">
        <f>ROUND(E37*F37,2)</f>
        <v>554944.75</v>
      </c>
      <c r="P37" s="31">
        <v>11.86</v>
      </c>
    </row>
    <row r="38" spans="1:16" x14ac:dyDescent="0.25">
      <c r="B38" s="14" t="s">
        <v>19</v>
      </c>
      <c r="C38" s="8">
        <f>C29</f>
        <v>5000</v>
      </c>
      <c r="E38" s="25">
        <f>H31</f>
        <v>10398360</v>
      </c>
      <c r="F38" s="29">
        <f>'[1]Year 2 Rate Comp'!L14</f>
        <v>1.5399999999999999E-2</v>
      </c>
      <c r="G38" t="s">
        <v>29</v>
      </c>
      <c r="H38" s="30">
        <f>ROUND(E38*F38,2)</f>
        <v>160134.74</v>
      </c>
      <c r="P38" s="31">
        <v>11</v>
      </c>
    </row>
    <row r="39" spans="1:16" x14ac:dyDescent="0.25">
      <c r="B39" s="14" t="s">
        <v>19</v>
      </c>
      <c r="C39" s="8">
        <v>5000</v>
      </c>
      <c r="E39" s="25">
        <f>I31</f>
        <v>2540670</v>
      </c>
      <c r="F39" s="29">
        <f>'[1]Year 2 Rate Comp'!L15</f>
        <v>1.4199999999999999E-2</v>
      </c>
      <c r="G39" t="s">
        <v>29</v>
      </c>
      <c r="H39" s="30">
        <f>ROUND(E39*F39,2)</f>
        <v>36077.51</v>
      </c>
      <c r="P39" s="31">
        <v>10.15</v>
      </c>
    </row>
    <row r="40" spans="1:16" x14ac:dyDescent="0.25">
      <c r="B40" s="14" t="s">
        <v>20</v>
      </c>
      <c r="C40" s="8">
        <f>C30</f>
        <v>15000</v>
      </c>
      <c r="D40" s="27"/>
      <c r="E40" s="32">
        <f>J30</f>
        <v>5264090</v>
      </c>
      <c r="F40" s="29">
        <f>'[1]Year 2 Rate Comp'!L16</f>
        <v>1.2999999999999999E-2</v>
      </c>
      <c r="G40" t="s">
        <v>29</v>
      </c>
      <c r="H40" s="30">
        <f>ROUND(E40*F40,2)</f>
        <v>68433.17</v>
      </c>
      <c r="P40" s="31">
        <v>9.2899999999999991</v>
      </c>
    </row>
    <row r="41" spans="1:16" ht="15.75" thickBot="1" x14ac:dyDescent="0.3">
      <c r="C41" t="s">
        <v>30</v>
      </c>
      <c r="E41" s="23">
        <f>SUM(E36:E40)</f>
        <v>106282790</v>
      </c>
      <c r="H41" s="33">
        <f>SUM(H36:H40)</f>
        <v>2401777.5299999993</v>
      </c>
      <c r="K41" t="s">
        <v>31</v>
      </c>
    </row>
    <row r="42" spans="1:16" ht="15.75" thickTop="1" x14ac:dyDescent="0.25"/>
    <row r="44" spans="1:16" x14ac:dyDescent="0.25">
      <c r="A44" t="s">
        <v>16</v>
      </c>
      <c r="B44" s="4" t="s">
        <v>7</v>
      </c>
      <c r="I44"/>
    </row>
    <row r="45" spans="1:16" x14ac:dyDescent="0.25">
      <c r="B45" s="14"/>
      <c r="C45" s="14"/>
      <c r="D45" s="14"/>
      <c r="E45" s="14"/>
      <c r="F45" s="14" t="s">
        <v>18</v>
      </c>
      <c r="G45" s="14" t="s">
        <v>19</v>
      </c>
      <c r="H45" s="19" t="s">
        <v>19</v>
      </c>
      <c r="I45" s="14" t="s">
        <v>20</v>
      </c>
      <c r="J45" s="14" t="s">
        <v>21</v>
      </c>
    </row>
    <row r="46" spans="1:16" x14ac:dyDescent="0.25">
      <c r="B46" s="14"/>
      <c r="C46" s="5" t="s">
        <v>22</v>
      </c>
      <c r="D46" s="5" t="s">
        <v>23</v>
      </c>
      <c r="E46" s="5" t="s">
        <v>24</v>
      </c>
      <c r="F46" s="12">
        <f>C47</f>
        <v>5000</v>
      </c>
      <c r="G46" s="12">
        <f>C48</f>
        <v>5000</v>
      </c>
      <c r="H46" s="6">
        <f>C48</f>
        <v>5000</v>
      </c>
      <c r="I46" s="21">
        <f>SUM(F46:H46)</f>
        <v>15000</v>
      </c>
      <c r="J46" s="5"/>
    </row>
    <row r="47" spans="1:16" x14ac:dyDescent="0.25">
      <c r="B47" s="14" t="s">
        <v>18</v>
      </c>
      <c r="C47" s="19">
        <v>5000</v>
      </c>
      <c r="D47" s="8">
        <v>173</v>
      </c>
      <c r="E47" s="8">
        <v>291950</v>
      </c>
      <c r="F47" s="8">
        <f>E47</f>
        <v>291950</v>
      </c>
      <c r="G47" s="8">
        <v>0</v>
      </c>
      <c r="H47" s="22">
        <v>0</v>
      </c>
      <c r="I47" s="8">
        <v>0</v>
      </c>
      <c r="J47" s="8">
        <f>SUM(F47:I47)</f>
        <v>291950</v>
      </c>
    </row>
    <row r="48" spans="1:16" x14ac:dyDescent="0.25">
      <c r="B48" s="14" t="s">
        <v>19</v>
      </c>
      <c r="C48" s="19">
        <v>5000</v>
      </c>
      <c r="D48" s="8">
        <v>15</v>
      </c>
      <c r="E48" s="8">
        <v>103990</v>
      </c>
      <c r="F48" s="8">
        <f>$D48*F$46</f>
        <v>75000</v>
      </c>
      <c r="G48" s="8">
        <f>E48-F48</f>
        <v>28990</v>
      </c>
      <c r="H48" s="22">
        <v>0</v>
      </c>
      <c r="I48" s="8">
        <v>0</v>
      </c>
      <c r="J48" s="8">
        <f>SUM(F48:I48)</f>
        <v>103990</v>
      </c>
      <c r="K48" s="8"/>
      <c r="L48" s="8"/>
      <c r="M48" s="8"/>
      <c r="N48" s="8"/>
      <c r="O48" s="8"/>
    </row>
    <row r="49" spans="1:16" x14ac:dyDescent="0.25">
      <c r="B49" s="14" t="s">
        <v>19</v>
      </c>
      <c r="C49" s="19">
        <v>5000</v>
      </c>
      <c r="D49" s="8">
        <v>2</v>
      </c>
      <c r="E49" s="8">
        <v>24750</v>
      </c>
      <c r="F49" s="8">
        <f t="shared" ref="F49:F50" si="3">$D49*F$46</f>
        <v>10000</v>
      </c>
      <c r="G49" s="8">
        <f>$D49*G$46</f>
        <v>10000</v>
      </c>
      <c r="H49" s="22">
        <f>E49-F49-G49</f>
        <v>4750</v>
      </c>
      <c r="I49" s="8"/>
      <c r="J49" s="8">
        <f>SUM(F49:I49)</f>
        <v>24750</v>
      </c>
    </row>
    <row r="50" spans="1:16" x14ac:dyDescent="0.25">
      <c r="B50" s="14" t="s">
        <v>20</v>
      </c>
      <c r="C50" s="19">
        <f>SUM(C47:C49)</f>
        <v>15000</v>
      </c>
      <c r="D50" s="8">
        <v>10</v>
      </c>
      <c r="E50" s="8">
        <v>655450</v>
      </c>
      <c r="F50" s="8">
        <f t="shared" si="3"/>
        <v>50000</v>
      </c>
      <c r="G50" s="8">
        <f>$D50*G$46</f>
        <v>50000</v>
      </c>
      <c r="H50" s="8">
        <f>$D50*H$46</f>
        <v>50000</v>
      </c>
      <c r="I50" s="8">
        <f>E50-F50-G50-H50</f>
        <v>505450</v>
      </c>
      <c r="J50" s="8">
        <f>SUM(F50:I50)</f>
        <v>655450</v>
      </c>
    </row>
    <row r="51" spans="1:16" ht="15.75" thickBot="1" x14ac:dyDescent="0.3">
      <c r="B51" s="14"/>
      <c r="C51" t="s">
        <v>25</v>
      </c>
      <c r="D51" s="23">
        <f t="shared" ref="D51:J51" si="4">SUM(D47:D50)</f>
        <v>200</v>
      </c>
      <c r="E51" s="23">
        <f t="shared" si="4"/>
        <v>1076140</v>
      </c>
      <c r="F51" s="23">
        <f t="shared" si="4"/>
        <v>426950</v>
      </c>
      <c r="G51" s="23">
        <f t="shared" si="4"/>
        <v>88990</v>
      </c>
      <c r="H51" s="24">
        <f t="shared" si="4"/>
        <v>54750</v>
      </c>
      <c r="I51" s="23">
        <f t="shared" si="4"/>
        <v>505450</v>
      </c>
      <c r="J51" s="23">
        <f t="shared" si="4"/>
        <v>1076140</v>
      </c>
    </row>
    <row r="52" spans="1:16" ht="15.75" thickTop="1" x14ac:dyDescent="0.25">
      <c r="I52"/>
    </row>
    <row r="53" spans="1:16" x14ac:dyDescent="0.25">
      <c r="I53"/>
    </row>
    <row r="54" spans="1:16" x14ac:dyDescent="0.25">
      <c r="B54" s="48" t="s">
        <v>26</v>
      </c>
      <c r="C54" s="48"/>
      <c r="D54" s="48"/>
      <c r="E54" s="48"/>
      <c r="F54" s="48"/>
      <c r="G54" s="48"/>
      <c r="H54" s="48"/>
      <c r="I54"/>
    </row>
    <row r="55" spans="1:16" x14ac:dyDescent="0.25">
      <c r="C55" s="27"/>
      <c r="D55" s="26" t="s">
        <v>23</v>
      </c>
      <c r="E55" s="26" t="s">
        <v>24</v>
      </c>
      <c r="F55" s="48" t="s">
        <v>27</v>
      </c>
      <c r="G55" s="48"/>
      <c r="H55" s="26" t="s">
        <v>5</v>
      </c>
      <c r="I55"/>
    </row>
    <row r="56" spans="1:16" x14ac:dyDescent="0.25">
      <c r="B56" s="14" t="s">
        <v>18</v>
      </c>
      <c r="C56" s="8">
        <f>C47</f>
        <v>5000</v>
      </c>
      <c r="D56" s="25">
        <f>D51</f>
        <v>200</v>
      </c>
      <c r="E56" s="25">
        <f>F51</f>
        <v>426950</v>
      </c>
      <c r="F56" s="28">
        <f>'[1]Year 2 Rate Comp'!L19</f>
        <v>95.27000000000001</v>
      </c>
      <c r="G56" t="s">
        <v>28</v>
      </c>
      <c r="H56" s="28">
        <f>F56*D56</f>
        <v>19054.000000000004</v>
      </c>
      <c r="I56"/>
    </row>
    <row r="57" spans="1:16" x14ac:dyDescent="0.25">
      <c r="B57" s="14" t="s">
        <v>19</v>
      </c>
      <c r="C57" s="8">
        <f>C48</f>
        <v>5000</v>
      </c>
      <c r="E57" s="25">
        <f>G51</f>
        <v>88990</v>
      </c>
      <c r="F57" s="29">
        <f>'[1]Year 2 Rate Comp'!L20</f>
        <v>1.5399999999999999E-2</v>
      </c>
      <c r="G57" t="s">
        <v>29</v>
      </c>
      <c r="H57" s="30">
        <f>ROUND(E57*F57,2)</f>
        <v>1370.45</v>
      </c>
      <c r="I57"/>
      <c r="P57" s="31">
        <v>11</v>
      </c>
    </row>
    <row r="58" spans="1:16" x14ac:dyDescent="0.25">
      <c r="B58" s="14" t="s">
        <v>19</v>
      </c>
      <c r="C58" s="8">
        <f>C49</f>
        <v>5000</v>
      </c>
      <c r="E58" s="25">
        <f>H51</f>
        <v>54750</v>
      </c>
      <c r="F58" s="29">
        <f>'[1]Year 2 Rate Comp'!L21</f>
        <v>1.4199999999999999E-2</v>
      </c>
      <c r="G58" t="s">
        <v>29</v>
      </c>
      <c r="H58" s="30">
        <f>ROUND(E58*F58,2)</f>
        <v>777.45</v>
      </c>
      <c r="I58"/>
      <c r="P58" s="31">
        <v>10.15</v>
      </c>
    </row>
    <row r="59" spans="1:16" x14ac:dyDescent="0.25">
      <c r="B59" s="14" t="s">
        <v>20</v>
      </c>
      <c r="C59" s="8">
        <f>C50</f>
        <v>15000</v>
      </c>
      <c r="D59" s="27"/>
      <c r="E59" s="32">
        <f>I50</f>
        <v>505450</v>
      </c>
      <c r="F59" s="29">
        <f>'[1]Year 2 Rate Comp'!L22</f>
        <v>1.2999999999999999E-2</v>
      </c>
      <c r="G59" t="s">
        <v>29</v>
      </c>
      <c r="H59" s="30">
        <f>ROUND(E59*F59,2)</f>
        <v>6570.85</v>
      </c>
      <c r="I59"/>
      <c r="P59" s="31">
        <v>9.2899999999999991</v>
      </c>
    </row>
    <row r="60" spans="1:16" ht="15.75" thickBot="1" x14ac:dyDescent="0.3">
      <c r="C60" t="s">
        <v>30</v>
      </c>
      <c r="E60" s="23">
        <f>SUM(E56:E59)</f>
        <v>1076140</v>
      </c>
      <c r="H60" s="33">
        <f>SUM(H56:H59)</f>
        <v>27772.750000000007</v>
      </c>
      <c r="I60"/>
      <c r="J60" t="s">
        <v>31</v>
      </c>
    </row>
    <row r="61" spans="1:16" ht="15.75" thickTop="1" x14ac:dyDescent="0.25"/>
    <row r="62" spans="1:16" x14ac:dyDescent="0.25">
      <c r="A62" t="s">
        <v>16</v>
      </c>
      <c r="B62" s="4" t="s">
        <v>8</v>
      </c>
      <c r="H62"/>
      <c r="I62"/>
    </row>
    <row r="63" spans="1:16" x14ac:dyDescent="0.25">
      <c r="B63" s="14"/>
      <c r="C63" s="14"/>
      <c r="D63" s="14"/>
      <c r="E63" s="14"/>
      <c r="F63" s="14" t="s">
        <v>18</v>
      </c>
      <c r="G63" s="14" t="s">
        <v>20</v>
      </c>
      <c r="H63" s="14" t="s">
        <v>21</v>
      </c>
      <c r="I63"/>
    </row>
    <row r="64" spans="1:16" x14ac:dyDescent="0.25">
      <c r="B64" s="14"/>
      <c r="C64" s="5" t="s">
        <v>22</v>
      </c>
      <c r="D64" s="5" t="s">
        <v>23</v>
      </c>
      <c r="E64" s="5" t="s">
        <v>24</v>
      </c>
      <c r="F64" s="12">
        <f>C65</f>
        <v>15000</v>
      </c>
      <c r="G64" s="21">
        <f>SUM(F64:F64)</f>
        <v>15000</v>
      </c>
      <c r="H64" s="5"/>
      <c r="I64"/>
    </row>
    <row r="65" spans="1:16" x14ac:dyDescent="0.25">
      <c r="B65" s="14" t="s">
        <v>18</v>
      </c>
      <c r="C65" s="19">
        <v>15000</v>
      </c>
      <c r="D65" s="8">
        <v>24</v>
      </c>
      <c r="E65" s="8">
        <v>145730</v>
      </c>
      <c r="F65" s="8">
        <f>E65</f>
        <v>145730</v>
      </c>
      <c r="G65" s="8">
        <v>0</v>
      </c>
      <c r="H65" s="8">
        <f>SUM(F65:G65)</f>
        <v>145730</v>
      </c>
      <c r="I65"/>
    </row>
    <row r="66" spans="1:16" x14ac:dyDescent="0.25">
      <c r="B66" s="14" t="s">
        <v>20</v>
      </c>
      <c r="C66" s="19">
        <f>SUM(C65:C65)</f>
        <v>15000</v>
      </c>
      <c r="D66" s="8">
        <v>72</v>
      </c>
      <c r="E66" s="8">
        <v>12530570</v>
      </c>
      <c r="F66" s="8">
        <f>$D66*F$64</f>
        <v>1080000</v>
      </c>
      <c r="G66" s="8">
        <f>E66-F66</f>
        <v>11450570</v>
      </c>
      <c r="H66" s="8">
        <f>SUM(F66:G66)</f>
        <v>12530570</v>
      </c>
      <c r="I66"/>
    </row>
    <row r="67" spans="1:16" ht="15.75" thickBot="1" x14ac:dyDescent="0.3">
      <c r="B67" s="14"/>
      <c r="C67" t="s">
        <v>25</v>
      </c>
      <c r="D67" s="23">
        <f>SUM(D65:D66)</f>
        <v>96</v>
      </c>
      <c r="E67" s="23">
        <f>SUM(E65:E66)</f>
        <v>12676300</v>
      </c>
      <c r="F67" s="23">
        <f>SUM(F65:F66)</f>
        <v>1225730</v>
      </c>
      <c r="G67" s="23">
        <f>SUM(G65:G66)</f>
        <v>11450570</v>
      </c>
      <c r="H67" s="23">
        <f>SUM(H65:H66)</f>
        <v>12676300</v>
      </c>
      <c r="I67"/>
    </row>
    <row r="68" spans="1:16" ht="15.75" thickTop="1" x14ac:dyDescent="0.25">
      <c r="H68"/>
      <c r="I68"/>
    </row>
    <row r="69" spans="1:16" x14ac:dyDescent="0.25">
      <c r="H69"/>
      <c r="I69"/>
    </row>
    <row r="70" spans="1:16" x14ac:dyDescent="0.25">
      <c r="B70" s="48" t="s">
        <v>26</v>
      </c>
      <c r="C70" s="48"/>
      <c r="D70" s="48"/>
      <c r="E70" s="48"/>
      <c r="F70" s="48"/>
      <c r="G70" s="48"/>
      <c r="H70" s="48"/>
      <c r="I70"/>
    </row>
    <row r="71" spans="1:16" x14ac:dyDescent="0.25">
      <c r="C71" s="27"/>
      <c r="D71" s="26" t="s">
        <v>23</v>
      </c>
      <c r="E71" s="26" t="s">
        <v>24</v>
      </c>
      <c r="F71" s="48" t="s">
        <v>27</v>
      </c>
      <c r="G71" s="48"/>
      <c r="H71" s="26" t="s">
        <v>5</v>
      </c>
      <c r="I71"/>
    </row>
    <row r="72" spans="1:16" x14ac:dyDescent="0.25">
      <c r="B72" s="14" t="s">
        <v>18</v>
      </c>
      <c r="C72" s="8">
        <f>C65</f>
        <v>15000</v>
      </c>
      <c r="D72" s="25">
        <f>D67</f>
        <v>96</v>
      </c>
      <c r="E72" s="25">
        <f>F67</f>
        <v>1225730</v>
      </c>
      <c r="F72" s="28">
        <f>'[1]Year 2 Rate Comp'!L25</f>
        <v>242.14000000000001</v>
      </c>
      <c r="G72" t="s">
        <v>28</v>
      </c>
      <c r="H72" s="28">
        <f>F72*D72</f>
        <v>23245.440000000002</v>
      </c>
      <c r="I72"/>
    </row>
    <row r="73" spans="1:16" x14ac:dyDescent="0.25">
      <c r="B73" s="14" t="s">
        <v>20</v>
      </c>
      <c r="C73" s="8">
        <f>C66</f>
        <v>15000</v>
      </c>
      <c r="D73" s="27"/>
      <c r="E73" s="32">
        <f>G66</f>
        <v>11450570</v>
      </c>
      <c r="F73" s="29">
        <f>'[1]Year 2 Rate Comp'!L26</f>
        <v>1.2999999999999999E-2</v>
      </c>
      <c r="G73" t="s">
        <v>29</v>
      </c>
      <c r="H73" s="30">
        <f>ROUND(E73*F73,2)</f>
        <v>148857.41</v>
      </c>
      <c r="I73"/>
      <c r="P73" s="31">
        <v>9.2899999999999991</v>
      </c>
    </row>
    <row r="74" spans="1:16" ht="15.75" thickBot="1" x14ac:dyDescent="0.3">
      <c r="C74" t="s">
        <v>30</v>
      </c>
      <c r="E74" s="23">
        <f>SUM(E72:E73)</f>
        <v>12676300</v>
      </c>
      <c r="H74" s="33">
        <f>SUM(H72:H73)</f>
        <v>172102.85</v>
      </c>
      <c r="I74"/>
    </row>
    <row r="75" spans="1:16" ht="15.75" thickTop="1" x14ac:dyDescent="0.25"/>
    <row r="76" spans="1:16" x14ac:dyDescent="0.25">
      <c r="A76" t="s">
        <v>16</v>
      </c>
      <c r="B76" s="4" t="s">
        <v>9</v>
      </c>
      <c r="H76"/>
      <c r="I76"/>
    </row>
    <row r="77" spans="1:16" x14ac:dyDescent="0.25">
      <c r="B77" s="14"/>
      <c r="C77" s="14"/>
      <c r="D77" s="14"/>
      <c r="E77" s="14"/>
      <c r="F77" s="14" t="s">
        <v>18</v>
      </c>
      <c r="G77" s="14" t="s">
        <v>20</v>
      </c>
      <c r="H77" s="14" t="s">
        <v>21</v>
      </c>
      <c r="I77"/>
    </row>
    <row r="78" spans="1:16" x14ac:dyDescent="0.25">
      <c r="B78" s="14"/>
      <c r="C78" s="5" t="s">
        <v>22</v>
      </c>
      <c r="D78" s="5" t="s">
        <v>23</v>
      </c>
      <c r="E78" s="5" t="s">
        <v>24</v>
      </c>
      <c r="F78" s="12">
        <f>C79</f>
        <v>100000</v>
      </c>
      <c r="G78" s="21">
        <f>SUM(F78:F78)</f>
        <v>100000</v>
      </c>
      <c r="H78" s="5"/>
      <c r="I78"/>
    </row>
    <row r="79" spans="1:16" x14ac:dyDescent="0.25">
      <c r="B79" s="14" t="s">
        <v>18</v>
      </c>
      <c r="C79" s="19">
        <v>100000</v>
      </c>
      <c r="D79" s="8">
        <v>8</v>
      </c>
      <c r="E79" s="8">
        <v>382380</v>
      </c>
      <c r="F79" s="8">
        <f>E79</f>
        <v>382380</v>
      </c>
      <c r="G79" s="8">
        <v>0</v>
      </c>
      <c r="H79" s="8">
        <f>SUM(F79:G79)</f>
        <v>382380</v>
      </c>
      <c r="I79"/>
    </row>
    <row r="80" spans="1:16" x14ac:dyDescent="0.25">
      <c r="B80" s="14" t="s">
        <v>20</v>
      </c>
      <c r="C80" s="19">
        <f>SUM(C79:C79)</f>
        <v>100000</v>
      </c>
      <c r="D80" s="8">
        <v>4</v>
      </c>
      <c r="E80" s="8">
        <v>754330</v>
      </c>
      <c r="F80" s="8">
        <f>$D80*F$78</f>
        <v>400000</v>
      </c>
      <c r="G80" s="8">
        <f>E80-F80</f>
        <v>354330</v>
      </c>
      <c r="H80" s="8">
        <f>SUM(F80:G80)</f>
        <v>754330</v>
      </c>
      <c r="I80"/>
    </row>
    <row r="81" spans="1:16" ht="15.75" thickBot="1" x14ac:dyDescent="0.3">
      <c r="B81" s="14"/>
      <c r="C81" t="s">
        <v>25</v>
      </c>
      <c r="D81" s="23">
        <f>SUM(D79:D80)</f>
        <v>12</v>
      </c>
      <c r="E81" s="23">
        <f>SUM(E79:E80)</f>
        <v>1136710</v>
      </c>
      <c r="F81" s="23">
        <f>SUM(F79:F80)</f>
        <v>782380</v>
      </c>
      <c r="G81" s="23">
        <f>SUM(G79:G80)</f>
        <v>354330</v>
      </c>
      <c r="H81" s="23">
        <f>SUM(H79:H80)</f>
        <v>1136710</v>
      </c>
      <c r="I81"/>
    </row>
    <row r="82" spans="1:16" ht="15.75" thickTop="1" x14ac:dyDescent="0.25">
      <c r="H82"/>
      <c r="I82"/>
    </row>
    <row r="83" spans="1:16" x14ac:dyDescent="0.25">
      <c r="H83"/>
      <c r="I83"/>
    </row>
    <row r="84" spans="1:16" x14ac:dyDescent="0.25">
      <c r="B84" s="48" t="s">
        <v>26</v>
      </c>
      <c r="C84" s="48"/>
      <c r="D84" s="48"/>
      <c r="E84" s="48"/>
      <c r="F84" s="48"/>
      <c r="G84" s="48"/>
      <c r="H84" s="48"/>
      <c r="I84"/>
    </row>
    <row r="85" spans="1:16" x14ac:dyDescent="0.25">
      <c r="C85" s="27"/>
      <c r="D85" s="26" t="s">
        <v>23</v>
      </c>
      <c r="E85" s="26" t="s">
        <v>24</v>
      </c>
      <c r="F85" s="48" t="s">
        <v>27</v>
      </c>
      <c r="G85" s="48"/>
      <c r="H85" s="26" t="s">
        <v>5</v>
      </c>
      <c r="I85"/>
    </row>
    <row r="86" spans="1:16" x14ac:dyDescent="0.25">
      <c r="B86" s="14" t="s">
        <v>18</v>
      </c>
      <c r="C86" s="8">
        <f>C79</f>
        <v>100000</v>
      </c>
      <c r="D86" s="25">
        <f>D81</f>
        <v>12</v>
      </c>
      <c r="E86" s="25">
        <f>F81</f>
        <v>782380</v>
      </c>
      <c r="F86" s="28">
        <f>'[1]Year 2 Rate Comp'!L29</f>
        <v>1355.9799999999998</v>
      </c>
      <c r="G86" t="s">
        <v>28</v>
      </c>
      <c r="H86" s="28">
        <f>F86*D86</f>
        <v>16271.759999999998</v>
      </c>
      <c r="I86"/>
    </row>
    <row r="87" spans="1:16" x14ac:dyDescent="0.25">
      <c r="B87" s="14" t="s">
        <v>20</v>
      </c>
      <c r="C87" s="8">
        <f>C80</f>
        <v>100000</v>
      </c>
      <c r="D87" s="27"/>
      <c r="E87" s="32">
        <f>G80</f>
        <v>354330</v>
      </c>
      <c r="F87" s="29">
        <f>'[1]Year 2 Rate Comp'!L30</f>
        <v>1.2999999999999999E-2</v>
      </c>
      <c r="G87" t="s">
        <v>29</v>
      </c>
      <c r="H87" s="30">
        <f>ROUND(E87*F87,2)</f>
        <v>4606.29</v>
      </c>
      <c r="I87"/>
      <c r="P87" s="31">
        <v>9.2899999999999991</v>
      </c>
    </row>
    <row r="88" spans="1:16" ht="15.75" thickBot="1" x14ac:dyDescent="0.3">
      <c r="C88" t="s">
        <v>30</v>
      </c>
      <c r="E88" s="23">
        <f>SUM(E86:E87)</f>
        <v>1136710</v>
      </c>
      <c r="H88" s="33">
        <f>SUM(H86:H87)</f>
        <v>20878.05</v>
      </c>
      <c r="I88"/>
    </row>
    <row r="89" spans="1:16" ht="15.75" thickTop="1" x14ac:dyDescent="0.25"/>
    <row r="90" spans="1:16" x14ac:dyDescent="0.25">
      <c r="A90" t="s">
        <v>16</v>
      </c>
      <c r="B90" s="4" t="s">
        <v>32</v>
      </c>
      <c r="H90"/>
      <c r="I90"/>
    </row>
    <row r="91" spans="1:16" x14ac:dyDescent="0.25">
      <c r="H91"/>
      <c r="I91"/>
    </row>
    <row r="92" spans="1:16" x14ac:dyDescent="0.25">
      <c r="B92" s="14"/>
      <c r="C92" s="14"/>
      <c r="D92" s="14"/>
      <c r="E92" s="14"/>
      <c r="H92"/>
      <c r="I92"/>
    </row>
    <row r="93" spans="1:16" x14ac:dyDescent="0.25">
      <c r="B93" s="14"/>
      <c r="C93" s="5" t="s">
        <v>22</v>
      </c>
      <c r="D93" s="5" t="s">
        <v>23</v>
      </c>
      <c r="E93" s="5" t="s">
        <v>24</v>
      </c>
      <c r="H93"/>
      <c r="I93"/>
    </row>
    <row r="94" spans="1:16" x14ac:dyDescent="0.25">
      <c r="B94" s="14" t="s">
        <v>20</v>
      </c>
      <c r="C94" s="19">
        <v>6280000</v>
      </c>
      <c r="D94" s="8">
        <v>12</v>
      </c>
      <c r="E94" s="8">
        <v>6280000</v>
      </c>
      <c r="H94"/>
      <c r="I94"/>
    </row>
    <row r="95" spans="1:16" ht="15.75" thickBot="1" x14ac:dyDescent="0.3">
      <c r="B95" s="14"/>
      <c r="C95" t="s">
        <v>25</v>
      </c>
      <c r="D95" s="23">
        <f>SUM(D94:D94)</f>
        <v>12</v>
      </c>
      <c r="E95" s="23">
        <f>SUM(E94:E94)</f>
        <v>6280000</v>
      </c>
      <c r="H95"/>
      <c r="I95"/>
    </row>
    <row r="96" spans="1:16" ht="15.75" thickTop="1" x14ac:dyDescent="0.25">
      <c r="H96"/>
      <c r="I96"/>
    </row>
    <row r="97" spans="2:16" x14ac:dyDescent="0.25">
      <c r="H97"/>
      <c r="I97"/>
    </row>
    <row r="98" spans="2:16" x14ac:dyDescent="0.25">
      <c r="B98" s="48" t="s">
        <v>26</v>
      </c>
      <c r="C98" s="48"/>
      <c r="D98" s="48"/>
      <c r="E98" s="48"/>
      <c r="F98" s="48"/>
      <c r="G98" s="48"/>
      <c r="H98" s="48"/>
      <c r="I98"/>
    </row>
    <row r="99" spans="2:16" x14ac:dyDescent="0.25">
      <c r="C99" s="27"/>
      <c r="D99" s="26" t="s">
        <v>23</v>
      </c>
      <c r="E99" s="26" t="s">
        <v>24</v>
      </c>
      <c r="F99" s="48" t="s">
        <v>27</v>
      </c>
      <c r="G99" s="48"/>
      <c r="H99" s="26" t="s">
        <v>5</v>
      </c>
      <c r="I99"/>
    </row>
    <row r="100" spans="2:16" x14ac:dyDescent="0.25">
      <c r="B100" s="14" t="s">
        <v>24</v>
      </c>
      <c r="C100" s="8"/>
      <c r="D100" s="32">
        <f>D95</f>
        <v>12</v>
      </c>
      <c r="E100" s="32">
        <f>E95</f>
        <v>6280000</v>
      </c>
      <c r="F100" s="29">
        <f>'[1]Year 2 Rate Comp'!L33</f>
        <v>6.3599999999999993E-3</v>
      </c>
      <c r="G100" t="s">
        <v>29</v>
      </c>
      <c r="H100" s="30">
        <f>ROUND(E100*F100,2)</f>
        <v>39940.800000000003</v>
      </c>
      <c r="I100"/>
      <c r="P100" s="31">
        <v>4.5199999999999996</v>
      </c>
    </row>
    <row r="101" spans="2:16" ht="15.75" thickBot="1" x14ac:dyDescent="0.3">
      <c r="C101" t="s">
        <v>30</v>
      </c>
      <c r="E101" s="23">
        <f>SUM(E100:E100)</f>
        <v>6280000</v>
      </c>
      <c r="H101" s="33">
        <f>SUM(H100:H100)</f>
        <v>39940.800000000003</v>
      </c>
      <c r="I101"/>
    </row>
    <row r="102" spans="2:16" ht="15.75" thickTop="1" x14ac:dyDescent="0.25"/>
  </sheetData>
  <mergeCells count="17">
    <mergeCell ref="F71:G71"/>
    <mergeCell ref="B84:H84"/>
    <mergeCell ref="F85:G85"/>
    <mergeCell ref="B98:H98"/>
    <mergeCell ref="F99:G99"/>
    <mergeCell ref="C8:D8"/>
    <mergeCell ref="B34:H34"/>
    <mergeCell ref="F35:G35"/>
    <mergeCell ref="B54:H54"/>
    <mergeCell ref="F55:G55"/>
    <mergeCell ref="B70:H70"/>
    <mergeCell ref="A1:K1"/>
    <mergeCell ref="A2:K2"/>
    <mergeCell ref="A3:K3"/>
    <mergeCell ref="A4:K4"/>
    <mergeCell ref="C6:D6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Proposed Rates - Application</vt:lpstr>
      <vt:lpstr>BA Adjustments</vt:lpstr>
      <vt:lpstr>Interim Rates</vt:lpstr>
      <vt:lpstr>Year 1 Rates</vt:lpstr>
      <vt:lpstr>Year 2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Frost</dc:creator>
  <cp:lastModifiedBy>Mark Frost</cp:lastModifiedBy>
  <dcterms:created xsi:type="dcterms:W3CDTF">2024-05-14T16:44:19Z</dcterms:created>
  <dcterms:modified xsi:type="dcterms:W3CDTF">2024-05-20T15:53:22Z</dcterms:modified>
</cp:coreProperties>
</file>