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Honaker Law Office\Clients\04685 - Morgan Co Water District\Drafts\ARF Application\Emergency Hearing\Post Hearing Brief\Final for Filing\"/>
    </mc:Choice>
  </mc:AlternateContent>
  <xr:revisionPtr revIDLastSave="0" documentId="13_ncr:1_{622458DA-35C9-4CC5-B7E8-903685FAF6A4}" xr6:coauthVersionLast="47" xr6:coauthVersionMax="47" xr10:uidLastSave="{00000000-0000-0000-0000-000000000000}"/>
  <bookViews>
    <workbookView xWindow="-120" yWindow="-120" windowWidth="29040" windowHeight="15840" xr2:uid="{66DCB12E-7761-47D1-A8C5-985704888B5C}"/>
  </bookViews>
  <sheets>
    <sheet name="SAO- DSC Revised - 3 Emp" sheetId="71" r:id="rId1"/>
    <sheet name="Working Capital Phas-In" sheetId="63" r:id="rId2"/>
    <sheet name="Adj" sheetId="16" r:id="rId3"/>
    <sheet name="Sheet1" sheetId="60" r:id="rId4"/>
    <sheet name="Surcharge" sheetId="57" r:id="rId5"/>
    <sheet name="Emp Sal &amp; Wages - Application" sheetId="72" r:id="rId6"/>
    <sheet name="New Employees" sheetId="73" r:id="rId7"/>
    <sheet name="Chaitable Cont" sheetId="75" r:id="rId8"/>
    <sheet name="Employee Meals" sheetId="76" r:id="rId9"/>
    <sheet name="Billing Software" sheetId="77" r:id="rId10"/>
    <sheet name="Anthem Aug 2023 Inv" sheetId="44" r:id="rId11"/>
    <sheet name="WatPurch" sheetId="23" r:id="rId12"/>
    <sheet name="Dep Adj - NARUCNwe Meters" sheetId="42" r:id="rId13"/>
    <sheet name="Avg Debt Service" sheetId="5" r:id="rId14"/>
    <sheet name="Amt Schedules" sheetId="47" r:id="rId15"/>
    <sheet name="Cur Rates" sheetId="45" r:id="rId16"/>
    <sheet name="ExBA - Beg. Rates" sheetId="10" r:id="rId17"/>
    <sheet name="Rates Comp" sheetId="2" r:id="rId18"/>
    <sheet name="PropBA - DSC" sheetId="15" r:id="rId19"/>
    <sheet name="Interim Rate Comp" sheetId="64" r:id="rId20"/>
    <sheet name="Sheet2" sheetId="70" r:id="rId21"/>
    <sheet name="PropBA - Interim Rates" sheetId="67" r:id="rId22"/>
    <sheet name="Year 1 Rate Comp" sheetId="65" r:id="rId23"/>
    <sheet name="PropBA - Year 1 Rates" sheetId="68" r:id="rId24"/>
    <sheet name="Year 2 Rate Comp" sheetId="66" r:id="rId25"/>
    <sheet name="PropBA - Year 2 Rates" sheetId="69" r:id="rId26"/>
    <sheet name="BA Adj" sheetId="28" r:id="rId27"/>
    <sheet name="App A" sheetId="59" r:id="rId28"/>
    <sheet name="Table A" sheetId="48" r:id="rId29"/>
    <sheet name="Table B" sheetId="49" r:id="rId30"/>
    <sheet name="Table C" sheetId="50" r:id="rId31"/>
    <sheet name="Sheet3" sheetId="62" r:id="rId32"/>
    <sheet name="Cust Notice" sheetId="61" r:id="rId33"/>
    <sheet name="Table D" sheetId="51" r:id="rId34"/>
    <sheet name="34-Inch" sheetId="52" r:id="rId35"/>
    <sheet name="1-Inch" sheetId="53" r:id="rId36"/>
    <sheet name="2-Inch" sheetId="54" r:id="rId37"/>
    <sheet name="6-Inch" sheetId="55" r:id="rId38"/>
    <sheet name="Wholesale" sheetId="56" r:id="rId39"/>
  </sheets>
  <definedNames>
    <definedName name="_xlnm.Print_Area" localSheetId="13">'Avg Debt Service'!$B$2:$H$23</definedName>
    <definedName name="_xlnm.Print_Area" localSheetId="16">'ExBA - Beg. Rates'!$A$1:$I$14</definedName>
    <definedName name="_xlnm.Print_Area" localSheetId="18">'PropBA - DSC'!#REF!</definedName>
    <definedName name="_xlnm.Print_Area" localSheetId="17">'Rates Comp'!#REF!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0" i="71" l="1"/>
  <c r="N37" i="71"/>
  <c r="L37" i="71"/>
  <c r="G21" i="77"/>
  <c r="G17" i="77"/>
  <c r="N41" i="71"/>
  <c r="N26" i="71"/>
  <c r="N22" i="71"/>
  <c r="J26" i="75"/>
  <c r="J23" i="75"/>
  <c r="J24" i="75" s="1"/>
  <c r="I22" i="75"/>
  <c r="I21" i="75"/>
  <c r="J19" i="75"/>
  <c r="H19" i="75"/>
  <c r="P39" i="63"/>
  <c r="N39" i="63"/>
  <c r="L39" i="63"/>
  <c r="J39" i="63"/>
  <c r="H39" i="63"/>
  <c r="P16" i="63"/>
  <c r="N16" i="63"/>
  <c r="L16" i="63"/>
  <c r="J16" i="63"/>
  <c r="H8" i="63"/>
  <c r="J8" i="63" s="1"/>
  <c r="X53" i="71"/>
  <c r="E39" i="76"/>
  <c r="R37" i="71" l="1"/>
  <c r="L8" i="63"/>
  <c r="J31" i="63"/>
  <c r="H31" i="63"/>
  <c r="N36" i="71"/>
  <c r="R36" i="71" s="1"/>
  <c r="L36" i="71"/>
  <c r="M13" i="73"/>
  <c r="M11" i="73"/>
  <c r="M9" i="73"/>
  <c r="O33" i="73"/>
  <c r="O31" i="73"/>
  <c r="M14" i="73"/>
  <c r="N13" i="73"/>
  <c r="O13" i="73" s="1"/>
  <c r="N12" i="73"/>
  <c r="O12" i="73"/>
  <c r="N11" i="73"/>
  <c r="O11" i="73" s="1"/>
  <c r="N10" i="73"/>
  <c r="N14" i="73" s="1"/>
  <c r="O10" i="73"/>
  <c r="N9" i="73"/>
  <c r="O9" i="73" s="1"/>
  <c r="G29" i="72"/>
  <c r="L31" i="63" l="1"/>
  <c r="N8" i="63"/>
  <c r="O14" i="73"/>
  <c r="K37" i="73"/>
  <c r="K46" i="73" s="1"/>
  <c r="N31" i="63" l="1"/>
  <c r="P8" i="63"/>
  <c r="P31" i="63" s="1"/>
  <c r="M46" i="73"/>
  <c r="N46" i="73" s="1"/>
  <c r="O21" i="73"/>
  <c r="O23" i="73" s="1"/>
  <c r="O17" i="73"/>
  <c r="O19" i="73" s="1"/>
  <c r="H23" i="75" l="1"/>
  <c r="H24" i="75" s="1"/>
  <c r="N35" i="71" l="1"/>
  <c r="H26" i="75"/>
  <c r="N51" i="71"/>
  <c r="L35" i="71"/>
  <c r="R35" i="71" l="1"/>
  <c r="E14" i="73"/>
  <c r="G14" i="73"/>
  <c r="E10" i="73"/>
  <c r="E11" i="73"/>
  <c r="G11" i="73" s="1"/>
  <c r="E12" i="73"/>
  <c r="E13" i="73"/>
  <c r="E9" i="73"/>
  <c r="G9" i="73" s="1"/>
  <c r="F13" i="73"/>
  <c r="G13" i="73"/>
  <c r="F12" i="73"/>
  <c r="G12" i="73"/>
  <c r="F11" i="73"/>
  <c r="F10" i="73"/>
  <c r="G10" i="73"/>
  <c r="F9" i="73"/>
  <c r="D31" i="73" l="1"/>
  <c r="E31" i="73"/>
  <c r="F31" i="73"/>
  <c r="D32" i="73"/>
  <c r="L32" i="73" s="1"/>
  <c r="E32" i="73"/>
  <c r="M32" i="73" s="1"/>
  <c r="F32" i="73"/>
  <c r="N32" i="73" s="1"/>
  <c r="D33" i="73"/>
  <c r="E33" i="73"/>
  <c r="F33" i="73"/>
  <c r="D34" i="73"/>
  <c r="L34" i="73" s="1"/>
  <c r="E34" i="73"/>
  <c r="M34" i="73" s="1"/>
  <c r="F34" i="73"/>
  <c r="F30" i="73"/>
  <c r="N30" i="73" s="1"/>
  <c r="E30" i="73"/>
  <c r="D30" i="73"/>
  <c r="L30" i="73" s="1"/>
  <c r="C31" i="73"/>
  <c r="C32" i="73"/>
  <c r="K32" i="73" s="1"/>
  <c r="C33" i="73"/>
  <c r="G33" i="73" s="1"/>
  <c r="C34" i="73"/>
  <c r="K34" i="73" s="1"/>
  <c r="C30" i="73"/>
  <c r="G32" i="73"/>
  <c r="G31" i="73"/>
  <c r="F20" i="16"/>
  <c r="E20" i="16"/>
  <c r="H19" i="10"/>
  <c r="H18" i="10"/>
  <c r="G34" i="73" l="1"/>
  <c r="N34" i="73"/>
  <c r="O34" i="73" s="1"/>
  <c r="C35" i="73"/>
  <c r="C37" i="73" s="1"/>
  <c r="C46" i="73" s="1"/>
  <c r="K30" i="73"/>
  <c r="O32" i="73"/>
  <c r="L35" i="73"/>
  <c r="L37" i="73" s="1"/>
  <c r="K47" i="73" s="1"/>
  <c r="G30" i="73"/>
  <c r="G35" i="73" s="1"/>
  <c r="G37" i="73" s="1"/>
  <c r="M30" i="73"/>
  <c r="M35" i="73" s="1"/>
  <c r="M37" i="73" s="1"/>
  <c r="K48" i="73" s="1"/>
  <c r="M48" i="73" s="1"/>
  <c r="N48" i="73" s="1"/>
  <c r="N35" i="73"/>
  <c r="N37" i="73" s="1"/>
  <c r="K45" i="73" s="1"/>
  <c r="E35" i="73"/>
  <c r="E37" i="73" s="1"/>
  <c r="C48" i="73" s="1"/>
  <c r="F35" i="73"/>
  <c r="F37" i="73" s="1"/>
  <c r="C45" i="73" s="1"/>
  <c r="D35" i="73"/>
  <c r="D37" i="73" s="1"/>
  <c r="C47" i="73" s="1"/>
  <c r="G41" i="72"/>
  <c r="F24" i="72"/>
  <c r="E24" i="72"/>
  <c r="G24" i="72" s="1"/>
  <c r="F23" i="72"/>
  <c r="E23" i="72"/>
  <c r="G23" i="72" s="1"/>
  <c r="F22" i="72"/>
  <c r="E22" i="72"/>
  <c r="G22" i="72" s="1"/>
  <c r="F21" i="72"/>
  <c r="E21" i="72"/>
  <c r="G21" i="72" s="1"/>
  <c r="F20" i="72"/>
  <c r="E20" i="72"/>
  <c r="F19" i="72"/>
  <c r="E19" i="72"/>
  <c r="F18" i="72"/>
  <c r="E18" i="72"/>
  <c r="G18" i="72" s="1"/>
  <c r="F17" i="72"/>
  <c r="E17" i="72"/>
  <c r="G17" i="72" s="1"/>
  <c r="F16" i="72"/>
  <c r="E16" i="72"/>
  <c r="G16" i="72" s="1"/>
  <c r="F15" i="72"/>
  <c r="E15" i="72"/>
  <c r="G15" i="72" s="1"/>
  <c r="F14" i="72"/>
  <c r="E14" i="72"/>
  <c r="G14" i="72" s="1"/>
  <c r="F13" i="72"/>
  <c r="E13" i="72"/>
  <c r="F12" i="72"/>
  <c r="E12" i="72"/>
  <c r="G12" i="72" s="1"/>
  <c r="F11" i="72"/>
  <c r="E11" i="72"/>
  <c r="G11" i="72" s="1"/>
  <c r="F10" i="72"/>
  <c r="E10" i="72"/>
  <c r="G10" i="72" s="1"/>
  <c r="F9" i="72"/>
  <c r="E9" i="72"/>
  <c r="G9" i="72" s="1"/>
  <c r="R47" i="71"/>
  <c r="H12" i="63" s="1"/>
  <c r="N17" i="71"/>
  <c r="H53" i="71"/>
  <c r="L53" i="71" s="1"/>
  <c r="R53" i="71" s="1"/>
  <c r="N53" i="71" s="1"/>
  <c r="L47" i="71"/>
  <c r="L48" i="71" s="1"/>
  <c r="H41" i="71"/>
  <c r="L41" i="71" s="1"/>
  <c r="H40" i="71"/>
  <c r="L40" i="71" s="1"/>
  <c r="L65" i="71" s="1"/>
  <c r="F39" i="71"/>
  <c r="L38" i="71"/>
  <c r="R38" i="71" s="1"/>
  <c r="L34" i="71"/>
  <c r="R34" i="71" s="1"/>
  <c r="L33" i="71"/>
  <c r="R33" i="71" s="1"/>
  <c r="L32" i="71"/>
  <c r="R32" i="71" s="1"/>
  <c r="L31" i="71"/>
  <c r="R31" i="71" s="1"/>
  <c r="L30" i="71"/>
  <c r="R30" i="71" s="1"/>
  <c r="H29" i="71"/>
  <c r="L29" i="71" s="1"/>
  <c r="R29" i="71" s="1"/>
  <c r="H25" i="71"/>
  <c r="L23" i="71"/>
  <c r="R23" i="71" s="1"/>
  <c r="H22" i="71"/>
  <c r="F17" i="71"/>
  <c r="L16" i="71"/>
  <c r="L50" i="71" s="1"/>
  <c r="H7" i="63" s="1"/>
  <c r="H14" i="71"/>
  <c r="L14" i="71" s="1"/>
  <c r="L52" i="71" s="1"/>
  <c r="H9" i="63" s="1"/>
  <c r="C4" i="71"/>
  <c r="G33" i="70"/>
  <c r="J12" i="63" l="1"/>
  <c r="H35" i="63"/>
  <c r="H32" i="63"/>
  <c r="J9" i="63"/>
  <c r="H30" i="63"/>
  <c r="J7" i="63"/>
  <c r="F42" i="71"/>
  <c r="H27" i="75"/>
  <c r="M47" i="73"/>
  <c r="N47" i="73"/>
  <c r="M45" i="73"/>
  <c r="N45" i="73" s="1"/>
  <c r="N49" i="73" s="1"/>
  <c r="K49" i="73"/>
  <c r="O30" i="73"/>
  <c r="O35" i="73" s="1"/>
  <c r="O37" i="73" s="1"/>
  <c r="R48" i="71"/>
  <c r="N47" i="71"/>
  <c r="E46" i="73"/>
  <c r="F46" i="73" s="1"/>
  <c r="E45" i="73"/>
  <c r="F45" i="73" s="1"/>
  <c r="C49" i="73"/>
  <c r="E48" i="73"/>
  <c r="F48" i="73" s="1"/>
  <c r="E47" i="73"/>
  <c r="F47" i="73" s="1"/>
  <c r="G20" i="72"/>
  <c r="F25" i="72"/>
  <c r="G13" i="72"/>
  <c r="G19" i="72"/>
  <c r="R16" i="71"/>
  <c r="R50" i="71" s="1"/>
  <c r="N50" i="71" s="1"/>
  <c r="R40" i="71"/>
  <c r="R14" i="71"/>
  <c r="R52" i="71" s="1"/>
  <c r="N52" i="71" s="1"/>
  <c r="F14" i="73"/>
  <c r="G17" i="73"/>
  <c r="G25" i="72"/>
  <c r="E25" i="72"/>
  <c r="F43" i="71"/>
  <c r="L62" i="71"/>
  <c r="P35" i="64"/>
  <c r="R35" i="64" s="1"/>
  <c r="L35" i="64" s="1"/>
  <c r="J27" i="75" l="1"/>
  <c r="J28" i="75" s="1"/>
  <c r="H28" i="75"/>
  <c r="J30" i="63"/>
  <c r="L7" i="63"/>
  <c r="L9" i="63"/>
  <c r="J32" i="63"/>
  <c r="N48" i="71"/>
  <c r="H13" i="63"/>
  <c r="J35" i="63"/>
  <c r="L12" i="63"/>
  <c r="N50" i="73"/>
  <c r="L53" i="73" s="1"/>
  <c r="L54" i="73" s="1"/>
  <c r="L56" i="73" s="1"/>
  <c r="N25" i="71"/>
  <c r="F49" i="73"/>
  <c r="F50" i="73" s="1"/>
  <c r="D53" i="73" s="1"/>
  <c r="D54" i="73" s="1"/>
  <c r="D56" i="73" s="1"/>
  <c r="G19" i="73"/>
  <c r="G21" i="73"/>
  <c r="G23" i="73" s="1"/>
  <c r="G28" i="72"/>
  <c r="G38" i="72"/>
  <c r="G40" i="72" s="1"/>
  <c r="G42" i="72" s="1"/>
  <c r="Q20" i="65"/>
  <c r="Q21" i="65" s="1"/>
  <c r="Q22" i="65" s="1"/>
  <c r="Q26" i="65" s="1"/>
  <c r="Q30" i="65" s="1"/>
  <c r="Q25" i="65"/>
  <c r="E95" i="69"/>
  <c r="E100" i="69" s="1"/>
  <c r="D95" i="69"/>
  <c r="D100" i="69" s="1"/>
  <c r="F11" i="69" s="1"/>
  <c r="C86" i="69"/>
  <c r="E81" i="69"/>
  <c r="D81" i="69"/>
  <c r="D86" i="69" s="1"/>
  <c r="F10" i="69" s="1"/>
  <c r="C80" i="69"/>
  <c r="C87" i="69" s="1"/>
  <c r="H79" i="69"/>
  <c r="F79" i="69"/>
  <c r="F78" i="69"/>
  <c r="F80" i="69" s="1"/>
  <c r="C72" i="69"/>
  <c r="E67" i="69"/>
  <c r="D67" i="69"/>
  <c r="D72" i="69" s="1"/>
  <c r="F9" i="69" s="1"/>
  <c r="C66" i="69"/>
  <c r="C73" i="69" s="1"/>
  <c r="H65" i="69"/>
  <c r="F65" i="69"/>
  <c r="G64" i="69"/>
  <c r="F64" i="69"/>
  <c r="F66" i="69" s="1"/>
  <c r="C58" i="69"/>
  <c r="C57" i="69"/>
  <c r="C56" i="69"/>
  <c r="E51" i="69"/>
  <c r="D51" i="69"/>
  <c r="D56" i="69" s="1"/>
  <c r="F8" i="69" s="1"/>
  <c r="C50" i="69"/>
  <c r="C59" i="69" s="1"/>
  <c r="F48" i="69"/>
  <c r="J47" i="69"/>
  <c r="F47" i="69"/>
  <c r="H46" i="69"/>
  <c r="H50" i="69" s="1"/>
  <c r="G46" i="69"/>
  <c r="G50" i="69" s="1"/>
  <c r="F46" i="69"/>
  <c r="I46" i="69" s="1"/>
  <c r="C40" i="69"/>
  <c r="C38" i="69"/>
  <c r="C37" i="69"/>
  <c r="C36" i="69"/>
  <c r="E31" i="69"/>
  <c r="D31" i="69"/>
  <c r="D36" i="69" s="1"/>
  <c r="F7" i="69" s="1"/>
  <c r="C30" i="69"/>
  <c r="H29" i="69"/>
  <c r="G29" i="69"/>
  <c r="F29" i="69"/>
  <c r="K26" i="69"/>
  <c r="F26" i="69"/>
  <c r="J25" i="69"/>
  <c r="I25" i="69"/>
  <c r="I30" i="69" s="1"/>
  <c r="H25" i="69"/>
  <c r="H30" i="69" s="1"/>
  <c r="G25" i="69"/>
  <c r="G28" i="69" s="1"/>
  <c r="F25" i="69"/>
  <c r="F28" i="69" s="1"/>
  <c r="H13" i="69"/>
  <c r="F33" i="65"/>
  <c r="F30" i="65"/>
  <c r="F29" i="65"/>
  <c r="F26" i="65"/>
  <c r="F25" i="65"/>
  <c r="F22" i="65"/>
  <c r="F21" i="65"/>
  <c r="F20" i="65"/>
  <c r="F19" i="65"/>
  <c r="F13" i="65"/>
  <c r="F14" i="65"/>
  <c r="F15" i="65"/>
  <c r="O15" i="65" s="1"/>
  <c r="F16" i="65"/>
  <c r="F12" i="65"/>
  <c r="E95" i="68"/>
  <c r="E100" i="68" s="1"/>
  <c r="D95" i="68"/>
  <c r="D100" i="68" s="1"/>
  <c r="F11" i="68" s="1"/>
  <c r="C86" i="68"/>
  <c r="E81" i="68"/>
  <c r="D81" i="68"/>
  <c r="D86" i="68" s="1"/>
  <c r="F10" i="68" s="1"/>
  <c r="C80" i="68"/>
  <c r="C87" i="68" s="1"/>
  <c r="H79" i="68"/>
  <c r="F79" i="68"/>
  <c r="G78" i="68"/>
  <c r="F78" i="68"/>
  <c r="F80" i="68" s="1"/>
  <c r="C72" i="68"/>
  <c r="E67" i="68"/>
  <c r="D67" i="68"/>
  <c r="D72" i="68" s="1"/>
  <c r="F9" i="68" s="1"/>
  <c r="C66" i="68"/>
  <c r="C73" i="68" s="1"/>
  <c r="H65" i="68"/>
  <c r="F65" i="68"/>
  <c r="G64" i="68"/>
  <c r="F64" i="68"/>
  <c r="F66" i="68" s="1"/>
  <c r="C58" i="68"/>
  <c r="C57" i="68"/>
  <c r="C56" i="68"/>
  <c r="E51" i="68"/>
  <c r="D51" i="68"/>
  <c r="D56" i="68" s="1"/>
  <c r="F8" i="68" s="1"/>
  <c r="H50" i="68"/>
  <c r="C50" i="68"/>
  <c r="C59" i="68" s="1"/>
  <c r="G49" i="68"/>
  <c r="F49" i="68"/>
  <c r="F48" i="68"/>
  <c r="J47" i="68"/>
  <c r="F47" i="68"/>
  <c r="H46" i="68"/>
  <c r="G46" i="68"/>
  <c r="G50" i="68" s="1"/>
  <c r="F46" i="68"/>
  <c r="I46" i="68" s="1"/>
  <c r="C40" i="68"/>
  <c r="C38" i="68"/>
  <c r="C37" i="68"/>
  <c r="C36" i="68"/>
  <c r="E31" i="68"/>
  <c r="D31" i="68"/>
  <c r="D36" i="68" s="1"/>
  <c r="F7" i="68" s="1"/>
  <c r="G30" i="68"/>
  <c r="C30" i="68"/>
  <c r="H29" i="68"/>
  <c r="G29" i="68"/>
  <c r="F29" i="68"/>
  <c r="G27" i="68"/>
  <c r="F27" i="68"/>
  <c r="K27" i="68" s="1"/>
  <c r="F26" i="68"/>
  <c r="J25" i="68"/>
  <c r="I25" i="68"/>
  <c r="I30" i="68" s="1"/>
  <c r="H25" i="68"/>
  <c r="H30" i="68" s="1"/>
  <c r="G25" i="68"/>
  <c r="G28" i="68" s="1"/>
  <c r="F25" i="68"/>
  <c r="F28" i="68" s="1"/>
  <c r="H13" i="68"/>
  <c r="F99" i="67"/>
  <c r="F86" i="67"/>
  <c r="F85" i="67"/>
  <c r="F72" i="67"/>
  <c r="F71" i="67"/>
  <c r="F57" i="67"/>
  <c r="F58" i="67"/>
  <c r="F56" i="67"/>
  <c r="F55" i="67"/>
  <c r="F37" i="67"/>
  <c r="F38" i="67"/>
  <c r="F39" i="67"/>
  <c r="F36" i="67"/>
  <c r="F35" i="67"/>
  <c r="E94" i="67"/>
  <c r="E99" i="67" s="1"/>
  <c r="D94" i="67"/>
  <c r="D99" i="67" s="1"/>
  <c r="F11" i="67" s="1"/>
  <c r="C85" i="67"/>
  <c r="E80" i="67"/>
  <c r="D80" i="67"/>
  <c r="D85" i="67" s="1"/>
  <c r="C79" i="67"/>
  <c r="C86" i="67" s="1"/>
  <c r="F78" i="67"/>
  <c r="H78" i="67" s="1"/>
  <c r="F77" i="67"/>
  <c r="F79" i="67" s="1"/>
  <c r="G79" i="67" s="1"/>
  <c r="C71" i="67"/>
  <c r="E66" i="67"/>
  <c r="D66" i="67"/>
  <c r="D71" i="67" s="1"/>
  <c r="C65" i="67"/>
  <c r="C72" i="67" s="1"/>
  <c r="F64" i="67"/>
  <c r="H64" i="67" s="1"/>
  <c r="F63" i="67"/>
  <c r="G63" i="67" s="1"/>
  <c r="C57" i="67"/>
  <c r="C56" i="67"/>
  <c r="C55" i="67"/>
  <c r="E50" i="67"/>
  <c r="D50" i="67"/>
  <c r="D55" i="67" s="1"/>
  <c r="F8" i="67" s="1"/>
  <c r="C49" i="67"/>
  <c r="C58" i="67" s="1"/>
  <c r="F46" i="67"/>
  <c r="J46" i="67" s="1"/>
  <c r="H45" i="67"/>
  <c r="H49" i="67" s="1"/>
  <c r="G45" i="67"/>
  <c r="G48" i="67" s="1"/>
  <c r="F45" i="67"/>
  <c r="F48" i="67" s="1"/>
  <c r="C37" i="67"/>
  <c r="C36" i="67"/>
  <c r="C35" i="67"/>
  <c r="E30" i="67"/>
  <c r="D30" i="67"/>
  <c r="D35" i="67" s="1"/>
  <c r="C29" i="67"/>
  <c r="C39" i="67" s="1"/>
  <c r="F25" i="67"/>
  <c r="I24" i="67"/>
  <c r="I29" i="67" s="1"/>
  <c r="H24" i="67"/>
  <c r="H28" i="67" s="1"/>
  <c r="G24" i="67"/>
  <c r="G28" i="67" s="1"/>
  <c r="F24" i="67"/>
  <c r="F26" i="67" s="1"/>
  <c r="H13" i="67"/>
  <c r="O33" i="65"/>
  <c r="O29" i="65"/>
  <c r="O26" i="65"/>
  <c r="O19" i="65"/>
  <c r="O14" i="65"/>
  <c r="O16" i="65"/>
  <c r="O8" i="64"/>
  <c r="O30" i="65"/>
  <c r="O25" i="65"/>
  <c r="O22" i="65"/>
  <c r="O21" i="65"/>
  <c r="O20" i="65"/>
  <c r="O13" i="65"/>
  <c r="O12" i="65"/>
  <c r="C5" i="65"/>
  <c r="Q29" i="66"/>
  <c r="Q25" i="66"/>
  <c r="Q20" i="66"/>
  <c r="Q21" i="66" s="1"/>
  <c r="Q22" i="66" s="1"/>
  <c r="Q26" i="66" s="1"/>
  <c r="Q30" i="66" s="1"/>
  <c r="Q19" i="66"/>
  <c r="Q16" i="66"/>
  <c r="Q15" i="66"/>
  <c r="Q14" i="66"/>
  <c r="C5" i="66"/>
  <c r="O7" i="64"/>
  <c r="F33" i="64"/>
  <c r="O33" i="64" s="1"/>
  <c r="F30" i="64"/>
  <c r="O30" i="64" s="1"/>
  <c r="Q29" i="64"/>
  <c r="O29" i="64"/>
  <c r="F29" i="64"/>
  <c r="O26" i="64"/>
  <c r="F26" i="64"/>
  <c r="Q25" i="64"/>
  <c r="O25" i="64"/>
  <c r="F25" i="64"/>
  <c r="O22" i="64"/>
  <c r="F22" i="64"/>
  <c r="O21" i="64"/>
  <c r="F21" i="64"/>
  <c r="Q20" i="64"/>
  <c r="Q21" i="64" s="1"/>
  <c r="Q22" i="64" s="1"/>
  <c r="Q26" i="64" s="1"/>
  <c r="Q30" i="64" s="1"/>
  <c r="O20" i="64"/>
  <c r="F20" i="64"/>
  <c r="Q19" i="64"/>
  <c r="O19" i="64"/>
  <c r="F19" i="64"/>
  <c r="Q16" i="64"/>
  <c r="O16" i="64"/>
  <c r="F16" i="64"/>
  <c r="Q15" i="64"/>
  <c r="O15" i="64"/>
  <c r="F15" i="64"/>
  <c r="Q14" i="64"/>
  <c r="O14" i="64"/>
  <c r="F14" i="64"/>
  <c r="F13" i="64"/>
  <c r="O13" i="64" s="1"/>
  <c r="F12" i="64"/>
  <c r="O12" i="64" s="1"/>
  <c r="C5" i="64"/>
  <c r="L35" i="63" l="1"/>
  <c r="N12" i="63"/>
  <c r="P12" i="63" s="1"/>
  <c r="J13" i="63"/>
  <c r="H36" i="63"/>
  <c r="L32" i="63"/>
  <c r="N9" i="63"/>
  <c r="L30" i="63"/>
  <c r="N7" i="63"/>
  <c r="F29" i="67"/>
  <c r="H35" i="67"/>
  <c r="F7" i="67"/>
  <c r="H55" i="67"/>
  <c r="G77" i="67"/>
  <c r="G29" i="67"/>
  <c r="H29" i="67"/>
  <c r="F49" i="67"/>
  <c r="F65" i="67"/>
  <c r="G65" i="67" s="1"/>
  <c r="G66" i="67" s="1"/>
  <c r="G30" i="72"/>
  <c r="G32" i="72"/>
  <c r="G34" i="72" s="1"/>
  <c r="Q29" i="65"/>
  <c r="Q15" i="65"/>
  <c r="Q19" i="65"/>
  <c r="Q14" i="65"/>
  <c r="Q16" i="65"/>
  <c r="G66" i="69"/>
  <c r="F67" i="69"/>
  <c r="E72" i="69" s="1"/>
  <c r="H28" i="69"/>
  <c r="H31" i="69" s="1"/>
  <c r="E38" i="69" s="1"/>
  <c r="K28" i="69"/>
  <c r="G80" i="69"/>
  <c r="F81" i="69"/>
  <c r="E86" i="69" s="1"/>
  <c r="K29" i="69"/>
  <c r="E101" i="69"/>
  <c r="G11" i="69" s="1"/>
  <c r="F12" i="69"/>
  <c r="G48" i="69"/>
  <c r="G51" i="69" s="1"/>
  <c r="E57" i="69" s="1"/>
  <c r="F27" i="69"/>
  <c r="I29" i="69"/>
  <c r="I31" i="69" s="1"/>
  <c r="E39" i="69" s="1"/>
  <c r="F49" i="69"/>
  <c r="G49" i="69"/>
  <c r="G78" i="69"/>
  <c r="F30" i="69"/>
  <c r="G30" i="69"/>
  <c r="F50" i="69"/>
  <c r="F51" i="69" s="1"/>
  <c r="E56" i="69" s="1"/>
  <c r="G66" i="68"/>
  <c r="F67" i="68"/>
  <c r="E72" i="68" s="1"/>
  <c r="H28" i="68"/>
  <c r="H31" i="68" s="1"/>
  <c r="E38" i="68" s="1"/>
  <c r="K28" i="68"/>
  <c r="J49" i="68"/>
  <c r="K29" i="68"/>
  <c r="F12" i="68"/>
  <c r="O27" i="68"/>
  <c r="P27" i="68" s="1"/>
  <c r="E101" i="68"/>
  <c r="G11" i="68" s="1"/>
  <c r="F51" i="68"/>
  <c r="E56" i="68" s="1"/>
  <c r="G80" i="68"/>
  <c r="H80" i="68" s="1"/>
  <c r="H81" i="68" s="1"/>
  <c r="F81" i="68"/>
  <c r="E86" i="68" s="1"/>
  <c r="G48" i="68"/>
  <c r="G51" i="68" s="1"/>
  <c r="E57" i="68" s="1"/>
  <c r="K26" i="68"/>
  <c r="I29" i="68"/>
  <c r="I31" i="68" s="1"/>
  <c r="E39" i="68" s="1"/>
  <c r="G31" i="68"/>
  <c r="E37" i="68" s="1"/>
  <c r="H49" i="68"/>
  <c r="H51" i="68" s="1"/>
  <c r="E58" i="68" s="1"/>
  <c r="F30" i="68"/>
  <c r="F31" i="68" s="1"/>
  <c r="E36" i="68" s="1"/>
  <c r="F50" i="68"/>
  <c r="E86" i="67"/>
  <c r="H86" i="67" s="1"/>
  <c r="G80" i="67"/>
  <c r="H79" i="67"/>
  <c r="H80" i="67" s="1"/>
  <c r="G26" i="67"/>
  <c r="H85" i="67"/>
  <c r="H87" i="67" s="1"/>
  <c r="H10" i="67" s="1"/>
  <c r="F10" i="67"/>
  <c r="F12" i="67" s="1"/>
  <c r="F9" i="67"/>
  <c r="H71" i="67"/>
  <c r="E100" i="67"/>
  <c r="G11" i="67" s="1"/>
  <c r="H99" i="67"/>
  <c r="H100" i="67" s="1"/>
  <c r="H11" i="67" s="1"/>
  <c r="H48" i="67"/>
  <c r="H50" i="67" s="1"/>
  <c r="E57" i="67" s="1"/>
  <c r="H57" i="67" s="1"/>
  <c r="I45" i="67"/>
  <c r="F27" i="67"/>
  <c r="F47" i="67"/>
  <c r="F50" i="67" s="1"/>
  <c r="E55" i="67" s="1"/>
  <c r="F80" i="67"/>
  <c r="E85" i="67" s="1"/>
  <c r="E87" i="67" s="1"/>
  <c r="G10" i="67" s="1"/>
  <c r="G49" i="67"/>
  <c r="J24" i="67"/>
  <c r="F28" i="67"/>
  <c r="G27" i="67"/>
  <c r="K25" i="67"/>
  <c r="P13" i="64"/>
  <c r="R13" i="64"/>
  <c r="L13" i="64" s="1"/>
  <c r="P14" i="64"/>
  <c r="P20" i="64" s="1"/>
  <c r="R20" i="64" s="1"/>
  <c r="L20" i="64" s="1"/>
  <c r="P16" i="64"/>
  <c r="P22" i="64" s="1"/>
  <c r="P33" i="64"/>
  <c r="R33" i="64" s="1"/>
  <c r="L33" i="64" s="1"/>
  <c r="P12" i="64"/>
  <c r="R12" i="64" s="1"/>
  <c r="L12" i="64" s="1"/>
  <c r="P15" i="64"/>
  <c r="P19" i="64"/>
  <c r="R19" i="64" s="1"/>
  <c r="L19" i="64" s="1"/>
  <c r="P25" i="64"/>
  <c r="R25" i="64" s="1"/>
  <c r="L25" i="64" s="1"/>
  <c r="P29" i="64"/>
  <c r="R29" i="64" s="1"/>
  <c r="L29" i="64" s="1"/>
  <c r="P7" i="63" l="1"/>
  <c r="P30" i="63" s="1"/>
  <c r="N30" i="63"/>
  <c r="J36" i="63"/>
  <c r="L13" i="63"/>
  <c r="N32" i="63"/>
  <c r="P9" i="63"/>
  <c r="P32" i="63" s="1"/>
  <c r="F66" i="67"/>
  <c r="E71" i="67" s="1"/>
  <c r="J29" i="67"/>
  <c r="K29" i="67" s="1"/>
  <c r="F30" i="67"/>
  <c r="E35" i="67" s="1"/>
  <c r="E72" i="67"/>
  <c r="H72" i="67" s="1"/>
  <c r="E73" i="67"/>
  <c r="G9" i="67" s="1"/>
  <c r="H65" i="67"/>
  <c r="H66" i="67" s="1"/>
  <c r="H21" i="71"/>
  <c r="N39" i="71"/>
  <c r="G36" i="72"/>
  <c r="R41" i="71"/>
  <c r="G27" i="69"/>
  <c r="F31" i="69"/>
  <c r="E36" i="69" s="1"/>
  <c r="E87" i="69"/>
  <c r="G81" i="69"/>
  <c r="J48" i="69"/>
  <c r="H80" i="69"/>
  <c r="H81" i="69" s="1"/>
  <c r="E73" i="69"/>
  <c r="G67" i="69"/>
  <c r="I50" i="69"/>
  <c r="J50" i="69"/>
  <c r="J30" i="69"/>
  <c r="K30" i="69"/>
  <c r="H49" i="69"/>
  <c r="H51" i="69" s="1"/>
  <c r="E58" i="69" s="1"/>
  <c r="H66" i="69"/>
  <c r="H67" i="69" s="1"/>
  <c r="E88" i="69"/>
  <c r="G10" i="69" s="1"/>
  <c r="I50" i="68"/>
  <c r="J50" i="68"/>
  <c r="E88" i="68"/>
  <c r="G10" i="68" s="1"/>
  <c r="E73" i="68"/>
  <c r="G67" i="68"/>
  <c r="J48" i="68"/>
  <c r="J51" i="68" s="1"/>
  <c r="H66" i="68"/>
  <c r="H67" i="68" s="1"/>
  <c r="E87" i="68"/>
  <c r="G81" i="68"/>
  <c r="J30" i="68"/>
  <c r="H73" i="67"/>
  <c r="H9" i="67" s="1"/>
  <c r="J48" i="67"/>
  <c r="G30" i="67"/>
  <c r="E36" i="67" s="1"/>
  <c r="H36" i="67" s="1"/>
  <c r="K26" i="67"/>
  <c r="O26" i="67" s="1"/>
  <c r="I49" i="67"/>
  <c r="E39" i="67"/>
  <c r="H39" i="67" s="1"/>
  <c r="J30" i="67"/>
  <c r="H27" i="67"/>
  <c r="H30" i="67" s="1"/>
  <c r="E37" i="67" s="1"/>
  <c r="H37" i="67" s="1"/>
  <c r="G47" i="67"/>
  <c r="G50" i="67" s="1"/>
  <c r="E56" i="67" s="1"/>
  <c r="H56" i="67" s="1"/>
  <c r="I28" i="67"/>
  <c r="I30" i="67" s="1"/>
  <c r="E38" i="67" s="1"/>
  <c r="H38" i="67" s="1"/>
  <c r="P26" i="64"/>
  <c r="R26" i="64" s="1"/>
  <c r="L26" i="64" s="1"/>
  <c r="P30" i="64"/>
  <c r="R30" i="64" s="1"/>
  <c r="L30" i="64" s="1"/>
  <c r="R22" i="64"/>
  <c r="L22" i="64" s="1"/>
  <c r="R16" i="64"/>
  <c r="L16" i="64" s="1"/>
  <c r="P21" i="64"/>
  <c r="R21" i="64" s="1"/>
  <c r="L21" i="64" s="1"/>
  <c r="R15" i="64"/>
  <c r="L15" i="64" s="1"/>
  <c r="R14" i="64"/>
  <c r="L14" i="64" s="1"/>
  <c r="N13" i="63" l="1"/>
  <c r="P13" i="63" s="1"/>
  <c r="L36" i="63"/>
  <c r="N42" i="71"/>
  <c r="N43" i="71" s="1"/>
  <c r="J49" i="69"/>
  <c r="J51" i="69" s="1"/>
  <c r="G31" i="69"/>
  <c r="E37" i="69" s="1"/>
  <c r="E74" i="69"/>
  <c r="G9" i="69" s="1"/>
  <c r="E59" i="69"/>
  <c r="I51" i="69"/>
  <c r="K27" i="69"/>
  <c r="J31" i="69"/>
  <c r="E40" i="69"/>
  <c r="J31" i="68"/>
  <c r="E40" i="68"/>
  <c r="E59" i="68"/>
  <c r="I51" i="68"/>
  <c r="E74" i="68"/>
  <c r="G9" i="68" s="1"/>
  <c r="K30" i="68"/>
  <c r="K31" i="68" s="1"/>
  <c r="H40" i="67"/>
  <c r="H7" i="67" s="1"/>
  <c r="K27" i="67"/>
  <c r="I50" i="67"/>
  <c r="E58" i="67"/>
  <c r="P26" i="67"/>
  <c r="K28" i="67"/>
  <c r="K30" i="67" s="1"/>
  <c r="J49" i="67"/>
  <c r="J47" i="67"/>
  <c r="J50" i="67" s="1"/>
  <c r="E40" i="67"/>
  <c r="G7" i="67" s="1"/>
  <c r="K31" i="69" l="1"/>
  <c r="E41" i="69"/>
  <c r="G7" i="69" s="1"/>
  <c r="O27" i="69"/>
  <c r="P27" i="69" s="1"/>
  <c r="E60" i="69"/>
  <c r="G8" i="69" s="1"/>
  <c r="E41" i="68"/>
  <c r="G7" i="68" s="1"/>
  <c r="E60" i="68"/>
  <c r="G8" i="68" s="1"/>
  <c r="H58" i="67"/>
  <c r="H59" i="67" s="1"/>
  <c r="H8" i="67" s="1"/>
  <c r="H12" i="67" s="1"/>
  <c r="H14" i="67" s="1"/>
  <c r="E59" i="67"/>
  <c r="G8" i="67" s="1"/>
  <c r="G12" i="67" s="1"/>
  <c r="H15" i="68" l="1"/>
  <c r="H15" i="69"/>
  <c r="H18" i="67"/>
  <c r="G12" i="69"/>
  <c r="G12" i="68"/>
  <c r="N36" i="63" l="1"/>
  <c r="P36" i="63"/>
  <c r="N35" i="63"/>
  <c r="P35" i="63"/>
  <c r="J28" i="63"/>
  <c r="J29" i="63" s="1"/>
  <c r="J33" i="63" s="1"/>
  <c r="L27" i="63"/>
  <c r="L28" i="63" s="1"/>
  <c r="F30" i="62"/>
  <c r="F27" i="62"/>
  <c r="F26" i="62"/>
  <c r="F23" i="62"/>
  <c r="F22" i="62"/>
  <c r="F19" i="62"/>
  <c r="F18" i="62"/>
  <c r="F17" i="62"/>
  <c r="F16" i="62"/>
  <c r="F13" i="62"/>
  <c r="F12" i="62"/>
  <c r="F11" i="62"/>
  <c r="F10" i="62"/>
  <c r="F9" i="62"/>
  <c r="C5" i="62"/>
  <c r="F41" i="61"/>
  <c r="S27" i="61" s="1"/>
  <c r="F40" i="61"/>
  <c r="S23" i="61" s="1"/>
  <c r="S24" i="61" s="1"/>
  <c r="F39" i="61"/>
  <c r="S19" i="61" s="1"/>
  <c r="S20" i="61" s="1"/>
  <c r="F38" i="61"/>
  <c r="S13" i="61" s="1"/>
  <c r="S14" i="61" s="1"/>
  <c r="F37" i="61"/>
  <c r="S6" i="61" s="1"/>
  <c r="S7" i="61" s="1"/>
  <c r="L43" i="63" l="1"/>
  <c r="L29" i="63"/>
  <c r="N27" i="63" l="1"/>
  <c r="L33" i="63"/>
  <c r="E87" i="15"/>
  <c r="J48" i="51"/>
  <c r="J47" i="51"/>
  <c r="J46" i="51"/>
  <c r="J45" i="51"/>
  <c r="J44" i="51"/>
  <c r="J41" i="51"/>
  <c r="J40" i="51"/>
  <c r="J39" i="51"/>
  <c r="J38" i="51"/>
  <c r="J37" i="51"/>
  <c r="J36" i="51"/>
  <c r="F11" i="53"/>
  <c r="F12" i="53"/>
  <c r="F10" i="53"/>
  <c r="F9" i="53"/>
  <c r="Q16" i="2"/>
  <c r="Q15" i="2"/>
  <c r="Q14" i="2"/>
  <c r="Q20" i="2"/>
  <c r="Q21" i="2" s="1"/>
  <c r="Q22" i="2" s="1"/>
  <c r="Q26" i="2" s="1"/>
  <c r="Q30" i="2" s="1"/>
  <c r="Q29" i="2"/>
  <c r="Q25" i="2"/>
  <c r="Q19" i="2"/>
  <c r="F57" i="10"/>
  <c r="F20" i="2" s="1"/>
  <c r="F17" i="59" s="1"/>
  <c r="F58" i="10"/>
  <c r="F21" i="2" s="1"/>
  <c r="F18" i="59" s="1"/>
  <c r="F59" i="10"/>
  <c r="F22" i="2" s="1"/>
  <c r="F19" i="59" s="1"/>
  <c r="F56" i="10"/>
  <c r="F19" i="2"/>
  <c r="F10" i="59"/>
  <c r="F27" i="59"/>
  <c r="F25" i="59"/>
  <c r="F24" i="59"/>
  <c r="F22" i="59"/>
  <c r="F21" i="59"/>
  <c r="F16" i="59"/>
  <c r="F12" i="59"/>
  <c r="F13" i="59"/>
  <c r="F14" i="59"/>
  <c r="F11" i="59"/>
  <c r="E41" i="16" l="1"/>
  <c r="C14" i="57" l="1"/>
  <c r="O80" i="42"/>
  <c r="M80" i="42"/>
  <c r="K80" i="42"/>
  <c r="I80" i="42"/>
  <c r="G80" i="42"/>
  <c r="N80" i="48"/>
  <c r="L80" i="48"/>
  <c r="F80" i="48"/>
  <c r="D80" i="48"/>
  <c r="N78" i="48"/>
  <c r="L78" i="48"/>
  <c r="M78" i="42"/>
  <c r="O78" i="42" s="1"/>
  <c r="G78" i="42"/>
  <c r="D4" i="16" l="1"/>
  <c r="B51" i="51"/>
  <c r="B7" i="51"/>
  <c r="D45" i="51"/>
  <c r="F45" i="51"/>
  <c r="H45" i="51" s="1"/>
  <c r="D46" i="51"/>
  <c r="F46" i="51"/>
  <c r="H46" i="51" s="1"/>
  <c r="D47" i="51"/>
  <c r="F47" i="51"/>
  <c r="H47" i="51" s="1"/>
  <c r="D48" i="51"/>
  <c r="F48" i="51"/>
  <c r="H48" i="51" s="1"/>
  <c r="F44" i="51"/>
  <c r="H44" i="51" s="1"/>
  <c r="D44" i="51"/>
  <c r="N14" i="55"/>
  <c r="S14" i="55" s="1"/>
  <c r="N13" i="55"/>
  <c r="M12" i="55"/>
  <c r="M13" i="55" s="1"/>
  <c r="M14" i="55" s="1"/>
  <c r="M11" i="55"/>
  <c r="R11" i="55" s="1"/>
  <c r="T11" i="55" s="1"/>
  <c r="M10" i="55"/>
  <c r="R10" i="55" s="1"/>
  <c r="S9" i="55"/>
  <c r="R9" i="55"/>
  <c r="R16" i="55" s="1"/>
  <c r="T16" i="55" s="1"/>
  <c r="N9" i="55"/>
  <c r="M9" i="55"/>
  <c r="M16" i="55" s="1"/>
  <c r="O16" i="55" s="1"/>
  <c r="M8" i="55"/>
  <c r="D37" i="51"/>
  <c r="F37" i="51"/>
  <c r="D38" i="51"/>
  <c r="F38" i="51"/>
  <c r="H38" i="51" s="1"/>
  <c r="D39" i="51"/>
  <c r="F39" i="51"/>
  <c r="H39" i="51" s="1"/>
  <c r="D40" i="51"/>
  <c r="F40" i="51"/>
  <c r="H40" i="51" s="1"/>
  <c r="D41" i="51"/>
  <c r="F41" i="51"/>
  <c r="H41" i="51" s="1"/>
  <c r="F36" i="51"/>
  <c r="H36" i="51" s="1"/>
  <c r="D36" i="51"/>
  <c r="S13" i="54"/>
  <c r="S14" i="54"/>
  <c r="S21" i="54" s="1"/>
  <c r="S15" i="54"/>
  <c r="S22" i="54"/>
  <c r="S20" i="54"/>
  <c r="N21" i="54"/>
  <c r="N22" i="54"/>
  <c r="N20" i="54"/>
  <c r="N15" i="54"/>
  <c r="N14" i="54"/>
  <c r="M12" i="54"/>
  <c r="R12" i="54" s="1"/>
  <c r="T12" i="54" s="1"/>
  <c r="M11" i="54"/>
  <c r="M10" i="54"/>
  <c r="S9" i="54"/>
  <c r="N9" i="54"/>
  <c r="O12" i="54"/>
  <c r="R11" i="54"/>
  <c r="T11" i="54" s="1"/>
  <c r="M9" i="54"/>
  <c r="M17" i="54" s="1"/>
  <c r="R9" i="54"/>
  <c r="R17" i="54" s="1"/>
  <c r="M8" i="54"/>
  <c r="R8" i="54" s="1"/>
  <c r="W17" i="53"/>
  <c r="W18" i="53"/>
  <c r="W19" i="53"/>
  <c r="V16" i="53"/>
  <c r="V17" i="53"/>
  <c r="X17" i="53" s="1"/>
  <c r="V18" i="53"/>
  <c r="V19" i="53"/>
  <c r="V15" i="53"/>
  <c r="U12" i="53"/>
  <c r="U13" i="53"/>
  <c r="U14" i="53"/>
  <c r="U15" i="53"/>
  <c r="U16" i="53"/>
  <c r="U17" i="53"/>
  <c r="U18" i="53"/>
  <c r="U19" i="53"/>
  <c r="U11" i="53"/>
  <c r="T11" i="53"/>
  <c r="T12" i="53"/>
  <c r="T13" i="53"/>
  <c r="T14" i="53"/>
  <c r="T15" i="53"/>
  <c r="T16" i="53"/>
  <c r="T17" i="53"/>
  <c r="T18" i="53"/>
  <c r="T19" i="53"/>
  <c r="T10" i="53"/>
  <c r="P18" i="53"/>
  <c r="P19" i="53"/>
  <c r="P17" i="53"/>
  <c r="O16" i="53"/>
  <c r="O15" i="53"/>
  <c r="N11" i="53"/>
  <c r="P9" i="53"/>
  <c r="O9" i="53"/>
  <c r="O26" i="53" s="1"/>
  <c r="N9" i="53"/>
  <c r="N26" i="53" s="1"/>
  <c r="M9" i="53"/>
  <c r="M21" i="53" s="1"/>
  <c r="M8" i="53"/>
  <c r="Q17" i="53"/>
  <c r="X16" i="53"/>
  <c r="X14" i="53"/>
  <c r="Q14" i="53"/>
  <c r="X11" i="53"/>
  <c r="D13" i="51"/>
  <c r="D14" i="51"/>
  <c r="D15" i="51"/>
  <c r="D16" i="51"/>
  <c r="D17" i="51"/>
  <c r="D18" i="51"/>
  <c r="D19" i="51"/>
  <c r="D20" i="51"/>
  <c r="D21" i="51"/>
  <c r="D12" i="51"/>
  <c r="Z19" i="52"/>
  <c r="Y19" i="52"/>
  <c r="Y18" i="52"/>
  <c r="X17" i="52"/>
  <c r="Z17" i="52" s="1"/>
  <c r="Z16" i="52"/>
  <c r="X16" i="52"/>
  <c r="X15" i="52"/>
  <c r="Z15" i="52" s="1"/>
  <c r="W14" i="52"/>
  <c r="Z13" i="52"/>
  <c r="W13" i="52"/>
  <c r="W12" i="52"/>
  <c r="R30" i="52"/>
  <c r="Q30" i="52"/>
  <c r="Q29" i="52"/>
  <c r="P27" i="52"/>
  <c r="P28" i="52"/>
  <c r="P29" i="52"/>
  <c r="P30" i="52"/>
  <c r="P26" i="52"/>
  <c r="O24" i="52"/>
  <c r="O25" i="52"/>
  <c r="O26" i="52"/>
  <c r="O27" i="52"/>
  <c r="O28" i="52"/>
  <c r="O29" i="52"/>
  <c r="O30" i="52"/>
  <c r="O23" i="52"/>
  <c r="N23" i="52"/>
  <c r="N24" i="52"/>
  <c r="N25" i="52"/>
  <c r="N26" i="52"/>
  <c r="N27" i="52"/>
  <c r="N28" i="52"/>
  <c r="N29" i="52"/>
  <c r="N30" i="52"/>
  <c r="N22" i="52"/>
  <c r="M21" i="52"/>
  <c r="Q9" i="52"/>
  <c r="P9" i="52"/>
  <c r="O9" i="52"/>
  <c r="N9" i="52"/>
  <c r="M9" i="52"/>
  <c r="Q18" i="52"/>
  <c r="R21" i="52"/>
  <c r="M22" i="52"/>
  <c r="M23" i="52" s="1"/>
  <c r="M24" i="52" s="1"/>
  <c r="M25" i="52" s="1"/>
  <c r="M26" i="52" s="1"/>
  <c r="M27" i="52" s="1"/>
  <c r="M28" i="52" s="1"/>
  <c r="M29" i="52" s="1"/>
  <c r="M30" i="52" s="1"/>
  <c r="Q19" i="52"/>
  <c r="P17" i="52"/>
  <c r="P16" i="52"/>
  <c r="P15" i="52"/>
  <c r="R15" i="52" s="1"/>
  <c r="O14" i="52"/>
  <c r="R14" i="52" s="1"/>
  <c r="O13" i="52"/>
  <c r="R13" i="52"/>
  <c r="R18" i="52"/>
  <c r="R19" i="52"/>
  <c r="O12" i="52"/>
  <c r="M11" i="52"/>
  <c r="N11" i="52" s="1"/>
  <c r="R22" i="52" s="1"/>
  <c r="K12" i="52"/>
  <c r="K11" i="52"/>
  <c r="K10" i="52"/>
  <c r="K9" i="52"/>
  <c r="F30" i="50"/>
  <c r="F27" i="61" s="1"/>
  <c r="U27" i="61" s="1"/>
  <c r="H41" i="61" s="1"/>
  <c r="F27" i="50"/>
  <c r="F24" i="61" s="1"/>
  <c r="U24" i="61" s="1"/>
  <c r="U25" i="61" s="1"/>
  <c r="H40" i="61" s="1"/>
  <c r="F26" i="50"/>
  <c r="F23" i="61" s="1"/>
  <c r="U23" i="61" s="1"/>
  <c r="F23" i="50"/>
  <c r="F20" i="61" s="1"/>
  <c r="U20" i="61" s="1"/>
  <c r="U21" i="61" s="1"/>
  <c r="H39" i="61" s="1"/>
  <c r="F22" i="50"/>
  <c r="F19" i="61" s="1"/>
  <c r="U19" i="61" s="1"/>
  <c r="F19" i="50"/>
  <c r="F16" i="61" s="1"/>
  <c r="F18" i="50"/>
  <c r="F15" i="61" s="1"/>
  <c r="F17" i="50"/>
  <c r="F14" i="61" s="1"/>
  <c r="U14" i="61" s="1"/>
  <c r="U15" i="61" s="1"/>
  <c r="H38" i="61" s="1"/>
  <c r="F16" i="50"/>
  <c r="F13" i="61" s="1"/>
  <c r="U13" i="61" s="1"/>
  <c r="F10" i="50"/>
  <c r="F7" i="61" s="1"/>
  <c r="U7" i="61" s="1"/>
  <c r="F11" i="50"/>
  <c r="F8" i="61" s="1"/>
  <c r="F12" i="50"/>
  <c r="F9" i="61" s="1"/>
  <c r="F13" i="50"/>
  <c r="F10" i="61" s="1"/>
  <c r="F9" i="50"/>
  <c r="F6" i="61" s="1"/>
  <c r="U6" i="61" s="1"/>
  <c r="C5" i="50"/>
  <c r="X15" i="49"/>
  <c r="X17" i="49" s="1"/>
  <c r="V14" i="49"/>
  <c r="T14" i="49"/>
  <c r="R14" i="49"/>
  <c r="P14" i="49"/>
  <c r="N14" i="49"/>
  <c r="L14" i="49"/>
  <c r="J14" i="49"/>
  <c r="H14" i="49"/>
  <c r="F14" i="49"/>
  <c r="D14" i="49"/>
  <c r="V13" i="49"/>
  <c r="T13" i="49"/>
  <c r="R13" i="49"/>
  <c r="P13" i="49"/>
  <c r="N13" i="49"/>
  <c r="L13" i="49"/>
  <c r="J13" i="49"/>
  <c r="H13" i="49"/>
  <c r="F13" i="49"/>
  <c r="D13" i="49"/>
  <c r="V12" i="49"/>
  <c r="T12" i="49"/>
  <c r="R12" i="49"/>
  <c r="P12" i="49"/>
  <c r="N12" i="49"/>
  <c r="L12" i="49"/>
  <c r="J12" i="49"/>
  <c r="H12" i="49"/>
  <c r="F12" i="49"/>
  <c r="D12" i="49"/>
  <c r="V11" i="49"/>
  <c r="T11" i="49"/>
  <c r="R11" i="49"/>
  <c r="P11" i="49"/>
  <c r="N11" i="49"/>
  <c r="L11" i="49"/>
  <c r="J11" i="49"/>
  <c r="H11" i="49"/>
  <c r="F11" i="49"/>
  <c r="D11" i="49"/>
  <c r="V10" i="49"/>
  <c r="T10" i="49"/>
  <c r="R10" i="49"/>
  <c r="P10" i="49"/>
  <c r="P15" i="49" s="1"/>
  <c r="P17" i="49" s="1"/>
  <c r="N10" i="49"/>
  <c r="L10" i="49"/>
  <c r="L15" i="49" s="1"/>
  <c r="L17" i="49" s="1"/>
  <c r="J10" i="49"/>
  <c r="H10" i="49"/>
  <c r="F10" i="49"/>
  <c r="D10" i="49"/>
  <c r="B5" i="49"/>
  <c r="A3" i="48"/>
  <c r="J75" i="48"/>
  <c r="H75" i="48"/>
  <c r="J74" i="48"/>
  <c r="H74" i="48"/>
  <c r="J70" i="48"/>
  <c r="H70" i="48"/>
  <c r="J69" i="48"/>
  <c r="H69" i="48"/>
  <c r="J68" i="48"/>
  <c r="H68" i="48"/>
  <c r="J67" i="48"/>
  <c r="H67" i="48"/>
  <c r="J66" i="48"/>
  <c r="H66" i="48"/>
  <c r="J65" i="48"/>
  <c r="H65" i="48"/>
  <c r="J64" i="48"/>
  <c r="H64" i="48"/>
  <c r="J63" i="48"/>
  <c r="H63" i="48"/>
  <c r="J62" i="48"/>
  <c r="H62" i="48"/>
  <c r="J61" i="48"/>
  <c r="H61" i="48"/>
  <c r="J60" i="48"/>
  <c r="H60" i="48"/>
  <c r="J59" i="48"/>
  <c r="H59" i="48"/>
  <c r="J58" i="48"/>
  <c r="H58" i="48"/>
  <c r="J57" i="48"/>
  <c r="H57" i="48"/>
  <c r="J56" i="48"/>
  <c r="H56" i="48"/>
  <c r="J55" i="48"/>
  <c r="H55" i="48"/>
  <c r="J54" i="48"/>
  <c r="H54" i="48"/>
  <c r="J50" i="48"/>
  <c r="H50" i="48"/>
  <c r="J49" i="48"/>
  <c r="H49" i="48"/>
  <c r="J48" i="48"/>
  <c r="H48" i="48"/>
  <c r="J47" i="48"/>
  <c r="H47" i="48"/>
  <c r="J46" i="48"/>
  <c r="H46" i="48"/>
  <c r="J45" i="48"/>
  <c r="H45" i="48"/>
  <c r="J44" i="48"/>
  <c r="H44" i="48"/>
  <c r="J43" i="48"/>
  <c r="H43" i="48"/>
  <c r="J42" i="48"/>
  <c r="H42" i="48"/>
  <c r="J41" i="48"/>
  <c r="H41" i="48"/>
  <c r="J40" i="48"/>
  <c r="H40" i="48"/>
  <c r="J39" i="48"/>
  <c r="H39" i="48"/>
  <c r="J35" i="48"/>
  <c r="H35" i="48"/>
  <c r="J31" i="48"/>
  <c r="H31" i="48"/>
  <c r="J27" i="48"/>
  <c r="H27" i="48"/>
  <c r="J26" i="48"/>
  <c r="H26" i="48"/>
  <c r="J22" i="48"/>
  <c r="H22" i="48"/>
  <c r="J21" i="48"/>
  <c r="H21" i="48"/>
  <c r="J20" i="48"/>
  <c r="H20" i="48"/>
  <c r="J19" i="48"/>
  <c r="H19" i="48"/>
  <c r="J18" i="48"/>
  <c r="H18" i="48"/>
  <c r="J17" i="48"/>
  <c r="H17" i="48"/>
  <c r="J16" i="48"/>
  <c r="H16" i="48"/>
  <c r="J15" i="48"/>
  <c r="H15" i="48"/>
  <c r="J14" i="48"/>
  <c r="H14" i="48"/>
  <c r="J13" i="48"/>
  <c r="H13" i="48"/>
  <c r="J12" i="48"/>
  <c r="H12" i="48"/>
  <c r="J8" i="48"/>
  <c r="H8" i="48"/>
  <c r="F75" i="48"/>
  <c r="F74" i="48"/>
  <c r="F70" i="48"/>
  <c r="F69" i="48"/>
  <c r="F50" i="48"/>
  <c r="F49" i="48"/>
  <c r="F48" i="48"/>
  <c r="F47" i="48"/>
  <c r="F41" i="48"/>
  <c r="F40" i="48"/>
  <c r="F39" i="48"/>
  <c r="F35" i="48"/>
  <c r="F36" i="48" s="1"/>
  <c r="F31" i="48"/>
  <c r="F32" i="48" s="1"/>
  <c r="F22" i="48"/>
  <c r="F21" i="48"/>
  <c r="F20" i="48"/>
  <c r="F19" i="48"/>
  <c r="D75" i="48"/>
  <c r="D74" i="48"/>
  <c r="D76" i="48" s="1"/>
  <c r="D70" i="48"/>
  <c r="D69" i="48"/>
  <c r="D68" i="48"/>
  <c r="D67" i="48"/>
  <c r="D66" i="48"/>
  <c r="D65" i="48"/>
  <c r="D64" i="48"/>
  <c r="D63" i="48"/>
  <c r="D62" i="48"/>
  <c r="D61" i="48"/>
  <c r="D60" i="48"/>
  <c r="D59" i="48"/>
  <c r="D58" i="48"/>
  <c r="D57" i="48"/>
  <c r="D56" i="48"/>
  <c r="D55" i="48"/>
  <c r="D54" i="48"/>
  <c r="D50" i="48"/>
  <c r="D49" i="48"/>
  <c r="D48" i="48"/>
  <c r="D47" i="48"/>
  <c r="D46" i="48"/>
  <c r="D45" i="48"/>
  <c r="D44" i="48"/>
  <c r="D43" i="48"/>
  <c r="D42" i="48"/>
  <c r="D41" i="48"/>
  <c r="D40" i="48"/>
  <c r="D39" i="48"/>
  <c r="D35" i="48"/>
  <c r="D36" i="48" s="1"/>
  <c r="D31" i="48"/>
  <c r="D32" i="48" s="1"/>
  <c r="D27" i="48"/>
  <c r="D26" i="48"/>
  <c r="D22" i="48"/>
  <c r="D21" i="48"/>
  <c r="D20" i="48"/>
  <c r="D19" i="48"/>
  <c r="D18" i="48"/>
  <c r="D17" i="48"/>
  <c r="D16" i="48"/>
  <c r="D15" i="48"/>
  <c r="D14" i="48"/>
  <c r="D13" i="48"/>
  <c r="D12" i="48"/>
  <c r="D8" i="48"/>
  <c r="D9" i="48" s="1"/>
  <c r="H83" i="48"/>
  <c r="U8" i="61" l="1"/>
  <c r="H37" i="61" s="1"/>
  <c r="O30" i="53"/>
  <c r="O29" i="53"/>
  <c r="N30" i="53"/>
  <c r="D51" i="51"/>
  <c r="H37" i="51"/>
  <c r="O12" i="55"/>
  <c r="R12" i="55"/>
  <c r="T12" i="55" s="1"/>
  <c r="O11" i="55"/>
  <c r="R14" i="55"/>
  <c r="T14" i="55" s="1"/>
  <c r="R13" i="55"/>
  <c r="S20" i="55"/>
  <c r="M17" i="55"/>
  <c r="O17" i="55" s="1"/>
  <c r="R17" i="55"/>
  <c r="R18" i="55" s="1"/>
  <c r="R19" i="55" s="1"/>
  <c r="N20" i="55"/>
  <c r="S13" i="55"/>
  <c r="S19" i="55" s="1"/>
  <c r="N19" i="55"/>
  <c r="O13" i="55"/>
  <c r="R8" i="55"/>
  <c r="O14" i="55"/>
  <c r="M13" i="54"/>
  <c r="R10" i="54"/>
  <c r="N13" i="54"/>
  <c r="R18" i="54"/>
  <c r="T17" i="54"/>
  <c r="M18" i="54"/>
  <c r="O17" i="54"/>
  <c r="O11" i="54"/>
  <c r="X18" i="53"/>
  <c r="X15" i="53"/>
  <c r="X19" i="53"/>
  <c r="Q15" i="53"/>
  <c r="N23" i="53"/>
  <c r="N24" i="53"/>
  <c r="P29" i="53"/>
  <c r="Q18" i="53"/>
  <c r="P30" i="53"/>
  <c r="Q12" i="53"/>
  <c r="O27" i="53"/>
  <c r="N29" i="53"/>
  <c r="O28" i="53"/>
  <c r="M22" i="53"/>
  <c r="Q21" i="53"/>
  <c r="D24" i="51" s="1"/>
  <c r="X12" i="53"/>
  <c r="N25" i="53"/>
  <c r="Q13" i="53"/>
  <c r="Q16" i="53"/>
  <c r="Q19" i="53"/>
  <c r="N27" i="53"/>
  <c r="X13" i="53"/>
  <c r="N28" i="53"/>
  <c r="Z12" i="52"/>
  <c r="Z18" i="52"/>
  <c r="Z14" i="52"/>
  <c r="V11" i="52"/>
  <c r="R23" i="52"/>
  <c r="R11" i="52"/>
  <c r="R17" i="52"/>
  <c r="R24" i="52"/>
  <c r="R16" i="52"/>
  <c r="R12" i="52"/>
  <c r="R26" i="52"/>
  <c r="R25" i="52"/>
  <c r="N15" i="49"/>
  <c r="N17" i="49" s="1"/>
  <c r="R15" i="49"/>
  <c r="R17" i="49" s="1"/>
  <c r="F15" i="49"/>
  <c r="F17" i="49" s="1"/>
  <c r="H15" i="49"/>
  <c r="H17" i="49" s="1"/>
  <c r="T15" i="49"/>
  <c r="T17" i="49" s="1"/>
  <c r="V15" i="49"/>
  <c r="V17" i="49" s="1"/>
  <c r="D15" i="49"/>
  <c r="D17" i="49" s="1"/>
  <c r="J15" i="49"/>
  <c r="J17" i="49" s="1"/>
  <c r="F76" i="48"/>
  <c r="D51" i="48"/>
  <c r="D28" i="48"/>
  <c r="D23" i="48"/>
  <c r="D71" i="48"/>
  <c r="M18" i="55" l="1"/>
  <c r="T18" i="55"/>
  <c r="T13" i="55"/>
  <c r="T17" i="55"/>
  <c r="M19" i="55"/>
  <c r="O18" i="55"/>
  <c r="T19" i="55"/>
  <c r="R20" i="55"/>
  <c r="O13" i="54"/>
  <c r="M14" i="54"/>
  <c r="M15" i="54" s="1"/>
  <c r="R13" i="54"/>
  <c r="T13" i="54" s="1"/>
  <c r="O18" i="54"/>
  <c r="M19" i="54"/>
  <c r="R19" i="54"/>
  <c r="T18" i="54"/>
  <c r="M23" i="53"/>
  <c r="Q22" i="53"/>
  <c r="D25" i="51" s="1"/>
  <c r="Q11" i="53"/>
  <c r="Z11" i="52"/>
  <c r="R27" i="52"/>
  <c r="D85" i="48"/>
  <c r="T20" i="55" l="1"/>
  <c r="O19" i="55"/>
  <c r="M20" i="55"/>
  <c r="R15" i="54"/>
  <c r="T15" i="54" s="1"/>
  <c r="O15" i="54"/>
  <c r="R14" i="54"/>
  <c r="T14" i="54" s="1"/>
  <c r="O14" i="54"/>
  <c r="R20" i="54"/>
  <c r="T19" i="54"/>
  <c r="M20" i="54"/>
  <c r="O19" i="54"/>
  <c r="M24" i="53"/>
  <c r="Q23" i="53"/>
  <c r="D26" i="51" s="1"/>
  <c r="R28" i="52"/>
  <c r="O20" i="55" l="1"/>
  <c r="O20" i="54"/>
  <c r="M21" i="54"/>
  <c r="T20" i="54"/>
  <c r="R21" i="54"/>
  <c r="Q24" i="53"/>
  <c r="D27" i="51" s="1"/>
  <c r="M25" i="53"/>
  <c r="R29" i="52"/>
  <c r="R22" i="54" l="1"/>
  <c r="T21" i="54"/>
  <c r="M22" i="54"/>
  <c r="O21" i="54"/>
  <c r="Q25" i="53"/>
  <c r="D28" i="51" s="1"/>
  <c r="M26" i="53"/>
  <c r="O22" i="54" l="1"/>
  <c r="T22" i="54"/>
  <c r="M27" i="53"/>
  <c r="Q26" i="53"/>
  <c r="D29" i="51" s="1"/>
  <c r="Q27" i="53" l="1"/>
  <c r="D30" i="51" s="1"/>
  <c r="M28" i="53"/>
  <c r="Q28" i="53" l="1"/>
  <c r="D31" i="51" s="1"/>
  <c r="M29" i="53"/>
  <c r="Q29" i="53" l="1"/>
  <c r="D32" i="51" s="1"/>
  <c r="M30" i="53"/>
  <c r="Q30" i="53" s="1"/>
  <c r="D33" i="51" s="1"/>
  <c r="N54" i="16" l="1"/>
  <c r="T15" i="5"/>
  <c r="T12" i="5"/>
  <c r="T11" i="5"/>
  <c r="V11" i="5"/>
  <c r="V12" i="5"/>
  <c r="V13" i="5"/>
  <c r="V14" i="5"/>
  <c r="V15" i="5"/>
  <c r="T14" i="5"/>
  <c r="T13" i="5"/>
  <c r="R15" i="5"/>
  <c r="R14" i="5"/>
  <c r="R13" i="5"/>
  <c r="R12" i="5"/>
  <c r="R11" i="5"/>
  <c r="P11" i="5"/>
  <c r="P12" i="5"/>
  <c r="P13" i="5"/>
  <c r="P14" i="5"/>
  <c r="P15" i="5"/>
  <c r="N15" i="5"/>
  <c r="N14" i="5"/>
  <c r="N13" i="5"/>
  <c r="N12" i="5"/>
  <c r="N11" i="5"/>
  <c r="L11" i="5"/>
  <c r="L12" i="5"/>
  <c r="L13" i="5"/>
  <c r="L14" i="5"/>
  <c r="L15" i="5"/>
  <c r="J15" i="5"/>
  <c r="J14" i="5"/>
  <c r="J13" i="5"/>
  <c r="J12" i="5"/>
  <c r="J11" i="5"/>
  <c r="H11" i="5"/>
  <c r="H12" i="5"/>
  <c r="H14" i="5"/>
  <c r="H13" i="5"/>
  <c r="H15" i="5"/>
  <c r="F15" i="5"/>
  <c r="F14" i="5"/>
  <c r="F13" i="5"/>
  <c r="F12" i="5"/>
  <c r="F11" i="5"/>
  <c r="D15" i="5"/>
  <c r="D14" i="5"/>
  <c r="D13" i="5"/>
  <c r="D12" i="5"/>
  <c r="D11" i="5"/>
  <c r="AK47" i="47"/>
  <c r="AI47" i="47"/>
  <c r="AM46" i="47"/>
  <c r="AM45" i="47"/>
  <c r="AM44" i="47"/>
  <c r="AM43" i="47"/>
  <c r="AM42" i="47"/>
  <c r="AM41" i="47"/>
  <c r="AM40" i="47"/>
  <c r="AM39" i="47"/>
  <c r="AM38" i="47"/>
  <c r="AM37" i="47"/>
  <c r="AM36" i="47"/>
  <c r="AM35" i="47"/>
  <c r="AM34" i="47"/>
  <c r="AM33" i="47"/>
  <c r="AM32" i="47"/>
  <c r="AM31" i="47"/>
  <c r="AM30" i="47"/>
  <c r="AM29" i="47"/>
  <c r="AM28" i="47"/>
  <c r="AM27" i="47"/>
  <c r="AM26" i="47"/>
  <c r="AM25" i="47"/>
  <c r="AM24" i="47"/>
  <c r="AM23" i="47"/>
  <c r="AM22" i="47"/>
  <c r="AM21" i="47"/>
  <c r="AM20" i="47"/>
  <c r="AM19" i="47"/>
  <c r="AM18" i="47"/>
  <c r="AM17" i="47"/>
  <c r="AM16" i="47"/>
  <c r="AM15" i="47"/>
  <c r="AM14" i="47"/>
  <c r="AM13" i="47"/>
  <c r="AM12" i="47"/>
  <c r="AM11" i="47"/>
  <c r="AM10" i="47"/>
  <c r="AM9" i="47"/>
  <c r="AM8" i="47"/>
  <c r="AC47" i="47"/>
  <c r="AA47" i="47"/>
  <c r="AE46" i="47"/>
  <c r="AE45" i="47"/>
  <c r="AE44" i="47"/>
  <c r="AE43" i="47"/>
  <c r="AE42" i="47"/>
  <c r="AE41" i="47"/>
  <c r="AE40" i="47"/>
  <c r="AE39" i="47"/>
  <c r="AE38" i="47"/>
  <c r="AE37" i="47"/>
  <c r="AE36" i="47"/>
  <c r="AE35" i="47"/>
  <c r="AE34" i="47"/>
  <c r="AE33" i="47"/>
  <c r="AE32" i="47"/>
  <c r="AE31" i="47"/>
  <c r="AE30" i="47"/>
  <c r="AE29" i="47"/>
  <c r="AE28" i="47"/>
  <c r="AE27" i="47"/>
  <c r="AE26" i="47"/>
  <c r="AE25" i="47"/>
  <c r="AE24" i="47"/>
  <c r="AE23" i="47"/>
  <c r="AE22" i="47"/>
  <c r="AE21" i="47"/>
  <c r="AE20" i="47"/>
  <c r="AE19" i="47"/>
  <c r="AE18" i="47"/>
  <c r="AE17" i="47"/>
  <c r="AE16" i="47"/>
  <c r="AE15" i="47"/>
  <c r="AE14" i="47"/>
  <c r="AE13" i="47"/>
  <c r="AE12" i="47"/>
  <c r="AE11" i="47"/>
  <c r="AE10" i="47"/>
  <c r="AE9" i="47"/>
  <c r="AE8" i="47"/>
  <c r="U47" i="47"/>
  <c r="S47" i="47"/>
  <c r="W46" i="47"/>
  <c r="W45" i="47"/>
  <c r="W44" i="47"/>
  <c r="W43" i="47"/>
  <c r="W42" i="47"/>
  <c r="W41" i="47"/>
  <c r="W40" i="47"/>
  <c r="W39" i="47"/>
  <c r="W38" i="47"/>
  <c r="W37" i="47"/>
  <c r="W36" i="47"/>
  <c r="W35" i="47"/>
  <c r="W34" i="47"/>
  <c r="W33" i="47"/>
  <c r="W32" i="47"/>
  <c r="W31" i="47"/>
  <c r="W30" i="47"/>
  <c r="W29" i="47"/>
  <c r="W28" i="47"/>
  <c r="W27" i="47"/>
  <c r="W26" i="47"/>
  <c r="W25" i="47"/>
  <c r="W24" i="47"/>
  <c r="W23" i="47"/>
  <c r="W22" i="47"/>
  <c r="W21" i="47"/>
  <c r="W20" i="47"/>
  <c r="W19" i="47"/>
  <c r="W18" i="47"/>
  <c r="W17" i="47"/>
  <c r="W16" i="47"/>
  <c r="W15" i="47"/>
  <c r="W14" i="47"/>
  <c r="W13" i="47"/>
  <c r="W12" i="47"/>
  <c r="W11" i="47"/>
  <c r="W10" i="47"/>
  <c r="W9" i="47"/>
  <c r="W8" i="47"/>
  <c r="M47" i="47"/>
  <c r="K47" i="47"/>
  <c r="O46" i="47"/>
  <c r="O45" i="47"/>
  <c r="O44" i="47"/>
  <c r="O43" i="47"/>
  <c r="O42" i="47"/>
  <c r="O41" i="47"/>
  <c r="O40" i="47"/>
  <c r="O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O26" i="47"/>
  <c r="O25" i="47"/>
  <c r="O24" i="47"/>
  <c r="O23" i="47"/>
  <c r="O22" i="47"/>
  <c r="O21" i="47"/>
  <c r="O20" i="47"/>
  <c r="O19" i="47"/>
  <c r="O18" i="47"/>
  <c r="O17" i="47"/>
  <c r="O16" i="47"/>
  <c r="O15" i="47"/>
  <c r="O14" i="47"/>
  <c r="O13" i="47"/>
  <c r="O12" i="47"/>
  <c r="O11" i="47"/>
  <c r="O10" i="47"/>
  <c r="O9" i="47"/>
  <c r="O8" i="47"/>
  <c r="E47" i="47"/>
  <c r="C47" i="47"/>
  <c r="G46" i="47"/>
  <c r="G45" i="47"/>
  <c r="G44" i="47"/>
  <c r="G43" i="47"/>
  <c r="G42" i="47"/>
  <c r="G41" i="47"/>
  <c r="G40" i="47"/>
  <c r="G39" i="47"/>
  <c r="G38" i="47"/>
  <c r="G37" i="47"/>
  <c r="G36" i="47"/>
  <c r="G35" i="47"/>
  <c r="G34" i="47"/>
  <c r="G33" i="47"/>
  <c r="G32" i="47"/>
  <c r="G31" i="47"/>
  <c r="G30" i="47"/>
  <c r="G29" i="47"/>
  <c r="G28" i="47"/>
  <c r="G27" i="47"/>
  <c r="G26" i="47"/>
  <c r="G25" i="47"/>
  <c r="G24" i="47"/>
  <c r="G23" i="47"/>
  <c r="G22" i="47"/>
  <c r="G21" i="47"/>
  <c r="G20" i="47"/>
  <c r="G19" i="47"/>
  <c r="G18" i="47"/>
  <c r="G17" i="47"/>
  <c r="G16" i="47"/>
  <c r="G15" i="47"/>
  <c r="G14" i="47"/>
  <c r="G13" i="47"/>
  <c r="G12" i="47"/>
  <c r="G11" i="47"/>
  <c r="G10" i="47"/>
  <c r="G9" i="47"/>
  <c r="G8" i="47"/>
  <c r="G47" i="47" l="1"/>
  <c r="O47" i="47"/>
  <c r="AE47" i="47"/>
  <c r="AM47" i="47"/>
  <c r="W47" i="47"/>
  <c r="F76" i="15" l="1"/>
  <c r="F62" i="15"/>
  <c r="H46" i="15"/>
  <c r="G46" i="15"/>
  <c r="G45" i="15"/>
  <c r="F45" i="15"/>
  <c r="F46" i="15"/>
  <c r="F44" i="15"/>
  <c r="F80" i="10"/>
  <c r="F66" i="10"/>
  <c r="H50" i="10"/>
  <c r="G50" i="10"/>
  <c r="G49" i="10"/>
  <c r="F49" i="10"/>
  <c r="F50" i="10"/>
  <c r="F48" i="10"/>
  <c r="H13" i="10"/>
  <c r="B5" i="28"/>
  <c r="N27" i="16" l="1"/>
  <c r="H55" i="16"/>
  <c r="H42" i="16"/>
  <c r="O23" i="15"/>
  <c r="P23" i="15"/>
  <c r="E96" i="15"/>
  <c r="E97" i="15" s="1"/>
  <c r="G11" i="15" s="1"/>
  <c r="E91" i="15"/>
  <c r="D91" i="15"/>
  <c r="D96" i="15" s="1"/>
  <c r="F11" i="15" s="1"/>
  <c r="C82" i="15"/>
  <c r="E77" i="15"/>
  <c r="D77" i="15"/>
  <c r="D82" i="15" s="1"/>
  <c r="C76" i="15"/>
  <c r="C83" i="15" s="1"/>
  <c r="H75" i="15"/>
  <c r="F75" i="15"/>
  <c r="F74" i="15"/>
  <c r="G74" i="15" s="1"/>
  <c r="C68" i="15"/>
  <c r="E63" i="15"/>
  <c r="D63" i="15"/>
  <c r="D68" i="15" s="1"/>
  <c r="C62" i="15"/>
  <c r="C69" i="15" s="1"/>
  <c r="F61" i="15"/>
  <c r="H61" i="15" s="1"/>
  <c r="F60" i="15"/>
  <c r="G60" i="15" s="1"/>
  <c r="C54" i="15"/>
  <c r="C53" i="15"/>
  <c r="D52" i="15"/>
  <c r="C52" i="15"/>
  <c r="E47" i="15"/>
  <c r="D47" i="15"/>
  <c r="C46" i="15"/>
  <c r="C55" i="15" s="1"/>
  <c r="J43" i="15"/>
  <c r="F43" i="15"/>
  <c r="I42" i="15"/>
  <c r="H42" i="15"/>
  <c r="G42" i="15"/>
  <c r="F42" i="15"/>
  <c r="C34" i="15"/>
  <c r="C33" i="15"/>
  <c r="D32" i="15"/>
  <c r="C32" i="15"/>
  <c r="E27" i="15"/>
  <c r="D27" i="15"/>
  <c r="I26" i="15"/>
  <c r="H26" i="15"/>
  <c r="C26" i="15"/>
  <c r="C36" i="15" s="1"/>
  <c r="H25" i="15"/>
  <c r="F23" i="15"/>
  <c r="F22" i="15"/>
  <c r="I21" i="15"/>
  <c r="H21" i="15"/>
  <c r="G21" i="15"/>
  <c r="F21" i="15"/>
  <c r="O13" i="2"/>
  <c r="O14" i="2"/>
  <c r="O15" i="2"/>
  <c r="O16" i="2"/>
  <c r="O19" i="2"/>
  <c r="O20" i="2"/>
  <c r="O21" i="2"/>
  <c r="O22" i="2"/>
  <c r="O25" i="2"/>
  <c r="O26" i="2"/>
  <c r="O29" i="2"/>
  <c r="O30" i="2"/>
  <c r="O33" i="2"/>
  <c r="O12" i="2"/>
  <c r="F33" i="2"/>
  <c r="F30" i="2"/>
  <c r="F29" i="2"/>
  <c r="F26" i="2"/>
  <c r="F25" i="2"/>
  <c r="F16" i="2"/>
  <c r="F15" i="2"/>
  <c r="F14" i="2"/>
  <c r="F13" i="2"/>
  <c r="F12" i="2"/>
  <c r="B4" i="45"/>
  <c r="H20" i="10" l="1"/>
  <c r="H15" i="10" s="1"/>
  <c r="G44" i="15"/>
  <c r="J44" i="15" s="1"/>
  <c r="F10" i="15"/>
  <c r="K23" i="15"/>
  <c r="F9" i="15"/>
  <c r="F8" i="15"/>
  <c r="G25" i="15"/>
  <c r="K22" i="15"/>
  <c r="G23" i="15"/>
  <c r="H45" i="15"/>
  <c r="F26" i="15"/>
  <c r="G26" i="15"/>
  <c r="F24" i="15"/>
  <c r="C35" i="15"/>
  <c r="G24" i="15"/>
  <c r="F7" i="15"/>
  <c r="J21" i="15"/>
  <c r="F25" i="15"/>
  <c r="H47" i="15" l="1"/>
  <c r="E54" i="15" s="1"/>
  <c r="J45" i="15"/>
  <c r="I46" i="15"/>
  <c r="J46" i="15" s="1"/>
  <c r="I25" i="15"/>
  <c r="I27" i="15" s="1"/>
  <c r="E35" i="15" s="1"/>
  <c r="J26" i="15"/>
  <c r="G27" i="15"/>
  <c r="E33" i="15" s="1"/>
  <c r="H24" i="15"/>
  <c r="H27" i="15" s="1"/>
  <c r="E34" i="15" s="1"/>
  <c r="G62" i="15"/>
  <c r="F63" i="15"/>
  <c r="E68" i="15" s="1"/>
  <c r="F12" i="15"/>
  <c r="F27" i="15"/>
  <c r="E32" i="15" s="1"/>
  <c r="G76" i="15"/>
  <c r="F77" i="15"/>
  <c r="E82" i="15" s="1"/>
  <c r="G47" i="15"/>
  <c r="E53" i="15" s="1"/>
  <c r="F47" i="15"/>
  <c r="E52" i="15" s="1"/>
  <c r="J47" i="15" l="1"/>
  <c r="J27" i="15"/>
  <c r="E36" i="15"/>
  <c r="K25" i="15"/>
  <c r="E69" i="15"/>
  <c r="G63" i="15"/>
  <c r="H62" i="15"/>
  <c r="H63" i="15" s="1"/>
  <c r="E55" i="15"/>
  <c r="I47" i="15"/>
  <c r="E37" i="15"/>
  <c r="G7" i="15" s="1"/>
  <c r="E83" i="15"/>
  <c r="G77" i="15"/>
  <c r="H76" i="15"/>
  <c r="H77" i="15" s="1"/>
  <c r="K26" i="15"/>
  <c r="K24" i="15"/>
  <c r="E84" i="15" l="1"/>
  <c r="G10" i="15" s="1"/>
  <c r="E56" i="15"/>
  <c r="G8" i="15" s="1"/>
  <c r="E70" i="15"/>
  <c r="G9" i="15" s="1"/>
  <c r="K27" i="15"/>
  <c r="G12" i="15" l="1"/>
  <c r="L12" i="44" l="1"/>
  <c r="L15" i="44"/>
  <c r="L16" i="44"/>
  <c r="L17" i="44"/>
  <c r="L18" i="44"/>
  <c r="L19" i="44"/>
  <c r="L6" i="44"/>
  <c r="L8" i="44"/>
  <c r="L11" i="44"/>
  <c r="F20" i="44"/>
  <c r="D32" i="44" s="1"/>
  <c r="J20" i="44"/>
  <c r="L5" i="44"/>
  <c r="H20" i="44"/>
  <c r="D33" i="44" s="1"/>
  <c r="L14" i="44"/>
  <c r="L13" i="44"/>
  <c r="L10" i="44"/>
  <c r="L9" i="44"/>
  <c r="L7" i="44"/>
  <c r="L4" i="44"/>
  <c r="C28" i="16" l="1"/>
  <c r="D30" i="44"/>
  <c r="H22" i="44"/>
  <c r="H33" i="44" s="1"/>
  <c r="J33" i="44" s="1"/>
  <c r="C31" i="16"/>
  <c r="D20" i="44"/>
  <c r="D31" i="44" s="1"/>
  <c r="F22" i="44"/>
  <c r="C30" i="16"/>
  <c r="L20" i="44"/>
  <c r="L22" i="44" s="1"/>
  <c r="J22" i="44"/>
  <c r="O23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7" i="16"/>
  <c r="L8" i="16"/>
  <c r="L9" i="16"/>
  <c r="N9" i="16" s="1"/>
  <c r="P9" i="16" s="1"/>
  <c r="L10" i="16"/>
  <c r="L11" i="16"/>
  <c r="L12" i="16"/>
  <c r="L13" i="16"/>
  <c r="L14" i="16"/>
  <c r="L15" i="16"/>
  <c r="L16" i="16"/>
  <c r="L17" i="16"/>
  <c r="L18" i="16"/>
  <c r="L19" i="16"/>
  <c r="L20" i="16"/>
  <c r="L21" i="16"/>
  <c r="N21" i="16" s="1"/>
  <c r="P21" i="16" s="1"/>
  <c r="L22" i="16"/>
  <c r="L7" i="16"/>
  <c r="H30" i="44" l="1"/>
  <c r="J30" i="44" s="1"/>
  <c r="H32" i="44"/>
  <c r="J32" i="44" s="1"/>
  <c r="D22" i="44"/>
  <c r="H31" i="44" s="1"/>
  <c r="J31" i="44" s="1"/>
  <c r="C29" i="16"/>
  <c r="N8" i="16"/>
  <c r="P8" i="16" s="1"/>
  <c r="N13" i="16"/>
  <c r="P13" i="16" s="1"/>
  <c r="N18" i="16"/>
  <c r="P18" i="16" s="1"/>
  <c r="N17" i="16"/>
  <c r="P17" i="16" s="1"/>
  <c r="N16" i="16"/>
  <c r="P16" i="16" s="1"/>
  <c r="N15" i="16"/>
  <c r="P15" i="16" s="1"/>
  <c r="L23" i="16"/>
  <c r="N22" i="16"/>
  <c r="P22" i="16" s="1"/>
  <c r="N11" i="16"/>
  <c r="P11" i="16" s="1"/>
  <c r="N7" i="16"/>
  <c r="P7" i="16" s="1"/>
  <c r="M23" i="16"/>
  <c r="N20" i="16"/>
  <c r="P20" i="16" s="1"/>
  <c r="N19" i="16"/>
  <c r="P19" i="16" s="1"/>
  <c r="N14" i="16"/>
  <c r="P14" i="16" s="1"/>
  <c r="N12" i="16"/>
  <c r="P12" i="16" s="1"/>
  <c r="N10" i="16"/>
  <c r="P10" i="16" s="1"/>
  <c r="E30" i="16"/>
  <c r="F30" i="16" s="1"/>
  <c r="J34" i="44" l="1"/>
  <c r="J35" i="44" s="1"/>
  <c r="F38" i="44" s="1"/>
  <c r="F39" i="44" s="1"/>
  <c r="D34" i="44"/>
  <c r="P23" i="16"/>
  <c r="N23" i="16"/>
  <c r="N26" i="16" s="1"/>
  <c r="F41" i="44" l="1"/>
  <c r="N30" i="16"/>
  <c r="N32" i="16" s="1"/>
  <c r="N34" i="16" s="1"/>
  <c r="N28" i="16"/>
  <c r="K83" i="42"/>
  <c r="K76" i="42"/>
  <c r="I76" i="42"/>
  <c r="G76" i="42"/>
  <c r="M75" i="42"/>
  <c r="L75" i="48" s="1"/>
  <c r="M74" i="42"/>
  <c r="I71" i="42"/>
  <c r="G71" i="42"/>
  <c r="M70" i="42"/>
  <c r="M69" i="42"/>
  <c r="M68" i="42"/>
  <c r="L68" i="48" s="1"/>
  <c r="K68" i="42"/>
  <c r="F68" i="48" s="1"/>
  <c r="M67" i="42"/>
  <c r="K67" i="42"/>
  <c r="F67" i="48" s="1"/>
  <c r="M66" i="42"/>
  <c r="K66" i="42"/>
  <c r="F66" i="48" s="1"/>
  <c r="M65" i="42"/>
  <c r="L65" i="48" s="1"/>
  <c r="K65" i="42"/>
  <c r="F65" i="48" s="1"/>
  <c r="M64" i="42"/>
  <c r="L64" i="48" s="1"/>
  <c r="K64" i="42"/>
  <c r="F64" i="48" s="1"/>
  <c r="M63" i="42"/>
  <c r="K63" i="42"/>
  <c r="F63" i="48" s="1"/>
  <c r="M62" i="42"/>
  <c r="K62" i="42"/>
  <c r="F62" i="48" s="1"/>
  <c r="M61" i="42"/>
  <c r="L61" i="48" s="1"/>
  <c r="K61" i="42"/>
  <c r="F61" i="48" s="1"/>
  <c r="M60" i="42"/>
  <c r="L60" i="48" s="1"/>
  <c r="K60" i="42"/>
  <c r="F60" i="48" s="1"/>
  <c r="M59" i="42"/>
  <c r="K59" i="42"/>
  <c r="F59" i="48" s="1"/>
  <c r="M58" i="42"/>
  <c r="K58" i="42"/>
  <c r="F58" i="48" s="1"/>
  <c r="M57" i="42"/>
  <c r="L57" i="48" s="1"/>
  <c r="K57" i="42"/>
  <c r="F57" i="48" s="1"/>
  <c r="M56" i="42"/>
  <c r="L56" i="48" s="1"/>
  <c r="K56" i="42"/>
  <c r="F56" i="48" s="1"/>
  <c r="M55" i="42"/>
  <c r="K55" i="42"/>
  <c r="M54" i="42"/>
  <c r="K54" i="42"/>
  <c r="F54" i="48" s="1"/>
  <c r="I51" i="42"/>
  <c r="G51" i="42"/>
  <c r="M50" i="42"/>
  <c r="L50" i="48" s="1"/>
  <c r="M49" i="42"/>
  <c r="M48" i="42"/>
  <c r="M47" i="42"/>
  <c r="M46" i="42"/>
  <c r="K46" i="42"/>
  <c r="F46" i="48" s="1"/>
  <c r="M45" i="42"/>
  <c r="K45" i="42"/>
  <c r="F45" i="48" s="1"/>
  <c r="M44" i="42"/>
  <c r="K44" i="42"/>
  <c r="F44" i="48" s="1"/>
  <c r="M43" i="42"/>
  <c r="L43" i="48" s="1"/>
  <c r="K43" i="42"/>
  <c r="M42" i="42"/>
  <c r="K42" i="42"/>
  <c r="F42" i="48" s="1"/>
  <c r="M41" i="42"/>
  <c r="M40" i="42"/>
  <c r="M39" i="42"/>
  <c r="K36" i="42"/>
  <c r="I36" i="42"/>
  <c r="G36" i="42"/>
  <c r="M35" i="42"/>
  <c r="O35" i="42" s="1"/>
  <c r="N35" i="48" s="1"/>
  <c r="N36" i="48" s="1"/>
  <c r="K32" i="42"/>
  <c r="I32" i="42"/>
  <c r="G32" i="42"/>
  <c r="M31" i="42"/>
  <c r="O31" i="42" s="1"/>
  <c r="I28" i="42"/>
  <c r="G28" i="42"/>
  <c r="M27" i="42"/>
  <c r="L27" i="48" s="1"/>
  <c r="K27" i="42"/>
  <c r="F27" i="48" s="1"/>
  <c r="M26" i="42"/>
  <c r="K26" i="42"/>
  <c r="I23" i="42"/>
  <c r="G23" i="42"/>
  <c r="M22" i="42"/>
  <c r="M21" i="42"/>
  <c r="M20" i="42"/>
  <c r="M19" i="42"/>
  <c r="L19" i="48" s="1"/>
  <c r="M18" i="42"/>
  <c r="L18" i="48" s="1"/>
  <c r="K18" i="42"/>
  <c r="F18" i="48" s="1"/>
  <c r="M17" i="42"/>
  <c r="L17" i="48" s="1"/>
  <c r="K17" i="42"/>
  <c r="F17" i="48" s="1"/>
  <c r="M16" i="42"/>
  <c r="K16" i="42"/>
  <c r="F16" i="48" s="1"/>
  <c r="M15" i="42"/>
  <c r="K15" i="42"/>
  <c r="F15" i="48" s="1"/>
  <c r="M14" i="42"/>
  <c r="L14" i="48" s="1"/>
  <c r="K14" i="42"/>
  <c r="F14" i="48" s="1"/>
  <c r="M13" i="42"/>
  <c r="L13" i="48" s="1"/>
  <c r="K13" i="42"/>
  <c r="F13" i="48" s="1"/>
  <c r="M12" i="42"/>
  <c r="K12" i="42"/>
  <c r="I9" i="42"/>
  <c r="G9" i="42"/>
  <c r="O8" i="42"/>
  <c r="N8" i="48" s="1"/>
  <c r="N9" i="48" s="1"/>
  <c r="M8" i="42"/>
  <c r="L8" i="48" s="1"/>
  <c r="L9" i="48" s="1"/>
  <c r="K8" i="42"/>
  <c r="J16" i="5"/>
  <c r="J18" i="5" s="1"/>
  <c r="F16" i="5"/>
  <c r="F18" i="5" s="1"/>
  <c r="V16" i="5"/>
  <c r="V18" i="5" s="1"/>
  <c r="T16" i="5"/>
  <c r="T18" i="5" s="1"/>
  <c r="R16" i="5"/>
  <c r="R18" i="5" s="1"/>
  <c r="P16" i="5"/>
  <c r="P18" i="5" s="1"/>
  <c r="N16" i="5"/>
  <c r="N18" i="5" s="1"/>
  <c r="L16" i="5"/>
  <c r="L18" i="5" s="1"/>
  <c r="H16" i="5"/>
  <c r="H18" i="5" s="1"/>
  <c r="D16" i="5"/>
  <c r="D18" i="5" s="1"/>
  <c r="B5" i="5"/>
  <c r="F100" i="10"/>
  <c r="E95" i="10"/>
  <c r="E100" i="10" s="1"/>
  <c r="D95" i="10"/>
  <c r="D100" i="10" s="1"/>
  <c r="F11" i="10" s="1"/>
  <c r="D86" i="10"/>
  <c r="H86" i="10" s="1"/>
  <c r="C86" i="10"/>
  <c r="E81" i="10"/>
  <c r="D81" i="10"/>
  <c r="C80" i="10"/>
  <c r="C87" i="10" s="1"/>
  <c r="F79" i="10"/>
  <c r="F78" i="10"/>
  <c r="G78" i="10" s="1"/>
  <c r="C73" i="10"/>
  <c r="D72" i="10"/>
  <c r="F9" i="10" s="1"/>
  <c r="C72" i="10"/>
  <c r="E67" i="10"/>
  <c r="D67" i="10"/>
  <c r="C66" i="10"/>
  <c r="F65" i="10"/>
  <c r="G64" i="10"/>
  <c r="F64" i="10"/>
  <c r="C58" i="10"/>
  <c r="C57" i="10"/>
  <c r="D56" i="10"/>
  <c r="H56" i="10" s="1"/>
  <c r="C56" i="10"/>
  <c r="E51" i="10"/>
  <c r="D51" i="10"/>
  <c r="C50" i="10"/>
  <c r="C59" i="10" s="1"/>
  <c r="F47" i="10"/>
  <c r="H46" i="10"/>
  <c r="G46" i="10"/>
  <c r="F46" i="10"/>
  <c r="I46" i="10" s="1"/>
  <c r="F40" i="10"/>
  <c r="F73" i="10" s="1"/>
  <c r="F87" i="10" s="1"/>
  <c r="F39" i="10"/>
  <c r="F38" i="10"/>
  <c r="C38" i="10"/>
  <c r="F37" i="10"/>
  <c r="C37" i="10"/>
  <c r="C36" i="10"/>
  <c r="E31" i="10"/>
  <c r="D31" i="10"/>
  <c r="D36" i="10" s="1"/>
  <c r="I30" i="10"/>
  <c r="G30" i="10"/>
  <c r="F30" i="10"/>
  <c r="C30" i="10"/>
  <c r="C40" i="10" s="1"/>
  <c r="K26" i="10"/>
  <c r="F26" i="10"/>
  <c r="I25" i="10"/>
  <c r="H25" i="10"/>
  <c r="H29" i="10" s="1"/>
  <c r="G25" i="10"/>
  <c r="F25" i="10"/>
  <c r="H13" i="15"/>
  <c r="F8" i="10"/>
  <c r="O19" i="42" l="1"/>
  <c r="N19" i="48" s="1"/>
  <c r="O14" i="42"/>
  <c r="N14" i="48" s="1"/>
  <c r="O60" i="42"/>
  <c r="N60" i="48" s="1"/>
  <c r="M9" i="42"/>
  <c r="O32" i="42"/>
  <c r="N31" i="48"/>
  <c r="N32" i="48" s="1"/>
  <c r="O15" i="42"/>
  <c r="N15" i="48" s="1"/>
  <c r="L15" i="48"/>
  <c r="O21" i="42"/>
  <c r="N21" i="48" s="1"/>
  <c r="L21" i="48"/>
  <c r="O41" i="42"/>
  <c r="N41" i="48" s="1"/>
  <c r="L41" i="48"/>
  <c r="O47" i="42"/>
  <c r="N47" i="48" s="1"/>
  <c r="L47" i="48"/>
  <c r="O65" i="42"/>
  <c r="N65" i="48" s="1"/>
  <c r="O74" i="42"/>
  <c r="L74" i="48"/>
  <c r="L76" i="48" s="1"/>
  <c r="G85" i="42"/>
  <c r="O48" i="42"/>
  <c r="N48" i="48" s="1"/>
  <c r="L48" i="48"/>
  <c r="O56" i="42"/>
  <c r="N56" i="48" s="1"/>
  <c r="O22" i="42"/>
  <c r="N22" i="48" s="1"/>
  <c r="L22" i="48"/>
  <c r="O9" i="42"/>
  <c r="O16" i="42"/>
  <c r="N16" i="48" s="1"/>
  <c r="L16" i="48"/>
  <c r="O42" i="42"/>
  <c r="N42" i="48" s="1"/>
  <c r="L42" i="48"/>
  <c r="O49" i="42"/>
  <c r="N49" i="48" s="1"/>
  <c r="L49" i="48"/>
  <c r="O61" i="42"/>
  <c r="N61" i="48" s="1"/>
  <c r="O66" i="42"/>
  <c r="N66" i="48" s="1"/>
  <c r="L66" i="48"/>
  <c r="O75" i="42"/>
  <c r="N75" i="48" s="1"/>
  <c r="K51" i="42"/>
  <c r="F43" i="48"/>
  <c r="F51" i="48" s="1"/>
  <c r="O40" i="42"/>
  <c r="N40" i="48" s="1"/>
  <c r="L40" i="48"/>
  <c r="K23" i="42"/>
  <c r="F12" i="48"/>
  <c r="F23" i="48" s="1"/>
  <c r="O12" i="42"/>
  <c r="N12" i="48" s="1"/>
  <c r="L12" i="48"/>
  <c r="K28" i="42"/>
  <c r="F26" i="48"/>
  <c r="F28" i="48" s="1"/>
  <c r="M36" i="42"/>
  <c r="L35" i="48"/>
  <c r="L36" i="48" s="1"/>
  <c r="O50" i="42"/>
  <c r="N50" i="48" s="1"/>
  <c r="O57" i="42"/>
  <c r="N57" i="48" s="1"/>
  <c r="O62" i="42"/>
  <c r="N62" i="48" s="1"/>
  <c r="L62" i="48"/>
  <c r="O67" i="42"/>
  <c r="N67" i="48" s="1"/>
  <c r="L67" i="48"/>
  <c r="M32" i="42"/>
  <c r="L31" i="48"/>
  <c r="L32" i="48" s="1"/>
  <c r="O17" i="42"/>
  <c r="N17" i="48" s="1"/>
  <c r="O26" i="42"/>
  <c r="L26" i="48"/>
  <c r="L28" i="48" s="1"/>
  <c r="O43" i="42"/>
  <c r="N43" i="48" s="1"/>
  <c r="O58" i="42"/>
  <c r="N58" i="48" s="1"/>
  <c r="L58" i="48"/>
  <c r="O63" i="42"/>
  <c r="N63" i="48" s="1"/>
  <c r="L63" i="48"/>
  <c r="M76" i="42"/>
  <c r="O20" i="42"/>
  <c r="N20" i="48" s="1"/>
  <c r="L20" i="48"/>
  <c r="O13" i="42"/>
  <c r="N13" i="48" s="1"/>
  <c r="O44" i="42"/>
  <c r="N44" i="48" s="1"/>
  <c r="L44" i="48"/>
  <c r="F71" i="48"/>
  <c r="O68" i="42"/>
  <c r="N68" i="48" s="1"/>
  <c r="K9" i="42"/>
  <c r="F8" i="48"/>
  <c r="F9" i="48" s="1"/>
  <c r="O18" i="42"/>
  <c r="N18" i="48" s="1"/>
  <c r="O27" i="42"/>
  <c r="N27" i="48" s="1"/>
  <c r="O54" i="42"/>
  <c r="L54" i="48"/>
  <c r="O59" i="42"/>
  <c r="N59" i="48" s="1"/>
  <c r="L59" i="48"/>
  <c r="O69" i="42"/>
  <c r="N69" i="48" s="1"/>
  <c r="L69" i="48"/>
  <c r="O46" i="42"/>
  <c r="N46" i="48" s="1"/>
  <c r="L46" i="48"/>
  <c r="O36" i="42"/>
  <c r="O45" i="42"/>
  <c r="N45" i="48" s="1"/>
  <c r="L45" i="48"/>
  <c r="K71" i="42"/>
  <c r="F55" i="48"/>
  <c r="O64" i="42"/>
  <c r="N64" i="48" s="1"/>
  <c r="O70" i="42"/>
  <c r="N70" i="48" s="1"/>
  <c r="L70" i="48"/>
  <c r="M51" i="42"/>
  <c r="L39" i="48"/>
  <c r="O55" i="42"/>
  <c r="N55" i="48" s="1"/>
  <c r="L55" i="48"/>
  <c r="A2" i="10"/>
  <c r="A2" i="15"/>
  <c r="O39" i="42"/>
  <c r="M28" i="42"/>
  <c r="M23" i="42"/>
  <c r="M71" i="42"/>
  <c r="X22" i="5"/>
  <c r="X16" i="5"/>
  <c r="X18" i="5" s="1"/>
  <c r="X21" i="5"/>
  <c r="H36" i="10"/>
  <c r="F7" i="10"/>
  <c r="E101" i="10"/>
  <c r="G11" i="10" s="1"/>
  <c r="H100" i="10"/>
  <c r="H101" i="10" s="1"/>
  <c r="H11" i="10" s="1"/>
  <c r="H49" i="10"/>
  <c r="H51" i="10" s="1"/>
  <c r="E58" i="10" s="1"/>
  <c r="H58" i="10" s="1"/>
  <c r="F10" i="10"/>
  <c r="F28" i="10"/>
  <c r="H30" i="10"/>
  <c r="J30" i="10" s="1"/>
  <c r="K30" i="10" s="1"/>
  <c r="H65" i="10"/>
  <c r="H79" i="10"/>
  <c r="G28" i="10"/>
  <c r="H72" i="10"/>
  <c r="F67" i="10"/>
  <c r="E72" i="10" s="1"/>
  <c r="F81" i="10"/>
  <c r="E86" i="10" s="1"/>
  <c r="J47" i="10"/>
  <c r="J25" i="10"/>
  <c r="F29" i="10"/>
  <c r="G29" i="10"/>
  <c r="F27" i="10"/>
  <c r="L22" i="71" l="1"/>
  <c r="O76" i="42"/>
  <c r="N74" i="48"/>
  <c r="N76" i="48" s="1"/>
  <c r="L51" i="48"/>
  <c r="O28" i="42"/>
  <c r="N26" i="48"/>
  <c r="N28" i="48" s="1"/>
  <c r="L23" i="48"/>
  <c r="N23" i="48"/>
  <c r="O51" i="42"/>
  <c r="N39" i="48"/>
  <c r="N51" i="48" s="1"/>
  <c r="L71" i="48"/>
  <c r="O23" i="42"/>
  <c r="O71" i="42"/>
  <c r="N54" i="48"/>
  <c r="N71" i="48" s="1"/>
  <c r="X23" i="5"/>
  <c r="G27" i="10"/>
  <c r="F31" i="10"/>
  <c r="E36" i="10" s="1"/>
  <c r="J49" i="10"/>
  <c r="G48" i="10"/>
  <c r="G51" i="10" s="1"/>
  <c r="E57" i="10" s="1"/>
  <c r="H57" i="10" s="1"/>
  <c r="J31" i="10"/>
  <c r="E40" i="10"/>
  <c r="H40" i="10" s="1"/>
  <c r="G80" i="10"/>
  <c r="H28" i="10"/>
  <c r="H31" i="10" s="1"/>
  <c r="E38" i="10" s="1"/>
  <c r="H38" i="10" s="1"/>
  <c r="I29" i="10"/>
  <c r="I31" i="10" s="1"/>
  <c r="E39" i="10" s="1"/>
  <c r="H39" i="10" s="1"/>
  <c r="I50" i="10"/>
  <c r="G66" i="10"/>
  <c r="F12" i="10"/>
  <c r="F51" i="10"/>
  <c r="E56" i="10" s="1"/>
  <c r="C32" i="16"/>
  <c r="C5" i="2"/>
  <c r="R22" i="71" l="1"/>
  <c r="I51" i="10"/>
  <c r="E59" i="10"/>
  <c r="H59" i="10" s="1"/>
  <c r="H60" i="10" s="1"/>
  <c r="H8" i="10" s="1"/>
  <c r="J50" i="10"/>
  <c r="J48" i="10"/>
  <c r="K29" i="10"/>
  <c r="K28" i="10"/>
  <c r="E41" i="10"/>
  <c r="G7" i="10" s="1"/>
  <c r="G67" i="10"/>
  <c r="E73" i="10"/>
  <c r="G81" i="10"/>
  <c r="E87" i="10"/>
  <c r="G31" i="10"/>
  <c r="E37" i="10" s="1"/>
  <c r="H37" i="10" s="1"/>
  <c r="H41" i="10" s="1"/>
  <c r="H7" i="10" s="1"/>
  <c r="H66" i="10"/>
  <c r="H67" i="10" s="1"/>
  <c r="H80" i="10"/>
  <c r="H81" i="10" s="1"/>
  <c r="K27" i="10"/>
  <c r="E60" i="10"/>
  <c r="G8" i="10" s="1"/>
  <c r="J51" i="10" l="1"/>
  <c r="H73" i="10"/>
  <c r="H74" i="10" s="1"/>
  <c r="H9" i="10" s="1"/>
  <c r="E74" i="10"/>
  <c r="G9" i="10" s="1"/>
  <c r="H87" i="10"/>
  <c r="H88" i="10" s="1"/>
  <c r="H10" i="10" s="1"/>
  <c r="E88" i="10"/>
  <c r="G10" i="10" s="1"/>
  <c r="G12" i="10" s="1"/>
  <c r="K31" i="10"/>
  <c r="O27" i="10"/>
  <c r="P27" i="10" s="1"/>
  <c r="H12" i="10" l="1"/>
  <c r="H14" i="10" s="1"/>
  <c r="H15" i="15" s="1"/>
  <c r="H48" i="16" l="1"/>
  <c r="T8" i="16" l="1"/>
  <c r="T7" i="16"/>
  <c r="T9" i="16" l="1"/>
  <c r="T11" i="16" l="1"/>
  <c r="T12" i="16"/>
  <c r="E31" i="16"/>
  <c r="E29" i="16"/>
  <c r="F29" i="16" s="1"/>
  <c r="E28" i="16" l="1"/>
  <c r="F28" i="16" s="1"/>
  <c r="F31" i="16"/>
  <c r="F32" i="16" l="1"/>
  <c r="F33" i="16" s="1"/>
  <c r="D36" i="16" s="1"/>
  <c r="D37" i="16" s="1"/>
  <c r="D39" i="16" l="1"/>
  <c r="H49" i="16"/>
  <c r="H50" i="16" s="1"/>
  <c r="H24" i="71" l="1"/>
  <c r="T13" i="16"/>
  <c r="B16" i="23"/>
  <c r="L25" i="71" l="1"/>
  <c r="R26" i="71" s="1"/>
  <c r="G20" i="16"/>
  <c r="H46" i="16" l="1"/>
  <c r="D10" i="16" l="1"/>
  <c r="D14" i="16" l="1"/>
  <c r="C15" i="16" s="1"/>
  <c r="E14" i="16"/>
  <c r="E16" i="16" s="1"/>
  <c r="E21" i="16" l="1"/>
  <c r="E22" i="16" s="1"/>
  <c r="G21" i="16"/>
  <c r="G22" i="16" s="1"/>
  <c r="F21" i="16"/>
  <c r="F22" i="16" s="1"/>
  <c r="C11" i="57" l="1"/>
  <c r="H28" i="71"/>
  <c r="C10" i="57"/>
  <c r="C13" i="57" s="1"/>
  <c r="C16" i="57" s="1"/>
  <c r="C18" i="57" s="1"/>
  <c r="H27" i="71"/>
  <c r="H14" i="63" s="1"/>
  <c r="J14" i="63" l="1"/>
  <c r="H37" i="63"/>
  <c r="L28" i="71"/>
  <c r="R28" i="71" s="1"/>
  <c r="L27" i="71"/>
  <c r="L63" i="71"/>
  <c r="H39" i="71"/>
  <c r="H42" i="71" s="1"/>
  <c r="J37" i="63" l="1"/>
  <c r="N37" i="63" s="1"/>
  <c r="L14" i="63"/>
  <c r="L39" i="71"/>
  <c r="U35" i="71" s="1"/>
  <c r="R27" i="71"/>
  <c r="H52" i="16"/>
  <c r="H54" i="16" s="1"/>
  <c r="H56" i="16" s="1"/>
  <c r="L42" i="71" l="1"/>
  <c r="L46" i="71" s="1"/>
  <c r="N14" i="63"/>
  <c r="P14" i="63" s="1"/>
  <c r="L37" i="63"/>
  <c r="P37" i="63" s="1"/>
  <c r="R39" i="71"/>
  <c r="R42" i="71" s="1"/>
  <c r="L49" i="71"/>
  <c r="L61" i="71"/>
  <c r="N51" i="16"/>
  <c r="N53" i="16" s="1"/>
  <c r="N55" i="16" s="1"/>
  <c r="R46" i="71" l="1"/>
  <c r="H11" i="63"/>
  <c r="R49" i="71"/>
  <c r="R54" i="71" s="1"/>
  <c r="N46" i="71"/>
  <c r="N49" i="71" s="1"/>
  <c r="N54" i="71" s="1"/>
  <c r="L60" i="71"/>
  <c r="L64" i="71" s="1"/>
  <c r="L66" i="71" s="1"/>
  <c r="L54" i="71"/>
  <c r="H34" i="63" l="1"/>
  <c r="J11" i="63"/>
  <c r="H16" i="10"/>
  <c r="J34" i="63" l="1"/>
  <c r="J38" i="63" s="1"/>
  <c r="J40" i="63" s="1"/>
  <c r="L11" i="63"/>
  <c r="N11" i="63" s="1"/>
  <c r="P11" i="63" s="1"/>
  <c r="H12" i="71"/>
  <c r="L34" i="63" l="1"/>
  <c r="H17" i="71"/>
  <c r="H43" i="71" s="1"/>
  <c r="L12" i="71"/>
  <c r="H4" i="63" s="1"/>
  <c r="J4" i="63" l="1"/>
  <c r="J5" i="63" s="1"/>
  <c r="J6" i="63" s="1"/>
  <c r="J10" i="63" s="1"/>
  <c r="J15" i="63" s="1"/>
  <c r="J17" i="63" s="1"/>
  <c r="L4" i="63"/>
  <c r="N34" i="63"/>
  <c r="P34" i="63" s="1"/>
  <c r="L38" i="63"/>
  <c r="L40" i="63" s="1"/>
  <c r="R12" i="71"/>
  <c r="L17" i="71"/>
  <c r="L43" i="71" s="1"/>
  <c r="L55" i="71"/>
  <c r="L56" i="71" s="1"/>
  <c r="L57" i="71" s="1"/>
  <c r="L5" i="63" l="1"/>
  <c r="L20" i="63" s="1"/>
  <c r="L6" i="63"/>
  <c r="R55" i="71"/>
  <c r="H15" i="67" s="1"/>
  <c r="H16" i="67" s="1"/>
  <c r="R17" i="71"/>
  <c r="R43" i="71" s="1"/>
  <c r="O6" i="64"/>
  <c r="H19" i="67" l="1"/>
  <c r="H20" i="67" s="1"/>
  <c r="L10" i="63"/>
  <c r="L15" i="63" s="1"/>
  <c r="L17" i="63" s="1"/>
  <c r="N4" i="63"/>
  <c r="R56" i="71"/>
  <c r="N55" i="71"/>
  <c r="N56" i="71" s="1"/>
  <c r="R57" i="71" l="1"/>
  <c r="O8" i="2" s="1"/>
  <c r="H5" i="63"/>
  <c r="M17" i="15"/>
  <c r="H28" i="63" l="1"/>
  <c r="H6" i="63"/>
  <c r="H10" i="63" s="1"/>
  <c r="H15" i="63" s="1"/>
  <c r="H17" i="63" s="1"/>
  <c r="N5" i="63"/>
  <c r="P5" i="63"/>
  <c r="P15" i="2"/>
  <c r="P19" i="2"/>
  <c r="R19" i="2" s="1"/>
  <c r="L19" i="2" s="1"/>
  <c r="P29" i="2"/>
  <c r="R29" i="2" s="1"/>
  <c r="L29" i="2" s="1"/>
  <c r="P33" i="2"/>
  <c r="R33" i="2" s="1"/>
  <c r="L33" i="2" s="1"/>
  <c r="P14" i="2"/>
  <c r="P16" i="2"/>
  <c r="P13" i="2"/>
  <c r="R13" i="2" s="1"/>
  <c r="L13" i="2" s="1"/>
  <c r="P25" i="2"/>
  <c r="R25" i="2" s="1"/>
  <c r="L25" i="2" s="1"/>
  <c r="P12" i="2"/>
  <c r="R12" i="2" s="1"/>
  <c r="L12" i="2" s="1"/>
  <c r="S5" i="63" l="1"/>
  <c r="I10" i="62"/>
  <c r="L10" i="62" s="1"/>
  <c r="N10" i="62" s="1"/>
  <c r="F33" i="15"/>
  <c r="H33" i="15" s="1"/>
  <c r="I10" i="50"/>
  <c r="I11" i="59"/>
  <c r="L11" i="59" s="1"/>
  <c r="I10" i="53"/>
  <c r="U9" i="53" s="1"/>
  <c r="R16" i="2"/>
  <c r="L16" i="2" s="1"/>
  <c r="P22" i="2"/>
  <c r="P20" i="2"/>
  <c r="R20" i="2" s="1"/>
  <c r="L20" i="2" s="1"/>
  <c r="R14" i="2"/>
  <c r="L14" i="2" s="1"/>
  <c r="I30" i="50"/>
  <c r="F96" i="15"/>
  <c r="H96" i="15" s="1"/>
  <c r="H97" i="15" s="1"/>
  <c r="H11" i="15" s="1"/>
  <c r="I27" i="59"/>
  <c r="L27" i="59" s="1"/>
  <c r="I30" i="62"/>
  <c r="L30" i="62" s="1"/>
  <c r="N30" i="62" s="1"/>
  <c r="I26" i="62"/>
  <c r="L26" i="62" s="1"/>
  <c r="N26" i="62" s="1"/>
  <c r="I24" i="59"/>
  <c r="L24" i="59" s="1"/>
  <c r="F82" i="15"/>
  <c r="H82" i="15" s="1"/>
  <c r="I26" i="50"/>
  <c r="I16" i="62"/>
  <c r="L16" i="62" s="1"/>
  <c r="N16" i="62" s="1"/>
  <c r="F52" i="15"/>
  <c r="H52" i="15" s="1"/>
  <c r="I16" i="59"/>
  <c r="L16" i="59" s="1"/>
  <c r="I16" i="50"/>
  <c r="I9" i="53"/>
  <c r="T9" i="53" s="1"/>
  <c r="T21" i="53" s="1"/>
  <c r="P21" i="2"/>
  <c r="R21" i="2" s="1"/>
  <c r="L21" i="2" s="1"/>
  <c r="R15" i="2"/>
  <c r="L15" i="2" s="1"/>
  <c r="I22" i="62"/>
  <c r="L22" i="62" s="1"/>
  <c r="N22" i="62" s="1"/>
  <c r="I22" i="50"/>
  <c r="F68" i="15"/>
  <c r="H68" i="15" s="1"/>
  <c r="I21" i="59"/>
  <c r="L21" i="59" s="1"/>
  <c r="N6" i="63"/>
  <c r="N20" i="63"/>
  <c r="N3" i="63" s="1"/>
  <c r="O8" i="65" s="1"/>
  <c r="F32" i="15"/>
  <c r="H32" i="15" s="1"/>
  <c r="I10" i="59"/>
  <c r="L10" i="59" s="1"/>
  <c r="I9" i="50"/>
  <c r="I9" i="62"/>
  <c r="L9" i="62" s="1"/>
  <c r="N9" i="62" s="1"/>
  <c r="H29" i="63"/>
  <c r="H33" i="63" s="1"/>
  <c r="H38" i="63" s="1"/>
  <c r="H40" i="63" s="1"/>
  <c r="P28" i="63"/>
  <c r="N28" i="63"/>
  <c r="I18" i="62" l="1"/>
  <c r="L18" i="62" s="1"/>
  <c r="N18" i="62" s="1"/>
  <c r="I18" i="50"/>
  <c r="I18" i="59"/>
  <c r="L18" i="59" s="1"/>
  <c r="F54" i="15"/>
  <c r="H54" i="15" s="1"/>
  <c r="X21" i="53"/>
  <c r="F24" i="51" s="1"/>
  <c r="H24" i="51" s="1"/>
  <c r="J24" i="51" s="1"/>
  <c r="T22" i="53"/>
  <c r="J27" i="61"/>
  <c r="I49" i="53"/>
  <c r="F51" i="51"/>
  <c r="H51" i="51" s="1"/>
  <c r="J51" i="51" s="1"/>
  <c r="L30" i="50"/>
  <c r="N30" i="50" s="1"/>
  <c r="I49" i="52"/>
  <c r="I13" i="59"/>
  <c r="L13" i="59" s="1"/>
  <c r="I12" i="53"/>
  <c r="W9" i="53" s="1"/>
  <c r="I12" i="50"/>
  <c r="I12" i="62"/>
  <c r="L12" i="62" s="1"/>
  <c r="N12" i="62" s="1"/>
  <c r="F35" i="15"/>
  <c r="H35" i="15" s="1"/>
  <c r="L9" i="50"/>
  <c r="N9" i="50" s="1"/>
  <c r="I9" i="52"/>
  <c r="U9" i="52" s="1"/>
  <c r="U21" i="52" s="1"/>
  <c r="J6" i="61"/>
  <c r="J13" i="61"/>
  <c r="I35" i="52"/>
  <c r="L16" i="50"/>
  <c r="N16" i="50" s="1"/>
  <c r="I35" i="53"/>
  <c r="I11" i="62"/>
  <c r="L11" i="62" s="1"/>
  <c r="N11" i="62" s="1"/>
  <c r="I11" i="50"/>
  <c r="F34" i="15"/>
  <c r="H34" i="15" s="1"/>
  <c r="I12" i="59"/>
  <c r="L12" i="59" s="1"/>
  <c r="I11" i="53"/>
  <c r="V9" i="53" s="1"/>
  <c r="I17" i="62"/>
  <c r="L17" i="62" s="1"/>
  <c r="N17" i="62" s="1"/>
  <c r="F53" i="15"/>
  <c r="H53" i="15" s="1"/>
  <c r="I17" i="50"/>
  <c r="I17" i="59"/>
  <c r="L17" i="59" s="1"/>
  <c r="P26" i="2"/>
  <c r="R26" i="2" s="1"/>
  <c r="L26" i="2" s="1"/>
  <c r="R22" i="2"/>
  <c r="L22" i="2" s="1"/>
  <c r="P30" i="2"/>
  <c r="R30" i="2" s="1"/>
  <c r="P13" i="65"/>
  <c r="R13" i="65" s="1"/>
  <c r="L13" i="65" s="1"/>
  <c r="P15" i="65"/>
  <c r="P14" i="65"/>
  <c r="P19" i="65"/>
  <c r="R19" i="65" s="1"/>
  <c r="L19" i="65" s="1"/>
  <c r="P25" i="65"/>
  <c r="R25" i="65" s="1"/>
  <c r="L25" i="65" s="1"/>
  <c r="P29" i="65"/>
  <c r="R29" i="65" s="1"/>
  <c r="L29" i="65" s="1"/>
  <c r="P12" i="65"/>
  <c r="R12" i="65" s="1"/>
  <c r="L12" i="65" s="1"/>
  <c r="P33" i="65"/>
  <c r="R33" i="65" s="1"/>
  <c r="L33" i="65" s="1"/>
  <c r="P16" i="65"/>
  <c r="F36" i="15"/>
  <c r="H36" i="15" s="1"/>
  <c r="H37" i="15" s="1"/>
  <c r="H7" i="15" s="1"/>
  <c r="I13" i="50"/>
  <c r="I14" i="59"/>
  <c r="L14" i="59" s="1"/>
  <c r="I13" i="62"/>
  <c r="L13" i="62" s="1"/>
  <c r="N13" i="62" s="1"/>
  <c r="H19" i="68"/>
  <c r="N10" i="63"/>
  <c r="N15" i="63" s="1"/>
  <c r="N17" i="63" s="1"/>
  <c r="P4" i="63"/>
  <c r="J23" i="61"/>
  <c r="I45" i="52"/>
  <c r="L26" i="50"/>
  <c r="N26" i="50" s="1"/>
  <c r="I45" i="53"/>
  <c r="U27" i="53"/>
  <c r="U29" i="53"/>
  <c r="U25" i="53"/>
  <c r="U30" i="53"/>
  <c r="U24" i="53"/>
  <c r="U26" i="53"/>
  <c r="U23" i="53"/>
  <c r="U28" i="53"/>
  <c r="I10" i="52"/>
  <c r="V9" i="52" s="1"/>
  <c r="L10" i="50"/>
  <c r="N10" i="50" s="1"/>
  <c r="J7" i="61"/>
  <c r="J19" i="61"/>
  <c r="I41" i="52"/>
  <c r="L22" i="50"/>
  <c r="N22" i="50" s="1"/>
  <c r="I41" i="53"/>
  <c r="N43" i="63"/>
  <c r="N26" i="63" s="1"/>
  <c r="N29" i="63"/>
  <c r="I13" i="52" l="1"/>
  <c r="Y9" i="52" s="1"/>
  <c r="J10" i="61"/>
  <c r="N10" i="61" s="1"/>
  <c r="P10" i="61" s="1"/>
  <c r="L13" i="50"/>
  <c r="N13" i="50" s="1"/>
  <c r="I19" i="62"/>
  <c r="L19" i="62" s="1"/>
  <c r="N19" i="62" s="1"/>
  <c r="I19" i="50"/>
  <c r="F55" i="15"/>
  <c r="H55" i="15" s="1"/>
  <c r="H56" i="15" s="1"/>
  <c r="H8" i="15" s="1"/>
  <c r="I19" i="59"/>
  <c r="L19" i="59" s="1"/>
  <c r="F33" i="66"/>
  <c r="O33" i="66" s="1"/>
  <c r="F100" i="68"/>
  <c r="H100" i="68" s="1"/>
  <c r="H101" i="68" s="1"/>
  <c r="H11" i="68" s="1"/>
  <c r="V13" i="61"/>
  <c r="N13" i="61"/>
  <c r="P13" i="61" s="1"/>
  <c r="F83" i="15"/>
  <c r="H83" i="15" s="1"/>
  <c r="H84" i="15" s="1"/>
  <c r="H10" i="15" s="1"/>
  <c r="L30" i="2"/>
  <c r="F36" i="68"/>
  <c r="H36" i="68" s="1"/>
  <c r="F12" i="66"/>
  <c r="O12" i="66" s="1"/>
  <c r="I36" i="52"/>
  <c r="I36" i="53"/>
  <c r="L17" i="50"/>
  <c r="N17" i="50" s="1"/>
  <c r="J14" i="61"/>
  <c r="V6" i="61"/>
  <c r="N6" i="61"/>
  <c r="P6" i="61" s="1"/>
  <c r="V27" i="61"/>
  <c r="N27" i="61"/>
  <c r="P27" i="61" s="1"/>
  <c r="V25" i="52"/>
  <c r="V26" i="52"/>
  <c r="V28" i="52"/>
  <c r="V30" i="52"/>
  <c r="V23" i="52"/>
  <c r="V24" i="52"/>
  <c r="V29" i="52"/>
  <c r="V27" i="52"/>
  <c r="V22" i="52"/>
  <c r="F86" i="68"/>
  <c r="H86" i="68" s="1"/>
  <c r="F29" i="66"/>
  <c r="O29" i="66" s="1"/>
  <c r="Z21" i="52"/>
  <c r="F12" i="51" s="1"/>
  <c r="H12" i="51" s="1"/>
  <c r="J12" i="51" s="1"/>
  <c r="U22" i="52"/>
  <c r="X22" i="53"/>
  <c r="F25" i="51" s="1"/>
  <c r="H25" i="51" s="1"/>
  <c r="J25" i="51" s="1"/>
  <c r="T23" i="53"/>
  <c r="R16" i="65"/>
  <c r="L16" i="65" s="1"/>
  <c r="P22" i="65"/>
  <c r="V23" i="61"/>
  <c r="N23" i="61"/>
  <c r="P23" i="61" s="1"/>
  <c r="F25" i="66"/>
  <c r="O25" i="66" s="1"/>
  <c r="F72" i="68"/>
  <c r="H72" i="68" s="1"/>
  <c r="V19" i="61"/>
  <c r="N19" i="61"/>
  <c r="P19" i="61" s="1"/>
  <c r="N7" i="61"/>
  <c r="P7" i="61" s="1"/>
  <c r="V7" i="61"/>
  <c r="F56" i="68"/>
  <c r="H56" i="68" s="1"/>
  <c r="F19" i="66"/>
  <c r="O19" i="66" s="1"/>
  <c r="V26" i="53"/>
  <c r="V28" i="53"/>
  <c r="V27" i="53"/>
  <c r="V30" i="53"/>
  <c r="V29" i="53"/>
  <c r="I22" i="59"/>
  <c r="L22" i="59" s="1"/>
  <c r="I23" i="62"/>
  <c r="L23" i="62" s="1"/>
  <c r="N23" i="62" s="1"/>
  <c r="I23" i="50"/>
  <c r="F69" i="15"/>
  <c r="H69" i="15" s="1"/>
  <c r="H70" i="15" s="1"/>
  <c r="H9" i="15" s="1"/>
  <c r="R14" i="65"/>
  <c r="L14" i="65" s="1"/>
  <c r="P20" i="65"/>
  <c r="R20" i="65" s="1"/>
  <c r="L20" i="65" s="1"/>
  <c r="P27" i="63"/>
  <c r="N33" i="63"/>
  <c r="N38" i="63" s="1"/>
  <c r="N40" i="63" s="1"/>
  <c r="P21" i="65"/>
  <c r="R21" i="65" s="1"/>
  <c r="L21" i="65" s="1"/>
  <c r="R15" i="65"/>
  <c r="L15" i="65" s="1"/>
  <c r="L12" i="50"/>
  <c r="N12" i="50" s="1"/>
  <c r="I12" i="52"/>
  <c r="X9" i="52" s="1"/>
  <c r="J9" i="61"/>
  <c r="N9" i="61" s="1"/>
  <c r="P9" i="61" s="1"/>
  <c r="I37" i="52"/>
  <c r="I37" i="53"/>
  <c r="J15" i="61"/>
  <c r="N15" i="61" s="1"/>
  <c r="P15" i="61" s="1"/>
  <c r="L18" i="50"/>
  <c r="N18" i="50" s="1"/>
  <c r="F37" i="68"/>
  <c r="H37" i="68" s="1"/>
  <c r="F13" i="66"/>
  <c r="O13" i="66" s="1"/>
  <c r="I11" i="52"/>
  <c r="W9" i="52" s="1"/>
  <c r="L11" i="50"/>
  <c r="N11" i="50" s="1"/>
  <c r="J8" i="61"/>
  <c r="N8" i="61" s="1"/>
  <c r="P8" i="61" s="1"/>
  <c r="W29" i="53"/>
  <c r="W30" i="53"/>
  <c r="H12" i="15" l="1"/>
  <c r="H14" i="15" s="1"/>
  <c r="H16" i="15" s="1"/>
  <c r="M16" i="15" s="1"/>
  <c r="M18" i="15" s="1"/>
  <c r="M19" i="15" s="1"/>
  <c r="U23" i="52"/>
  <c r="Z22" i="52"/>
  <c r="F13" i="51" s="1"/>
  <c r="H13" i="51" s="1"/>
  <c r="J13" i="51" s="1"/>
  <c r="J20" i="61"/>
  <c r="I42" i="52"/>
  <c r="L23" i="50"/>
  <c r="N23" i="50" s="1"/>
  <c r="I42" i="53"/>
  <c r="V8" i="61"/>
  <c r="F39" i="68"/>
  <c r="H39" i="68" s="1"/>
  <c r="F15" i="66"/>
  <c r="O15" i="66" s="1"/>
  <c r="I38" i="53"/>
  <c r="I38" i="52"/>
  <c r="J16" i="61"/>
  <c r="N16" i="61" s="1"/>
  <c r="P16" i="61" s="1"/>
  <c r="L19" i="50"/>
  <c r="N19" i="50" s="1"/>
  <c r="X27" i="52"/>
  <c r="X30" i="52"/>
  <c r="X28" i="52"/>
  <c r="X26" i="52"/>
  <c r="X29" i="52"/>
  <c r="F58" i="68"/>
  <c r="H58" i="68" s="1"/>
  <c r="F21" i="66"/>
  <c r="O21" i="66" s="1"/>
  <c r="P26" i="65"/>
  <c r="R26" i="65" s="1"/>
  <c r="L26" i="65" s="1"/>
  <c r="P30" i="65"/>
  <c r="R30" i="65" s="1"/>
  <c r="L30" i="65" s="1"/>
  <c r="R22" i="65"/>
  <c r="L22" i="65" s="1"/>
  <c r="F40" i="68"/>
  <c r="H40" i="68" s="1"/>
  <c r="F16" i="66"/>
  <c r="O16" i="66" s="1"/>
  <c r="F14" i="66"/>
  <c r="O14" i="66" s="1"/>
  <c r="F38" i="68"/>
  <c r="H38" i="68" s="1"/>
  <c r="W27" i="61"/>
  <c r="X27" i="61" s="1"/>
  <c r="J41" i="61"/>
  <c r="L41" i="61" s="1"/>
  <c r="N41" i="61" s="1"/>
  <c r="W23" i="52"/>
  <c r="W29" i="52"/>
  <c r="W25" i="52"/>
  <c r="W30" i="52"/>
  <c r="W28" i="52"/>
  <c r="W26" i="52"/>
  <c r="W24" i="52"/>
  <c r="W27" i="52"/>
  <c r="P29" i="63"/>
  <c r="P33" i="63" s="1"/>
  <c r="P38" i="63" s="1"/>
  <c r="P40" i="63" s="1"/>
  <c r="P43" i="63"/>
  <c r="P26" i="63" s="1"/>
  <c r="T24" i="53"/>
  <c r="X23" i="53"/>
  <c r="F26" i="51" s="1"/>
  <c r="H26" i="51" s="1"/>
  <c r="J26" i="51" s="1"/>
  <c r="V14" i="61"/>
  <c r="V15" i="61" s="1"/>
  <c r="N14" i="61"/>
  <c r="P14" i="61" s="1"/>
  <c r="F57" i="68"/>
  <c r="H57" i="68" s="1"/>
  <c r="F20" i="66"/>
  <c r="O20" i="66" s="1"/>
  <c r="I27" i="62"/>
  <c r="L27" i="62" s="1"/>
  <c r="N27" i="62" s="1"/>
  <c r="I25" i="59"/>
  <c r="L25" i="59" s="1"/>
  <c r="I27" i="50"/>
  <c r="Y29" i="52"/>
  <c r="Y30" i="52"/>
  <c r="H41" i="68" l="1"/>
  <c r="H7" i="68" s="1"/>
  <c r="F30" i="66"/>
  <c r="O30" i="66" s="1"/>
  <c r="F87" i="68"/>
  <c r="H87" i="68" s="1"/>
  <c r="H88" i="68" s="1"/>
  <c r="H10" i="68" s="1"/>
  <c r="J37" i="61"/>
  <c r="L37" i="61" s="1"/>
  <c r="N37" i="61" s="1"/>
  <c r="W8" i="61"/>
  <c r="X8" i="61" s="1"/>
  <c r="F73" i="68"/>
  <c r="H73" i="68" s="1"/>
  <c r="H74" i="68" s="1"/>
  <c r="H9" i="68" s="1"/>
  <c r="F26" i="66"/>
  <c r="O26" i="66" s="1"/>
  <c r="J38" i="61"/>
  <c r="L38" i="61" s="1"/>
  <c r="N38" i="61" s="1"/>
  <c r="W15" i="61"/>
  <c r="X15" i="61" s="1"/>
  <c r="V20" i="61"/>
  <c r="V21" i="61" s="1"/>
  <c r="N20" i="61"/>
  <c r="P20" i="61" s="1"/>
  <c r="X24" i="53"/>
  <c r="F27" i="51" s="1"/>
  <c r="H27" i="51" s="1"/>
  <c r="J27" i="51" s="1"/>
  <c r="T25" i="53"/>
  <c r="J24" i="61"/>
  <c r="I46" i="52"/>
  <c r="I46" i="53"/>
  <c r="L27" i="50"/>
  <c r="N27" i="50" s="1"/>
  <c r="Z23" i="52"/>
  <c r="F14" i="51" s="1"/>
  <c r="H14" i="51" s="1"/>
  <c r="J14" i="51" s="1"/>
  <c r="U24" i="52"/>
  <c r="F22" i="66"/>
  <c r="O22" i="66" s="1"/>
  <c r="F59" i="68"/>
  <c r="H59" i="68" s="1"/>
  <c r="H60" i="68" s="1"/>
  <c r="H8" i="68" s="1"/>
  <c r="H12" i="68" s="1"/>
  <c r="H14" i="68" s="1"/>
  <c r="H16" i="68" l="1"/>
  <c r="H18" i="68"/>
  <c r="H20" i="68" s="1"/>
  <c r="Z24" i="52"/>
  <c r="F15" i="51" s="1"/>
  <c r="H15" i="51" s="1"/>
  <c r="J15" i="51" s="1"/>
  <c r="U25" i="52"/>
  <c r="J39" i="61"/>
  <c r="L39" i="61" s="1"/>
  <c r="N39" i="61" s="1"/>
  <c r="W21" i="61"/>
  <c r="X21" i="61" s="1"/>
  <c r="N24" i="61"/>
  <c r="P24" i="61" s="1"/>
  <c r="V24" i="61"/>
  <c r="V25" i="61" s="1"/>
  <c r="T26" i="53"/>
  <c r="X25" i="53"/>
  <c r="F28" i="51" s="1"/>
  <c r="H28" i="51" s="1"/>
  <c r="J28" i="51" s="1"/>
  <c r="X26" i="53" l="1"/>
  <c r="F29" i="51" s="1"/>
  <c r="H29" i="51" s="1"/>
  <c r="J29" i="51" s="1"/>
  <c r="T27" i="53"/>
  <c r="J40" i="61"/>
  <c r="L40" i="61" s="1"/>
  <c r="N40" i="61" s="1"/>
  <c r="W25" i="61"/>
  <c r="X25" i="61" s="1"/>
  <c r="U26" i="52"/>
  <c r="Z25" i="52"/>
  <c r="F16" i="51" s="1"/>
  <c r="H16" i="51" s="1"/>
  <c r="J16" i="51" s="1"/>
  <c r="T28" i="53" l="1"/>
  <c r="X27" i="53"/>
  <c r="F30" i="51" s="1"/>
  <c r="H30" i="51" s="1"/>
  <c r="J30" i="51" s="1"/>
  <c r="U27" i="52"/>
  <c r="Z26" i="52"/>
  <c r="F17" i="51" s="1"/>
  <c r="H17" i="51" s="1"/>
  <c r="J17" i="51" s="1"/>
  <c r="U28" i="52" l="1"/>
  <c r="Z27" i="52"/>
  <c r="F18" i="51" s="1"/>
  <c r="H18" i="51" s="1"/>
  <c r="J18" i="51" s="1"/>
  <c r="X28" i="53"/>
  <c r="F31" i="51" s="1"/>
  <c r="H31" i="51" s="1"/>
  <c r="J31" i="51" s="1"/>
  <c r="T29" i="53"/>
  <c r="P20" i="63"/>
  <c r="P3" i="63" s="1"/>
  <c r="O8" i="66" s="1"/>
  <c r="X29" i="53" l="1"/>
  <c r="F32" i="51" s="1"/>
  <c r="H32" i="51" s="1"/>
  <c r="J32" i="51" s="1"/>
  <c r="T30" i="53"/>
  <c r="X30" i="53" s="1"/>
  <c r="F33" i="51" s="1"/>
  <c r="H33" i="51" s="1"/>
  <c r="J33" i="51" s="1"/>
  <c r="Z28" i="52"/>
  <c r="F19" i="51" s="1"/>
  <c r="H19" i="51" s="1"/>
  <c r="J19" i="51" s="1"/>
  <c r="U29" i="52"/>
  <c r="P13" i="66"/>
  <c r="R13" i="66" s="1"/>
  <c r="L13" i="66" s="1"/>
  <c r="F37" i="69" s="1"/>
  <c r="H37" i="69" s="1"/>
  <c r="P29" i="66"/>
  <c r="R29" i="66" s="1"/>
  <c r="L29" i="66" s="1"/>
  <c r="F86" i="69" s="1"/>
  <c r="H86" i="69" s="1"/>
  <c r="P33" i="66"/>
  <c r="R33" i="66" s="1"/>
  <c r="L33" i="66" s="1"/>
  <c r="F100" i="69" s="1"/>
  <c r="H100" i="69" s="1"/>
  <c r="H101" i="69" s="1"/>
  <c r="H11" i="69" s="1"/>
  <c r="P19" i="66"/>
  <c r="R19" i="66" s="1"/>
  <c r="L19" i="66" s="1"/>
  <c r="F56" i="69" s="1"/>
  <c r="H56" i="69" s="1"/>
  <c r="P12" i="66"/>
  <c r="R12" i="66" s="1"/>
  <c r="L12" i="66" s="1"/>
  <c r="F36" i="69" s="1"/>
  <c r="H36" i="69" s="1"/>
  <c r="P25" i="66"/>
  <c r="R25" i="66" s="1"/>
  <c r="L25" i="66" s="1"/>
  <c r="F72" i="69" s="1"/>
  <c r="H72" i="69" s="1"/>
  <c r="P15" i="66"/>
  <c r="P14" i="66"/>
  <c r="P16" i="66"/>
  <c r="P6" i="63"/>
  <c r="P10" i="63" s="1"/>
  <c r="P15" i="63" s="1"/>
  <c r="P17" i="63" s="1"/>
  <c r="Z29" i="52" l="1"/>
  <c r="F20" i="51" s="1"/>
  <c r="H20" i="51" s="1"/>
  <c r="J20" i="51" s="1"/>
  <c r="U30" i="52"/>
  <c r="Z30" i="52" s="1"/>
  <c r="F21" i="51" s="1"/>
  <c r="H21" i="51" s="1"/>
  <c r="J21" i="51" s="1"/>
  <c r="P22" i="66"/>
  <c r="R16" i="66"/>
  <c r="L16" i="66" s="1"/>
  <c r="F40" i="69" s="1"/>
  <c r="H40" i="69" s="1"/>
  <c r="H19" i="69"/>
  <c r="P21" i="66"/>
  <c r="R21" i="66" s="1"/>
  <c r="L21" i="66" s="1"/>
  <c r="F58" i="69" s="1"/>
  <c r="H58" i="69" s="1"/>
  <c r="R15" i="66"/>
  <c r="L15" i="66" s="1"/>
  <c r="F39" i="69" s="1"/>
  <c r="H39" i="69" s="1"/>
  <c r="P20" i="66"/>
  <c r="R20" i="66" s="1"/>
  <c r="L20" i="66" s="1"/>
  <c r="F57" i="69" s="1"/>
  <c r="H57" i="69" s="1"/>
  <c r="R14" i="66"/>
  <c r="L14" i="66" s="1"/>
  <c r="F38" i="69" s="1"/>
  <c r="H38" i="69" s="1"/>
  <c r="H41" i="69" s="1"/>
  <c r="H7" i="69" s="1"/>
  <c r="P30" i="66" l="1"/>
  <c r="R30" i="66" s="1"/>
  <c r="L30" i="66" s="1"/>
  <c r="F87" i="69" s="1"/>
  <c r="H87" i="69" s="1"/>
  <c r="H88" i="69" s="1"/>
  <c r="H10" i="69" s="1"/>
  <c r="P26" i="66"/>
  <c r="R26" i="66" s="1"/>
  <c r="L26" i="66" s="1"/>
  <c r="F73" i="69" s="1"/>
  <c r="H73" i="69" s="1"/>
  <c r="H74" i="69" s="1"/>
  <c r="H9" i="69" s="1"/>
  <c r="R22" i="66"/>
  <c r="L22" i="66" s="1"/>
  <c r="F59" i="69" s="1"/>
  <c r="H59" i="69" s="1"/>
  <c r="H60" i="69" s="1"/>
  <c r="H8" i="69" s="1"/>
  <c r="H12" i="69" l="1"/>
  <c r="H14" i="69" s="1"/>
  <c r="H16" i="69" s="1"/>
  <c r="H18" i="69" l="1"/>
  <c r="H20" i="6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AlanV</author>
    <author>Alan Vilines</author>
  </authors>
  <commentList>
    <comment ref="N43" authorId="0" shapeId="0" xr:uid="{AA0AC8BA-F766-468F-A505-DFDF89079FD3}">
      <text>
        <r>
          <rPr>
            <b/>
            <sz val="9"/>
            <color indexed="81"/>
            <rFont val="Tahoma"/>
            <family val="2"/>
          </rPr>
          <t>AlanV:</t>
        </r>
        <r>
          <rPr>
            <sz val="9"/>
            <color indexed="81"/>
            <rFont val="Tahoma"/>
            <family val="2"/>
          </rPr>
          <t xml:space="preserve">
Includes Commissioners</t>
        </r>
      </text>
    </comment>
    <comment ref="N52" authorId="1" shapeId="0" xr:uid="{1E910838-C337-43DD-BFCF-0FBE4A63D67C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new rate effective 7/1/22
 per KPPA web site</t>
        </r>
      </text>
    </comment>
  </commentList>
</comments>
</file>

<file path=xl/sharedStrings.xml><?xml version="1.0" encoding="utf-8"?>
<sst xmlns="http://schemas.openxmlformats.org/spreadsheetml/2006/main" count="2576" uniqueCount="530">
  <si>
    <t>TOTALS</t>
  </si>
  <si>
    <t>Life</t>
  </si>
  <si>
    <t>Operating Revenues</t>
  </si>
  <si>
    <t>Total Operating Revenues</t>
  </si>
  <si>
    <t>Operating Expenses</t>
  </si>
  <si>
    <t>Total Operating Expenses</t>
  </si>
  <si>
    <t>Pro Forma Operating Expenses</t>
  </si>
  <si>
    <t>Other Operating Revenue</t>
  </si>
  <si>
    <t>Operation and Maintenance</t>
  </si>
  <si>
    <t>Total Operation and Mnt. Expenses</t>
  </si>
  <si>
    <t>Depreciation Expense</t>
  </si>
  <si>
    <t>Taxes Other Than Income</t>
  </si>
  <si>
    <t>Salaries and Wages - Employees</t>
  </si>
  <si>
    <t>Salaries and Wages - Officers</t>
  </si>
  <si>
    <t>Employee Pensions and Benefits</t>
  </si>
  <si>
    <t>Purchased Water</t>
  </si>
  <si>
    <t>Purchased Power</t>
  </si>
  <si>
    <t>Miscellaneous Expenses</t>
  </si>
  <si>
    <t>Additional Working Capital</t>
  </si>
  <si>
    <t>Adjustments</t>
  </si>
  <si>
    <t>Transportation Expenses</t>
  </si>
  <si>
    <t>Net Utility Operating Income</t>
  </si>
  <si>
    <t>Total Revenue Requirement</t>
  </si>
  <si>
    <t>Revenue from Sales at Present Rates</t>
  </si>
  <si>
    <t>Forfeited Discounts</t>
  </si>
  <si>
    <t>Misc. Service Revenues</t>
  </si>
  <si>
    <t>Other Water Revenues:</t>
  </si>
  <si>
    <t>DEBT SERVICE SCHDULE</t>
  </si>
  <si>
    <t>Principal</t>
  </si>
  <si>
    <t>Interest</t>
  </si>
  <si>
    <t>Totals</t>
  </si>
  <si>
    <t>Ref.</t>
  </si>
  <si>
    <t>Revenue</t>
  </si>
  <si>
    <t>Avg. Annual Principal and Interest Payments</t>
  </si>
  <si>
    <t>Gallons Sold</t>
  </si>
  <si>
    <t>TOTAL</t>
  </si>
  <si>
    <t>Interest Income</t>
  </si>
  <si>
    <t>Water Loss Adjustment:</t>
  </si>
  <si>
    <t>Produced &amp; Purchased</t>
  </si>
  <si>
    <t>Sold</t>
  </si>
  <si>
    <t>Uses:</t>
  </si>
  <si>
    <t xml:space="preserve">  WTP</t>
  </si>
  <si>
    <t xml:space="preserve">  Flushing</t>
  </si>
  <si>
    <t xml:space="preserve">  Fire</t>
  </si>
  <si>
    <t xml:space="preserve">  Other</t>
  </si>
  <si>
    <t>Line Brks.</t>
  </si>
  <si>
    <t>Line Leaks</t>
  </si>
  <si>
    <t xml:space="preserve">  water loss percentage</t>
  </si>
  <si>
    <t>check</t>
  </si>
  <si>
    <t xml:space="preserve">  allowable in rates</t>
  </si>
  <si>
    <t>Materials and Supplies</t>
  </si>
  <si>
    <t>First</t>
  </si>
  <si>
    <t>Next</t>
  </si>
  <si>
    <t>CURRENT AND PROPOSED RATES</t>
  </si>
  <si>
    <t>Pro Forma</t>
  </si>
  <si>
    <t>Test Year</t>
  </si>
  <si>
    <t>C.Y.</t>
  </si>
  <si>
    <t>Total</t>
  </si>
  <si>
    <t xml:space="preserve">   Plus:</t>
  </si>
  <si>
    <t xml:space="preserve">   Less:</t>
  </si>
  <si>
    <t>A</t>
  </si>
  <si>
    <t>B</t>
  </si>
  <si>
    <t>C</t>
  </si>
  <si>
    <t>E</t>
  </si>
  <si>
    <t>F</t>
  </si>
  <si>
    <t>G</t>
  </si>
  <si>
    <t>I</t>
  </si>
  <si>
    <t>J</t>
  </si>
  <si>
    <t>K</t>
  </si>
  <si>
    <t>Revenue Required From Water Sales</t>
  </si>
  <si>
    <t>Dental</t>
  </si>
  <si>
    <t>Dist. Contrib</t>
  </si>
  <si>
    <t>BLS avg.</t>
  </si>
  <si>
    <t>Premium</t>
  </si>
  <si>
    <t>Adj'mt.</t>
  </si>
  <si>
    <t>Allowable annual prem.</t>
  </si>
  <si>
    <t>Less prem. pd. in test yr.</t>
  </si>
  <si>
    <t>Health Ins. Adjustment</t>
  </si>
  <si>
    <t>Employee</t>
  </si>
  <si>
    <t>Times: 7.65 Percent FICA Rate</t>
  </si>
  <si>
    <t>Pro Forma Payroll Taxes</t>
  </si>
  <si>
    <t>Payroll Tax Adjustment</t>
  </si>
  <si>
    <t>Wages applicable to CERS payments</t>
  </si>
  <si>
    <t>Salaries &amp; Wages and Associated Adjustments</t>
  </si>
  <si>
    <t>D</t>
  </si>
  <si>
    <t>Table C</t>
  </si>
  <si>
    <t>Total Pen &amp; Benefits</t>
  </si>
  <si>
    <t>GASB Liability Adjustments</t>
  </si>
  <si>
    <t>Total Retail Metered Sales</t>
  </si>
  <si>
    <t>Addition to Depreciation Expense:</t>
  </si>
  <si>
    <t>Other Water Revenues</t>
  </si>
  <si>
    <t>Advertising</t>
  </si>
  <si>
    <t>Nonutility Income</t>
  </si>
  <si>
    <t xml:space="preserve">  SUMMARY  </t>
  </si>
  <si>
    <t>PROPOSED RATE SCHEDULES</t>
  </si>
  <si>
    <t xml:space="preserve"> Percentage Rate Increase</t>
  </si>
  <si>
    <t>Over</t>
  </si>
  <si>
    <t>Theft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</si>
  <si>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</si>
  <si>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</si>
  <si>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</si>
  <si>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</si>
  <si>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</si>
  <si>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</si>
  <si>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</si>
  <si>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</si>
  <si>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</si>
  <si>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Nov</t>
  </si>
  <si>
    <t>Dec</t>
  </si>
  <si>
    <t>Oct</t>
  </si>
  <si>
    <t>Page 53</t>
  </si>
  <si>
    <t>Annual Report</t>
  </si>
  <si>
    <t>Difference</t>
  </si>
  <si>
    <t>labor adjustment</t>
  </si>
  <si>
    <t>materials adjustment</t>
  </si>
  <si>
    <t>L</t>
  </si>
  <si>
    <t>Insurance Adjustment</t>
  </si>
  <si>
    <t>Empl. rate</t>
  </si>
  <si>
    <t>Health</t>
  </si>
  <si>
    <t>Vision</t>
  </si>
  <si>
    <t>Empl/Spouse</t>
  </si>
  <si>
    <t>Monthly</t>
  </si>
  <si>
    <t>Contrib. x No. in Tier</t>
  </si>
  <si>
    <t>Total Allowable monthly prem.</t>
  </si>
  <si>
    <t>H</t>
  </si>
  <si>
    <t>New Meter Installations:</t>
  </si>
  <si>
    <t>3/4" meters</t>
  </si>
  <si>
    <t>1" meters</t>
  </si>
  <si>
    <t>No.</t>
  </si>
  <si>
    <t>Charge</t>
  </si>
  <si>
    <t>Addition to depr. Table</t>
  </si>
  <si>
    <t>Employee Benefits (from Auditor):</t>
  </si>
  <si>
    <t>OPEB</t>
  </si>
  <si>
    <t>Reported Ins.</t>
  </si>
  <si>
    <t>Hourly</t>
  </si>
  <si>
    <t>NARUC</t>
  </si>
  <si>
    <t>Hydrants</t>
  </si>
  <si>
    <t>5 Year Avg</t>
  </si>
  <si>
    <t>Debt Service</t>
  </si>
  <si>
    <t>CERS Employer Contribution Rate 07/01/2023</t>
  </si>
  <si>
    <t>Allowable CERS Employer Contribution</t>
  </si>
  <si>
    <t>Test-Period CERS Contribution</t>
  </si>
  <si>
    <t>CERS Adjustment</t>
  </si>
  <si>
    <t>Usage</t>
  </si>
  <si>
    <t>Bills</t>
  </si>
  <si>
    <t>Gallons</t>
  </si>
  <si>
    <t>REVENUE BY RATE INCREMENT</t>
  </si>
  <si>
    <t xml:space="preserve">Rate </t>
  </si>
  <si>
    <t>,</t>
  </si>
  <si>
    <t xml:space="preserve">  adjustment excess water cost</t>
  </si>
  <si>
    <t>Costs Subject to Water Loss Adjustment</t>
  </si>
  <si>
    <t xml:space="preserve">  adjustment percentage</t>
  </si>
  <si>
    <t>Purchased</t>
  </si>
  <si>
    <t>Water</t>
  </si>
  <si>
    <t>Power</t>
  </si>
  <si>
    <t>Subtotal</t>
  </si>
  <si>
    <t>Revenue Requirement Method:</t>
  </si>
  <si>
    <t>DSC</t>
  </si>
  <si>
    <t>CY 2024 - 2028</t>
  </si>
  <si>
    <t>CURRENT BILLING ANALYSIS - 2022 USAGE &amp;  RATES EFFECTIVE January 1, 2022</t>
  </si>
  <si>
    <t>Morgan County Water District</t>
  </si>
  <si>
    <t>Meter Size</t>
  </si>
  <si>
    <t># of Bills</t>
  </si>
  <si>
    <t>3/4_Inch x 5?8-Inch Meter</t>
  </si>
  <si>
    <t>1-Inch Meter</t>
  </si>
  <si>
    <t>2-Inch Meter</t>
  </si>
  <si>
    <t>6-Inch Meter</t>
  </si>
  <si>
    <t>4-Inch Meter - Wholesale</t>
  </si>
  <si>
    <t>Total Billed Revenue</t>
  </si>
  <si>
    <t>Less Adjustments - Residential</t>
  </si>
  <si>
    <t>NET RETAIL</t>
  </si>
  <si>
    <t>Total adjustment</t>
  </si>
  <si>
    <t>Meter Size:</t>
  </si>
  <si>
    <t>Min. Bill</t>
  </si>
  <si>
    <t>per Gallon</t>
  </si>
  <si>
    <t>4-Inch Meter Wholesale</t>
  </si>
  <si>
    <t>Insurance - General Liab.</t>
  </si>
  <si>
    <t>Insurance - Workers Comp.</t>
  </si>
  <si>
    <t>CY 2024</t>
  </si>
  <si>
    <t>CY 2025</t>
  </si>
  <si>
    <t>CY 2026</t>
  </si>
  <si>
    <t>CY 2027</t>
  </si>
  <si>
    <t>CY 2028</t>
  </si>
  <si>
    <t>5-Year</t>
  </si>
  <si>
    <t>Series 2002</t>
  </si>
  <si>
    <t>Series 2006</t>
  </si>
  <si>
    <t>Series 2008</t>
  </si>
  <si>
    <t>Series 2021</t>
  </si>
  <si>
    <t>KRWFC Series 2016</t>
  </si>
  <si>
    <t>5-Year Totals</t>
  </si>
  <si>
    <t>5-Yeat Avg Principal</t>
  </si>
  <si>
    <t>5-Year Avg Interest</t>
  </si>
  <si>
    <t>Builing Improvement:</t>
  </si>
  <si>
    <t>Remodel Building - Test Bench</t>
  </si>
  <si>
    <t>Equipment:</t>
  </si>
  <si>
    <t>Telemetry System</t>
  </si>
  <si>
    <t>Phase 12 Telmetry</t>
  </si>
  <si>
    <t>Kubota Excavator w/trailer</t>
  </si>
  <si>
    <t>Boring Equipment 21</t>
  </si>
  <si>
    <t>Trench Box</t>
  </si>
  <si>
    <t>Leak Detection Equipment</t>
  </si>
  <si>
    <t>2022 Gator-Made Leak Trailer</t>
  </si>
  <si>
    <t>2022 Gator-Made Trailer</t>
  </si>
  <si>
    <t>Ford Meter Test Bench</t>
  </si>
  <si>
    <t>Portable Flow Meter</t>
  </si>
  <si>
    <t>Furniture e/ Office Equipment:</t>
  </si>
  <si>
    <t>Laser Printer</t>
  </si>
  <si>
    <t>Computers</t>
  </si>
  <si>
    <t>Hydrants:</t>
  </si>
  <si>
    <t>PRV Pits</t>
  </si>
  <si>
    <t>PRV Pit</t>
  </si>
  <si>
    <t>Vehicles:</t>
  </si>
  <si>
    <t>2008 F150 Pickup</t>
  </si>
  <si>
    <t>2008 F150 Pickup 2</t>
  </si>
  <si>
    <t>2008 Chevy Colorado</t>
  </si>
  <si>
    <t>Leased 2018 Ford F-150 Vin #036</t>
  </si>
  <si>
    <t>Leased 2018 Ford F-150 Vin #06461</t>
  </si>
  <si>
    <t>Leased 2018 Ford F-350 Vin #1178</t>
  </si>
  <si>
    <t>Leased 2018 Ford F- 250 Vin #1176</t>
  </si>
  <si>
    <t>Leased - 2020 Ford Escape</t>
  </si>
  <si>
    <t>2016 Ford F-150</t>
  </si>
  <si>
    <t>2013 Ford F-150</t>
  </si>
  <si>
    <t>2022 Dodge Ram Vin #3284</t>
  </si>
  <si>
    <t>2023 Dodge Ram Vin #3285</t>
  </si>
  <si>
    <t>Water Lines:</t>
  </si>
  <si>
    <t>Water Lines</t>
  </si>
  <si>
    <t>Water Lines 203 Project</t>
  </si>
  <si>
    <t>Water Lines 303 Extension</t>
  </si>
  <si>
    <t>Water Haul Station</t>
  </si>
  <si>
    <t>Water Lines - HWY 172 Project</t>
  </si>
  <si>
    <t>Water LinesEzel Expansion Proj</t>
  </si>
  <si>
    <t>Water Lines White Oak Expansion</t>
  </si>
  <si>
    <t>Water Lines - Liberty St/Havens Branch</t>
  </si>
  <si>
    <t>Phase 10 Water Lines</t>
  </si>
  <si>
    <t>Water Lines- Phase 11</t>
  </si>
  <si>
    <t>Phase 12 Water Lines</t>
  </si>
  <si>
    <t>Phase 12A Water Lines</t>
  </si>
  <si>
    <t>Water Lines Phase 14</t>
  </si>
  <si>
    <t>Water Lines - MCWD System Inprov</t>
  </si>
  <si>
    <t>Red Bird Replacement Line</t>
  </si>
  <si>
    <t>Old 172 Water Line Project</t>
  </si>
  <si>
    <t>Zone Pit Meters:</t>
  </si>
  <si>
    <t>Zone Pit Meters</t>
  </si>
  <si>
    <t>Zone Meter Pits (2)</t>
  </si>
  <si>
    <t>Montgomery County Water District</t>
  </si>
  <si>
    <t>NARUC Depreciation Adjustment</t>
  </si>
  <si>
    <t>2022 Depreciation Actual &amp; Pro Forma</t>
  </si>
  <si>
    <t>Date In</t>
  </si>
  <si>
    <t>Accum. Dep.</t>
  </si>
  <si>
    <t>Morgan Dist.</t>
  </si>
  <si>
    <t>NARUC Lives</t>
  </si>
  <si>
    <t>Book</t>
  </si>
  <si>
    <t>Mid-Range</t>
  </si>
  <si>
    <t>Asset</t>
  </si>
  <si>
    <t>Property Description</t>
  </si>
  <si>
    <t>Service</t>
  </si>
  <si>
    <t>Book Cost</t>
  </si>
  <si>
    <t>Dep Lifes</t>
  </si>
  <si>
    <t>Adjustment</t>
  </si>
  <si>
    <t>Dep. Life</t>
  </si>
  <si>
    <t>Building Improvement</t>
  </si>
  <si>
    <t>Equipment</t>
  </si>
  <si>
    <t>Furniture e/ Office Equipment</t>
  </si>
  <si>
    <t>Vehicles</t>
  </si>
  <si>
    <t>Grand Total</t>
  </si>
  <si>
    <t>Donna Bailey</t>
  </si>
  <si>
    <t>John Coffey</t>
  </si>
  <si>
    <t>Andy Legg</t>
  </si>
  <si>
    <t>Chernell Holbrook</t>
  </si>
  <si>
    <t>Ashlee Mason</t>
  </si>
  <si>
    <t>Shannon Elam</t>
  </si>
  <si>
    <t>Dean Kennard</t>
  </si>
  <si>
    <t>Anastasia Adkins</t>
  </si>
  <si>
    <t>Dakota Watson</t>
  </si>
  <si>
    <t>Regular</t>
  </si>
  <si>
    <t>Overtime</t>
  </si>
  <si>
    <t>Employee 1</t>
  </si>
  <si>
    <t>Employee 2</t>
  </si>
  <si>
    <t>Employee 3</t>
  </si>
  <si>
    <t>Employee 4</t>
  </si>
  <si>
    <t>CCKY_C9</t>
  </si>
  <si>
    <t>FS A.</t>
  </si>
  <si>
    <t>Cooter</t>
  </si>
  <si>
    <t>Lexi</t>
  </si>
  <si>
    <t>Jason</t>
  </si>
  <si>
    <t>Johnny</t>
  </si>
  <si>
    <t>Nick</t>
  </si>
  <si>
    <t>Richie</t>
  </si>
  <si>
    <t>Jimmy</t>
  </si>
  <si>
    <t>Wage Rates</t>
  </si>
  <si>
    <t>Pro Forma Emp. Salaries and Wage Exp.</t>
  </si>
  <si>
    <t>Email</t>
  </si>
  <si>
    <t>Pro Forma Employee Salaries and Wages Expense</t>
  </si>
  <si>
    <t>Less:  Reported Emp. Sal. And Wages Exp.</t>
  </si>
  <si>
    <t>Totals per</t>
  </si>
  <si>
    <t>3/4-Inch x 5/8-Inch Meter</t>
  </si>
  <si>
    <t>CURRENT RATES</t>
  </si>
  <si>
    <t>CURRENT RATE SCHEDULES</t>
  </si>
  <si>
    <t>Forfieted Discounts</t>
  </si>
  <si>
    <t>Less:  Revenue rom Water Sales</t>
  </si>
  <si>
    <t>Revenue From Water Sales - PSC 2022 Annual Report</t>
  </si>
  <si>
    <t>Less:  Missclassified Forfieted Discounts</t>
  </si>
  <si>
    <t>Actual Revenue from Water Sales</t>
  </si>
  <si>
    <t>Health Ins</t>
  </si>
  <si>
    <t>CERS</t>
  </si>
  <si>
    <t>Pro Forma Emp Ins. Benefits</t>
  </si>
  <si>
    <t>Less: Test Year Payroll Taxes (2022 GL)</t>
  </si>
  <si>
    <t>Adjustment Type</t>
  </si>
  <si>
    <t>Leak</t>
  </si>
  <si>
    <t>Bad PRV</t>
  </si>
  <si>
    <t>Other</t>
  </si>
  <si>
    <t>Less: Pro Forma Revenues from Water Sales</t>
  </si>
  <si>
    <t>Monthly Totals</t>
  </si>
  <si>
    <t>Multiplied by:  12 Months</t>
  </si>
  <si>
    <t>Annual Totals</t>
  </si>
  <si>
    <t>Salaries</t>
  </si>
  <si>
    <t>District</t>
  </si>
  <si>
    <t>Debt</t>
  </si>
  <si>
    <t>Revenue Bond - Series 2001</t>
  </si>
  <si>
    <t>Year</t>
  </si>
  <si>
    <t>Revenue Bond - Series 2006</t>
  </si>
  <si>
    <t>Revenue Bond - Series 2008</t>
  </si>
  <si>
    <t>Revenue Bond - Series 2001 CLSS</t>
  </si>
  <si>
    <t>KRWFC Refunding Bond  - Series 2016</t>
  </si>
  <si>
    <t>Morgan District</t>
  </si>
  <si>
    <t>Debt Amortization Schedules</t>
  </si>
  <si>
    <t>Hours</t>
  </si>
  <si>
    <t>Current</t>
  </si>
  <si>
    <t>Table A</t>
  </si>
  <si>
    <t>DEPRECIATION EXPENSE ADJUSTMENTS</t>
  </si>
  <si>
    <t>Total Equipment</t>
  </si>
  <si>
    <t>Furniture/Office Equipment:</t>
  </si>
  <si>
    <t>Total Furniture/Office Equipment:</t>
  </si>
  <si>
    <t>Total Vehicles</t>
  </si>
  <si>
    <t>Total Water Lines</t>
  </si>
  <si>
    <t>Total Zone Pit Meters</t>
  </si>
  <si>
    <t>Total Test-Year Depreciation Expense</t>
  </si>
  <si>
    <t>Test-Year</t>
  </si>
  <si>
    <t>Depreciation</t>
  </si>
  <si>
    <t>Depreciation Lives</t>
  </si>
  <si>
    <t>Table B</t>
  </si>
  <si>
    <t>Proposed Monthly Rates</t>
  </si>
  <si>
    <t>Current Monthly Rates</t>
  </si>
  <si>
    <t>Differences</t>
  </si>
  <si>
    <t>Dollar</t>
  </si>
  <si>
    <t>Percentage</t>
  </si>
  <si>
    <t>Table D</t>
  </si>
  <si>
    <t>Existing and Proposed Bills</t>
  </si>
  <si>
    <t>Existing</t>
  </si>
  <si>
    <t>Proposed</t>
  </si>
  <si>
    <t>Bill</t>
  </si>
  <si>
    <t>Change</t>
  </si>
  <si>
    <t>Existing Rates</t>
  </si>
  <si>
    <t>Emp Insurance Adjustment</t>
  </si>
  <si>
    <t>Meter Installations in 2022:</t>
  </si>
  <si>
    <t>New Meters</t>
  </si>
  <si>
    <t>2022</t>
  </si>
  <si>
    <t>Water Loss Adj:</t>
  </si>
  <si>
    <t>Total Adjustment</t>
  </si>
  <si>
    <t>Divided by No. of Bills</t>
  </si>
  <si>
    <t>Calculated Surcharge</t>
  </si>
  <si>
    <t>Less:  Current Surcharge</t>
  </si>
  <si>
    <t>Assumed New Employees</t>
  </si>
  <si>
    <t>Appendix A</t>
  </si>
  <si>
    <t>Current and Proposed Rates</t>
  </si>
  <si>
    <t>Genera; Manager, Class III</t>
  </si>
  <si>
    <t>Customer Service Representive</t>
  </si>
  <si>
    <t>Customer Service Supervisor</t>
  </si>
  <si>
    <t>Field Compiance Supervisor, Class II</t>
  </si>
  <si>
    <t>Field Operations Supervisor</t>
  </si>
  <si>
    <t>Cooter Stacy</t>
  </si>
  <si>
    <t>Field Maintenance Supervisor, Class II</t>
  </si>
  <si>
    <t>Field Compliance Operator, Class I</t>
  </si>
  <si>
    <t>Complanc/HR Officer</t>
  </si>
  <si>
    <t>Finance/Purchasing Officer</t>
  </si>
  <si>
    <t>Lexi Branscum</t>
  </si>
  <si>
    <t>Field Operations Technician</t>
  </si>
  <si>
    <t>Field Maintenance - Leak Detection</t>
  </si>
  <si>
    <t>Jason Finley</t>
  </si>
  <si>
    <t>Johnny Absher</t>
  </si>
  <si>
    <t>Nick Smith</t>
  </si>
  <si>
    <t>Richie Gilliam</t>
  </si>
  <si>
    <t>Jimmy Keeton</t>
  </si>
  <si>
    <t>Field Compliance - Meter Read/GPS</t>
  </si>
  <si>
    <t>Field Maintenance Tecnician</t>
  </si>
  <si>
    <t>1. USDA Old Hwy 172 Project – (May, Was a water loss project that replaced sections of line that had been reported for multiple leaks over the last few years.</t>
  </si>
  <si>
    <t>2. 4905-Ice Storm – (February 8-19, 2021) Was reimbursement on rentals of portable power generators</t>
  </si>
  <si>
    <t>3. 4904-Flood – (February 9-19, 2021) Was reimbursement for main lines that was washed away in flooded creeks. Directional Bores were completed.</t>
  </si>
  <si>
    <t>4. Insurance – (February 2022) Was reimbursement for meters and brass meter setters stole in one of our storage buildings.   </t>
  </si>
  <si>
    <t>1. USDA Old Hwy 172 Project – (May, Was a water loss project that replaced sections of line that had been reported for multiple leaks over the last few years. 2. 4905-Ice Storm – (February 8-19, 2021) Was reimbursement on rentals of portable power generators 3. 4904-Flood – (February 9-19, 2021) Was reimbursement for main lines that was washed away in flooded creeks. Directional Bores were completed. 4. Insurance – (February 2022) Was reimbursement for meters and brass meter setters stole in one of our storage buildings.   </t>
  </si>
  <si>
    <t>USDA gave Morgan District $292,591 to fund the Old Hwy 172 Project – a water loss project that replaced sections of line that had multiple water leaks over the last few years.</t>
  </si>
  <si>
    <t>Average</t>
  </si>
  <si>
    <t>Rates</t>
  </si>
  <si>
    <t>EXISTING AND PROPOSED RATES</t>
  </si>
  <si>
    <t>Exesting Monthly Rates</t>
  </si>
  <si>
    <t>BILLING ANALYSIS - 2022 USAGE &amp;  PROPOSED RATES</t>
  </si>
  <si>
    <t>Current and Proposed Customer Bills</t>
  </si>
  <si>
    <t>Less:</t>
  </si>
  <si>
    <t>Average Debt Service</t>
  </si>
  <si>
    <t>Add:</t>
  </si>
  <si>
    <t>Non Cash Items:  Depreciation Exp.</t>
  </si>
  <si>
    <t>Working Capital</t>
  </si>
  <si>
    <t>Cost of Excess Water</t>
  </si>
  <si>
    <t>Normalized Revenue Water Sales</t>
  </si>
  <si>
    <t>Revenue from Rate Increase</t>
  </si>
  <si>
    <t>Revenue Requirement from Water Sales</t>
  </si>
  <si>
    <t>Required</t>
  </si>
  <si>
    <t>Increase</t>
  </si>
  <si>
    <t>Interium</t>
  </si>
  <si>
    <t>Rate Increase</t>
  </si>
  <si>
    <t>First Year</t>
  </si>
  <si>
    <t>Second Year</t>
  </si>
  <si>
    <t>Percentage Rate Increase</t>
  </si>
  <si>
    <t>Assuming a CPI of 3% for Years 2 and 3</t>
  </si>
  <si>
    <t>PROPOSED YEAR 2 RATE SCHEDULES</t>
  </si>
  <si>
    <t>PROPOSED YEAR 1 RATE SCHEDULES</t>
  </si>
  <si>
    <t>PROPOSED INTIRIM RATE SCHEDULES</t>
  </si>
  <si>
    <t>Required Interim</t>
  </si>
  <si>
    <t>Less: Calculated</t>
  </si>
  <si>
    <t>Emergency Use</t>
  </si>
  <si>
    <t>City of Frenchburg</t>
  </si>
  <si>
    <t>Permanent Sales</t>
  </si>
  <si>
    <t>City of Compton</t>
  </si>
  <si>
    <t>Wholesale Water Rate</t>
  </si>
  <si>
    <t>Section 1. Rates and Charges:</t>
  </si>
  <si>
    <t>A. Monthly Rates:</t>
  </si>
  <si>
    <t>Revised</t>
  </si>
  <si>
    <t>M</t>
  </si>
  <si>
    <t>N</t>
  </si>
  <si>
    <t>O</t>
  </si>
  <si>
    <t>Required Increase Revenue Water Rates</t>
  </si>
  <si>
    <t>Application</t>
  </si>
  <si>
    <t>Pro Forma Payroll Taxe Adjustment</t>
  </si>
  <si>
    <t>6999 · Uncategorized Expenses</t>
  </si>
  <si>
    <t>12817</t>
  </si>
  <si>
    <t>Greens Fees for Golf Tournament</t>
  </si>
  <si>
    <t>3020703 · O&amp;M Checking</t>
  </si>
  <si>
    <t>12818</t>
  </si>
  <si>
    <t>Hole Prises for Golf Tournament</t>
  </si>
  <si>
    <t>12819</t>
  </si>
  <si>
    <t>Prize Money for Golf Tournament</t>
  </si>
  <si>
    <t>Eliminate Charitable Contiributions</t>
  </si>
  <si>
    <t>Contractual Services</t>
  </si>
  <si>
    <t>Food for River Clean-up</t>
  </si>
  <si>
    <t>Company Shirts for Girls and River Clean Up</t>
  </si>
  <si>
    <t>Charitable Contribution - Golf Tournment:</t>
  </si>
  <si>
    <t>Total Charitable Contribution - Golf Tournment:</t>
  </si>
  <si>
    <t>Hole In One Insurance</t>
  </si>
  <si>
    <t>Boosting Facebook Post</t>
  </si>
  <si>
    <t>Charitable Contribution - Ky River Clean-up</t>
  </si>
  <si>
    <t>Total Charitable Contribution - Ky River Clean-up</t>
  </si>
  <si>
    <t>Eliminate Charitable Contributions (Golf Tournment &amp; River Clean-Up)</t>
  </si>
  <si>
    <t>Revised Adjustments</t>
  </si>
  <si>
    <t>690.1 · Meals</t>
  </si>
  <si>
    <t>Reno's Roadhouse - Green Fees for Tournment</t>
  </si>
  <si>
    <t>Adjustment Charitable Donations</t>
  </si>
  <si>
    <t>Johnny Absher: 10/10/23 hired for GIS.</t>
  </si>
  <si>
    <t>Nick Smith: 10/17/23 hired for field operations</t>
  </si>
  <si>
    <t>Richie Gilliam: 11/06/23 hired for valve/flushing maintenance</t>
  </si>
  <si>
    <t>Jason Finley: 10/16/23 hired for leak detection </t>
  </si>
  <si>
    <t>Jimmy Keeton: 12/11/23 hired for field operations</t>
  </si>
  <si>
    <t>Mike Kelsey: Hired on 10/25/21 as our valve/flushing maintenance worker. Last day that I have is 04/01/23.</t>
  </si>
  <si>
    <t>Garet Loudermilk: Hired on 08/16/22 as our GIS person. Last day was on 08/23/22.</t>
  </si>
  <si>
    <t>Dylan Stevens: Hired on 12/12/22 to fill the vacant GIS position. Last day was on 05/19/23.</t>
  </si>
  <si>
    <t>Amanda Myers: Hired on 02/22/22 as an office clerk. Last day was on 02/12/23.</t>
  </si>
  <si>
    <t>Employee Meals</t>
  </si>
  <si>
    <t>Holiday Inn University Plaza</t>
  </si>
  <si>
    <t>Breakfast</t>
  </si>
  <si>
    <t>Hibachi Express</t>
  </si>
  <si>
    <t>Company Dinner for Wooden Bucket Award</t>
  </si>
  <si>
    <t>Meal Reimbursement</t>
  </si>
  <si>
    <t>Reimbursment for Meals for trip to Western KY for Training</t>
  </si>
  <si>
    <t>Reimbursement for Meals for trips to Western KY for Training</t>
  </si>
  <si>
    <t>Reimbursement for Meals</t>
  </si>
  <si>
    <t>Shannon is reimbursing</t>
  </si>
  <si>
    <t>Expenses</t>
  </si>
  <si>
    <t>Chernell Holbrook.</t>
  </si>
  <si>
    <t>Rates Produce</t>
  </si>
  <si>
    <t>Less: Required Increase</t>
  </si>
  <si>
    <t>659 · Insurance Other - Other</t>
  </si>
  <si>
    <t>660 · Advertising</t>
  </si>
  <si>
    <t>Chairatble Adj's</t>
  </si>
  <si>
    <t>Divided by:  Test-Year Operation &amp; Maint. Exp.</t>
  </si>
  <si>
    <t>Reno's Roadhouse</t>
  </si>
  <si>
    <t>690 · Travel Expense - Other</t>
  </si>
  <si>
    <t>691 · Travel Expense - Other</t>
  </si>
  <si>
    <t>690.3 · Lodging</t>
  </si>
  <si>
    <t>Reimbursement from Shannon</t>
  </si>
  <si>
    <t>4999 · Uncategorized Income</t>
  </si>
  <si>
    <t>Reimbursement Revenue</t>
  </si>
  <si>
    <t>Tim Carver</t>
  </si>
  <si>
    <t>Freezer Fresh Dairy</t>
  </si>
  <si>
    <t>Reimbursement on Dinner</t>
  </si>
  <si>
    <t>Rebate from Anthem Insurance</t>
  </si>
  <si>
    <t>KACO Workers Comp Dividend Check</t>
  </si>
  <si>
    <t>Deduct the Salaries for the 3 New Employees</t>
  </si>
  <si>
    <t>Deduct the FICA for the 3 New Employees</t>
  </si>
  <si>
    <t>Deduct the Benefits for the 3 New Employees</t>
  </si>
  <si>
    <t>Deduct the CERS for the 3 New Employees</t>
  </si>
  <si>
    <t>Required Phase 2</t>
  </si>
  <si>
    <t>CURRENT BILLING ANALYSIS - 2022 USAGE &amp;  Phase 1 Rates</t>
  </si>
  <si>
    <t>CURRENT BILLING ANALYSIS - 2022 USAGE &amp;  Phase 2 Rates</t>
  </si>
  <si>
    <t>Required Phase 1</t>
  </si>
  <si>
    <t>CURRENT AND PROPOSED RATES PHASE 1</t>
  </si>
  <si>
    <t>CURRENT AND PROPOSED RATES PHASE 2</t>
  </si>
  <si>
    <t>CURRENT BILLING ANALYSIS - 2022 USAGE &amp;  Interim Rates</t>
  </si>
  <si>
    <t>Required Interim Rates</t>
  </si>
  <si>
    <t>REVENUE REQUIREMENTS - Remove 3 Employees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</si>
  <si>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</si>
  <si>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</si>
  <si>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</si>
  <si>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</si>
  <si>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</si>
  <si>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</si>
  <si>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</si>
  <si>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</si>
  <si>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</si>
  <si>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</si>
  <si>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</si>
  <si>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Employee 16</t>
  </si>
  <si>
    <t>Annual Billing Software Cost</t>
  </si>
  <si>
    <t>Billing Module</t>
  </si>
  <si>
    <t>Accounting Module</t>
  </si>
  <si>
    <t>Mobile WD</t>
  </si>
  <si>
    <t>Total Annual Cost</t>
  </si>
  <si>
    <t>Cost of Software</t>
  </si>
  <si>
    <t>Divided by NARUC Deprecition Life Computers</t>
  </si>
  <si>
    <t>Billing Software Depreciation</t>
  </si>
  <si>
    <t>P</t>
  </si>
  <si>
    <t>SCHEDULE OF ADJUSTED OPERATIONS - Revised (Remove 3 New Employees) Exhibit 1-B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</si>
</sst>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[$$-409]* #,##0_);_([$$-409]* \(#,##0\);_([$$-409]* &quot;-&quot;??_);_(@_)"/>
    <numFmt numFmtId="166" formatCode="_(* #,##0_);_(* \(#,##0\);_(* &quot;-&quot;??_);_(@_)"/>
    <numFmt numFmtId="167" formatCode="0.0%"/>
    <numFmt numFmtId="168" formatCode="0.000%"/>
    <numFmt numFmtId="169" formatCode="_(* #,##0.000_);_(* \(#,##0.000\);_(* &quot;-&quot;??_);_(@_)"/>
    <numFmt numFmtId="170" formatCode="0_);\(0\)"/>
    <numFmt numFmtId="171" formatCode="mm/dd/yy;@"/>
    <numFmt numFmtId="172" formatCode="_(&quot;$&quot;* #,##0.00000_);_(&quot;$&quot;* \(#,##0.00000\);_(&quot;$&quot;* &quot;-&quot;??_);_(@_)"/>
    <numFmt numFmtId="173" formatCode="#,##0.00000"/>
    <numFmt numFmtId="174" formatCode="_(&quot;$&quot;* #,##0.00000_);_(&quot;$&quot;* \(#,##0.00000\);_(&quot;$&quot;* &quot;-&quot;?????_);_(@_)"/>
    <numFmt numFmtId="175" formatCode="_(&quot;$&quot;* #,##0.000000_);_(&quot;$&quot;* \(#,##0.000000\);_(&quot;$&quot;* &quot;-&quot;??_);_(@_)"/>
    <numFmt numFmtId="176" formatCode="0.00000%"/>
    <numFmt numFmtId="177" formatCode="&quot;$&quot;#,##0.00"/>
    <numFmt numFmtId="178" formatCode="#,##0.00000_);\(#,##0.00000\)"/>
    <numFmt numFmtId="179" formatCode="mm/dd/yyyy"/>
    <numFmt numFmtId="180" formatCode="#,##0.00;\-#,##0.00"/>
  </numFmts>
  <fonts count="52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FF000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rgb="FFFF0000"/>
      <name val="Arial"/>
      <family val="2"/>
    </font>
    <font>
      <b/>
      <sz val="11"/>
      <name val="Arial"/>
      <family val="2"/>
    </font>
    <font>
      <u/>
      <sz val="12"/>
      <color rgb="FFFF0000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u val="singleAccounting"/>
      <sz val="12"/>
      <name val="Arial"/>
      <family val="2"/>
    </font>
    <font>
      <sz val="12"/>
      <color theme="3"/>
      <name val="Arial"/>
      <family val="2"/>
    </font>
    <font>
      <b/>
      <u val="singleAccounting"/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b/>
      <i/>
      <u/>
      <sz val="11"/>
      <color rgb="FF00B050"/>
      <name val="Arial"/>
      <family val="2"/>
    </font>
    <font>
      <u val="singleAccounting"/>
      <sz val="11"/>
      <name val="Arial"/>
      <family val="2"/>
    </font>
    <font>
      <b/>
      <u val="singleAccounting"/>
      <sz val="11"/>
      <name val="Arial"/>
      <family val="2"/>
    </font>
    <font>
      <u/>
      <sz val="11"/>
      <name val="Arial"/>
      <family val="2"/>
    </font>
    <font>
      <b/>
      <u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u/>
      <sz val="18"/>
      <name val="Arial"/>
      <family val="2"/>
    </font>
    <font>
      <u/>
      <sz val="12"/>
      <color rgb="FFFF0000"/>
      <name val="Arial"/>
      <family val="2"/>
    </font>
    <font>
      <sz val="18"/>
      <name val="Arial"/>
      <family val="2"/>
    </font>
    <font>
      <sz val="16"/>
      <name val="Calibri"/>
      <family val="2"/>
      <scheme val="minor"/>
    </font>
    <font>
      <u/>
      <sz val="16"/>
      <name val="Calibri"/>
      <family val="2"/>
      <scheme val="minor"/>
    </font>
    <font>
      <sz val="12"/>
      <name val="Times New Roman"/>
      <family val="1"/>
    </font>
    <font>
      <sz val="14"/>
      <name val="Calibri"/>
      <family val="2"/>
      <scheme val="minor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0">
    <xf numFmtId="0" fontId="0" fillId="0" borderId="0" xfId="0"/>
    <xf numFmtId="0" fontId="3" fillId="0" borderId="0" xfId="0" applyFont="1" applyAlignment="1">
      <alignment horizontal="center"/>
    </xf>
    <xf numFmtId="166" fontId="3" fillId="0" borderId="0" xfId="1" applyNumberFormat="1" applyFont="1"/>
    <xf numFmtId="0" fontId="3" fillId="0" borderId="1" xfId="0" applyFont="1" applyBorder="1"/>
    <xf numFmtId="0" fontId="6" fillId="0" borderId="0" xfId="0" applyFont="1"/>
    <xf numFmtId="0" fontId="3" fillId="0" borderId="3" xfId="0" applyFont="1" applyBorder="1"/>
    <xf numFmtId="0" fontId="3" fillId="0" borderId="7" xfId="0" applyFont="1" applyBorder="1"/>
    <xf numFmtId="166" fontId="4" fillId="0" borderId="0" xfId="1" applyNumberFormat="1" applyFont="1"/>
    <xf numFmtId="0" fontId="6" fillId="0" borderId="2" xfId="0" applyFont="1" applyBorder="1"/>
    <xf numFmtId="0" fontId="6" fillId="0" borderId="3" xfId="0" applyFont="1" applyBorder="1"/>
    <xf numFmtId="0" fontId="6" fillId="0" borderId="7" xfId="0" applyFont="1" applyBorder="1"/>
    <xf numFmtId="166" fontId="4" fillId="0" borderId="0" xfId="1" applyNumberFormat="1" applyFont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8" xfId="0" applyFont="1" applyBorder="1"/>
    <xf numFmtId="0" fontId="12" fillId="0" borderId="0" xfId="0" applyFont="1"/>
    <xf numFmtId="0" fontId="8" fillId="0" borderId="0" xfId="0" applyFont="1"/>
    <xf numFmtId="10" fontId="7" fillId="0" borderId="0" xfId="6" applyNumberFormat="1" applyFont="1" applyAlignment="1"/>
    <xf numFmtId="166" fontId="6" fillId="0" borderId="0" xfId="5" applyNumberFormat="1" applyFont="1" applyAlignment="1"/>
    <xf numFmtId="0" fontId="9" fillId="0" borderId="4" xfId="0" applyFont="1" applyBorder="1"/>
    <xf numFmtId="0" fontId="9" fillId="0" borderId="1" xfId="0" applyFont="1" applyBorder="1"/>
    <xf numFmtId="166" fontId="3" fillId="0" borderId="0" xfId="1" applyNumberFormat="1" applyFont="1" applyAlignment="1">
      <alignment horizontal="center"/>
    </xf>
    <xf numFmtId="0" fontId="0" fillId="0" borderId="2" xfId="0" applyBorder="1"/>
    <xf numFmtId="0" fontId="13" fillId="0" borderId="0" xfId="0" applyFont="1"/>
    <xf numFmtId="39" fontId="14" fillId="0" borderId="0" xfId="0" applyNumberFormat="1" applyFont="1"/>
    <xf numFmtId="39" fontId="14" fillId="0" borderId="1" xfId="0" applyNumberFormat="1" applyFont="1" applyBorder="1" applyAlignment="1">
      <alignment horizontal="center"/>
    </xf>
    <xf numFmtId="171" fontId="14" fillId="0" borderId="1" xfId="0" applyNumberFormat="1" applyFont="1" applyBorder="1" applyAlignment="1">
      <alignment horizontal="center"/>
    </xf>
    <xf numFmtId="0" fontId="1" fillId="0" borderId="0" xfId="0" applyFont="1"/>
    <xf numFmtId="166" fontId="13" fillId="0" borderId="0" xfId="5" applyNumberFormat="1" applyFont="1"/>
    <xf numFmtId="166" fontId="13" fillId="0" borderId="4" xfId="5" applyNumberFormat="1" applyFont="1" applyBorder="1"/>
    <xf numFmtId="166" fontId="13" fillId="0" borderId="5" xfId="5" applyNumberFormat="1" applyFont="1" applyBorder="1"/>
    <xf numFmtId="166" fontId="13" fillId="0" borderId="6" xfId="5" applyNumberFormat="1" applyFont="1" applyBorder="1"/>
    <xf numFmtId="3" fontId="17" fillId="0" borderId="0" xfId="0" applyNumberFormat="1" applyFont="1" applyAlignment="1">
      <alignment horizontal="left" vertical="center"/>
    </xf>
    <xf numFmtId="166" fontId="13" fillId="0" borderId="0" xfId="5" applyNumberFormat="1" applyFont="1" applyBorder="1" applyAlignment="1">
      <alignment horizontal="centerContinuous"/>
    </xf>
    <xf numFmtId="166" fontId="13" fillId="0" borderId="0" xfId="5" applyNumberFormat="1" applyFont="1" applyBorder="1"/>
    <xf numFmtId="166" fontId="13" fillId="0" borderId="0" xfId="5" applyNumberFormat="1" applyFont="1" applyBorder="1" applyAlignment="1">
      <alignment horizontal="left"/>
    </xf>
    <xf numFmtId="170" fontId="13" fillId="0" borderId="0" xfId="5" quotePrefix="1" applyNumberFormat="1" applyFont="1" applyBorder="1" applyAlignment="1">
      <alignment horizontal="center"/>
    </xf>
    <xf numFmtId="164" fontId="13" fillId="0" borderId="0" xfId="2" quotePrefix="1" applyNumberFormat="1" applyFont="1" applyBorder="1" applyAlignment="1">
      <alignment horizontal="center"/>
    </xf>
    <xf numFmtId="166" fontId="13" fillId="0" borderId="0" xfId="5" quotePrefix="1" applyNumberFormat="1" applyFont="1" applyBorder="1" applyAlignment="1">
      <alignment horizontal="center"/>
    </xf>
    <xf numFmtId="166" fontId="18" fillId="0" borderId="0" xfId="5" applyNumberFormat="1" applyFont="1" applyBorder="1" applyAlignment="1">
      <alignment horizontal="right"/>
    </xf>
    <xf numFmtId="166" fontId="13" fillId="0" borderId="0" xfId="5" applyNumberFormat="1" applyFont="1" applyBorder="1" applyAlignment="1">
      <alignment horizontal="center"/>
    </xf>
    <xf numFmtId="166" fontId="13" fillId="0" borderId="0" xfId="5" applyNumberFormat="1" applyFont="1" applyAlignment="1">
      <alignment horizontal="center"/>
    </xf>
    <xf numFmtId="166" fontId="13" fillId="0" borderId="1" xfId="5" applyNumberFormat="1" applyFont="1" applyBorder="1"/>
    <xf numFmtId="166" fontId="13" fillId="0" borderId="1" xfId="5" applyNumberFormat="1" applyFont="1" applyBorder="1" applyAlignment="1">
      <alignment horizontal="center"/>
    </xf>
    <xf numFmtId="166" fontId="13" fillId="0" borderId="1" xfId="5" quotePrefix="1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166" fontId="0" fillId="0" borderId="0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166" fontId="0" fillId="0" borderId="10" xfId="0" applyNumberFormat="1" applyBorder="1"/>
    <xf numFmtId="166" fontId="0" fillId="0" borderId="10" xfId="1" applyNumberFormat="1" applyFont="1" applyBorder="1"/>
    <xf numFmtId="166" fontId="0" fillId="0" borderId="0" xfId="1" applyNumberFormat="1" applyFont="1"/>
    <xf numFmtId="0" fontId="0" fillId="0" borderId="1" xfId="0" applyBorder="1"/>
    <xf numFmtId="166" fontId="0" fillId="0" borderId="0" xfId="0" applyNumberFormat="1"/>
    <xf numFmtId="44" fontId="0" fillId="0" borderId="0" xfId="2" applyFont="1"/>
    <xf numFmtId="166" fontId="0" fillId="0" borderId="1" xfId="0" applyNumberFormat="1" applyBorder="1"/>
    <xf numFmtId="39" fontId="0" fillId="0" borderId="0" xfId="0" applyNumberFormat="1"/>
    <xf numFmtId="172" fontId="0" fillId="0" borderId="0" xfId="2" applyNumberFormat="1" applyFont="1" applyBorder="1"/>
    <xf numFmtId="37" fontId="1" fillId="0" borderId="0" xfId="0" applyNumberFormat="1" applyFont="1"/>
    <xf numFmtId="9" fontId="1" fillId="0" borderId="1" xfId="0" applyNumberFormat="1" applyFont="1" applyBorder="1"/>
    <xf numFmtId="37" fontId="1" fillId="0" borderId="1" xfId="0" applyNumberFormat="1" applyFont="1" applyBorder="1"/>
    <xf numFmtId="10" fontId="1" fillId="0" borderId="9" xfId="3" applyNumberFormat="1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7" xfId="0" applyFont="1" applyBorder="1"/>
    <xf numFmtId="166" fontId="13" fillId="0" borderId="8" xfId="5" applyNumberFormat="1" applyFont="1" applyBorder="1"/>
    <xf numFmtId="3" fontId="7" fillId="0" borderId="0" xfId="0" applyNumberFormat="1" applyFont="1" applyAlignment="1">
      <alignment horizontal="center" vertical="center"/>
    </xf>
    <xf numFmtId="166" fontId="1" fillId="0" borderId="0" xfId="5" applyNumberFormat="1" applyFont="1"/>
    <xf numFmtId="37" fontId="0" fillId="0" borderId="0" xfId="0" applyNumberFormat="1"/>
    <xf numFmtId="37" fontId="0" fillId="0" borderId="0" xfId="0" applyNumberFormat="1" applyAlignment="1">
      <alignment horizontal="center"/>
    </xf>
    <xf numFmtId="37" fontId="14" fillId="0" borderId="0" xfId="0" applyNumberFormat="1" applyFont="1"/>
    <xf numFmtId="0" fontId="6" fillId="0" borderId="4" xfId="0" applyFont="1" applyBorder="1"/>
    <xf numFmtId="0" fontId="12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19" fillId="0" borderId="0" xfId="0" applyFont="1" applyAlignment="1">
      <alignment horizontal="center"/>
    </xf>
    <xf numFmtId="0" fontId="6" fillId="0" borderId="1" xfId="0" applyFont="1" applyBorder="1"/>
    <xf numFmtId="167" fontId="6" fillId="0" borderId="0" xfId="6" applyNumberFormat="1" applyFont="1" applyAlignment="1"/>
    <xf numFmtId="39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4" xfId="0" applyNumberFormat="1" applyFont="1" applyBorder="1"/>
    <xf numFmtId="3" fontId="1" fillId="0" borderId="4" xfId="0" applyNumberFormat="1" applyFont="1" applyBorder="1" applyAlignment="1">
      <alignment horizontal="center"/>
    </xf>
    <xf numFmtId="3" fontId="1" fillId="0" borderId="5" xfId="0" applyNumberFormat="1" applyFont="1" applyBorder="1"/>
    <xf numFmtId="3" fontId="1" fillId="0" borderId="0" xfId="0" applyNumberFormat="1" applyFont="1"/>
    <xf numFmtId="166" fontId="1" fillId="0" borderId="0" xfId="1" applyNumberFormat="1" applyFont="1" applyAlignment="1"/>
    <xf numFmtId="3" fontId="20" fillId="0" borderId="0" xfId="0" applyNumberFormat="1" applyFont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166" fontId="1" fillId="0" borderId="0" xfId="1" applyNumberFormat="1" applyFont="1" applyAlignment="1">
      <alignment vertical="center"/>
    </xf>
    <xf numFmtId="3" fontId="20" fillId="0" borderId="6" xfId="0" applyNumberFormat="1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3" fontId="20" fillId="0" borderId="8" xfId="0" applyNumberFormat="1" applyFont="1" applyBorder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3" fontId="21" fillId="0" borderId="6" xfId="0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1" fillId="0" borderId="6" xfId="0" applyNumberFormat="1" applyFont="1" applyBorder="1" applyAlignment="1">
      <alignment vertical="center"/>
    </xf>
    <xf numFmtId="164" fontId="13" fillId="0" borderId="0" xfId="0" applyNumberFormat="1" applyFont="1" applyAlignment="1">
      <alignment vertical="center"/>
    </xf>
    <xf numFmtId="3" fontId="23" fillId="0" borderId="0" xfId="0" applyNumberFormat="1" applyFont="1" applyAlignment="1">
      <alignment horizontal="center" vertical="center"/>
    </xf>
    <xf numFmtId="164" fontId="1" fillId="0" borderId="6" xfId="0" applyNumberFormat="1" applyFont="1" applyBorder="1" applyAlignment="1">
      <alignment vertical="center"/>
    </xf>
    <xf numFmtId="166" fontId="24" fillId="0" borderId="0" xfId="1" applyNumberFormat="1" applyFont="1" applyAlignment="1">
      <alignment vertical="center"/>
    </xf>
    <xf numFmtId="37" fontId="13" fillId="0" borderId="0" xfId="1" applyNumberFormat="1" applyFont="1" applyBorder="1" applyAlignment="1">
      <alignment vertical="center"/>
    </xf>
    <xf numFmtId="166" fontId="13" fillId="0" borderId="0" xfId="1" applyNumberFormat="1" applyFont="1" applyBorder="1"/>
    <xf numFmtId="166" fontId="1" fillId="0" borderId="6" xfId="1" applyNumberFormat="1" applyFont="1" applyBorder="1" applyAlignment="1">
      <alignment vertical="center"/>
    </xf>
    <xf numFmtId="37" fontId="13" fillId="0" borderId="0" xfId="0" applyNumberFormat="1" applyFont="1" applyAlignment="1">
      <alignment vertical="center"/>
    </xf>
    <xf numFmtId="37" fontId="23" fillId="0" borderId="0" xfId="0" applyNumberFormat="1" applyFont="1" applyAlignment="1">
      <alignment horizontal="center" vertical="center"/>
    </xf>
    <xf numFmtId="10" fontId="1" fillId="0" borderId="0" xfId="3" applyNumberFormat="1" applyFont="1" applyAlignment="1">
      <alignment vertical="center"/>
    </xf>
    <xf numFmtId="10" fontId="1" fillId="3" borderId="0" xfId="3" applyNumberFormat="1" applyFont="1" applyFill="1" applyAlignment="1">
      <alignment vertical="center"/>
    </xf>
    <xf numFmtId="164" fontId="1" fillId="3" borderId="0" xfId="2" applyNumberFormat="1" applyFont="1" applyFill="1" applyAlignment="1">
      <alignment vertical="center"/>
    </xf>
    <xf numFmtId="37" fontId="13" fillId="0" borderId="1" xfId="1" applyNumberFormat="1" applyFont="1" applyBorder="1" applyAlignment="1">
      <alignment vertical="center"/>
    </xf>
    <xf numFmtId="166" fontId="25" fillId="0" borderId="6" xfId="1" applyNumberFormat="1" applyFont="1" applyBorder="1" applyAlignment="1">
      <alignment vertical="center"/>
    </xf>
    <xf numFmtId="166" fontId="1" fillId="3" borderId="0" xfId="1" applyNumberFormat="1" applyFont="1" applyFill="1" applyAlignment="1">
      <alignment vertical="center"/>
    </xf>
    <xf numFmtId="3" fontId="20" fillId="0" borderId="0" xfId="0" applyNumberFormat="1" applyFont="1" applyAlignment="1">
      <alignment vertical="center"/>
    </xf>
    <xf numFmtId="37" fontId="1" fillId="0" borderId="6" xfId="0" applyNumberFormat="1" applyFont="1" applyBorder="1" applyAlignment="1">
      <alignment vertical="center"/>
    </xf>
    <xf numFmtId="166" fontId="25" fillId="3" borderId="0" xfId="1" applyNumberFormat="1" applyFont="1" applyFill="1" applyAlignment="1">
      <alignment vertical="center"/>
    </xf>
    <xf numFmtId="166" fontId="25" fillId="0" borderId="0" xfId="1" applyNumberFormat="1" applyFont="1" applyAlignment="1">
      <alignment vertical="center"/>
    </xf>
    <xf numFmtId="37" fontId="23" fillId="0" borderId="0" xfId="0" applyNumberFormat="1" applyFont="1" applyAlignment="1">
      <alignment horizontal="center"/>
    </xf>
    <xf numFmtId="166" fontId="26" fillId="0" borderId="0" xfId="1" applyNumberFormat="1" applyFont="1" applyAlignment="1">
      <alignment vertical="center"/>
    </xf>
    <xf numFmtId="166" fontId="1" fillId="0" borderId="0" xfId="1" applyNumberFormat="1" applyFont="1"/>
    <xf numFmtId="37" fontId="13" fillId="0" borderId="1" xfId="1" applyNumberFormat="1" applyFont="1" applyBorder="1" applyAlignment="1"/>
    <xf numFmtId="37" fontId="13" fillId="0" borderId="1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/>
    </xf>
    <xf numFmtId="166" fontId="1" fillId="0" borderId="6" xfId="1" applyNumberFormat="1" applyFont="1" applyBorder="1"/>
    <xf numFmtId="166" fontId="1" fillId="0" borderId="0" xfId="1" quotePrefix="1" applyNumberFormat="1" applyFont="1" applyBorder="1" applyAlignment="1">
      <alignment vertical="center"/>
    </xf>
    <xf numFmtId="166" fontId="1" fillId="0" borderId="6" xfId="1" quotePrefix="1" applyNumberFormat="1" applyFont="1" applyBorder="1" applyAlignment="1">
      <alignment vertical="center"/>
    </xf>
    <xf numFmtId="164" fontId="1" fillId="0" borderId="0" xfId="2" applyNumberFormat="1" applyFont="1" applyBorder="1" applyAlignment="1">
      <alignment vertical="center"/>
    </xf>
    <xf numFmtId="164" fontId="1" fillId="0" borderId="6" xfId="2" applyNumberFormat="1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1" fillId="0" borderId="8" xfId="0" applyNumberFormat="1" applyFont="1" applyBorder="1"/>
    <xf numFmtId="3" fontId="1" fillId="0" borderId="1" xfId="0" applyNumberFormat="1" applyFont="1" applyBorder="1" applyAlignment="1">
      <alignment vertical="center"/>
    </xf>
    <xf numFmtId="37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37" fontId="1" fillId="0" borderId="8" xfId="0" applyNumberFormat="1" applyFont="1" applyBorder="1" applyAlignment="1">
      <alignment vertical="center"/>
    </xf>
    <xf numFmtId="0" fontId="1" fillId="0" borderId="6" xfId="0" applyFont="1" applyBorder="1"/>
    <xf numFmtId="39" fontId="14" fillId="0" borderId="0" xfId="0" applyNumberFormat="1" applyFont="1" applyAlignment="1">
      <alignment horizontal="center"/>
    </xf>
    <xf numFmtId="0" fontId="0" fillId="0" borderId="6" xfId="0" applyBorder="1"/>
    <xf numFmtId="44" fontId="0" fillId="0" borderId="0" xfId="2" applyFont="1" applyBorder="1"/>
    <xf numFmtId="37" fontId="13" fillId="0" borderId="0" xfId="1" applyNumberFormat="1" applyFont="1" applyBorder="1" applyAlignment="1"/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37" fontId="0" fillId="0" borderId="0" xfId="1" applyNumberFormat="1" applyFont="1" applyAlignment="1">
      <alignment vertical="center"/>
    </xf>
    <xf numFmtId="37" fontId="0" fillId="0" borderId="1" xfId="1" applyNumberFormat="1" applyFont="1" applyBorder="1" applyAlignment="1">
      <alignment vertical="center"/>
    </xf>
    <xf numFmtId="0" fontId="0" fillId="0" borderId="0" xfId="0" applyAlignment="1">
      <alignment horizontal="left"/>
    </xf>
    <xf numFmtId="37" fontId="0" fillId="0" borderId="10" xfId="1" applyNumberFormat="1" applyFont="1" applyBorder="1" applyAlignment="1">
      <alignment vertical="center"/>
    </xf>
    <xf numFmtId="166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/>
    </xf>
    <xf numFmtId="175" fontId="0" fillId="0" borderId="0" xfId="2" applyNumberFormat="1" applyFont="1"/>
    <xf numFmtId="39" fontId="0" fillId="0" borderId="0" xfId="2" applyNumberFormat="1" applyFont="1"/>
    <xf numFmtId="44" fontId="0" fillId="0" borderId="0" xfId="0" applyNumberFormat="1"/>
    <xf numFmtId="44" fontId="0" fillId="0" borderId="10" xfId="2" applyFont="1" applyBorder="1"/>
    <xf numFmtId="166" fontId="13" fillId="0" borderId="11" xfId="5" applyNumberFormat="1" applyFont="1" applyBorder="1" applyAlignment="1">
      <alignment horizontal="center"/>
    </xf>
    <xf numFmtId="42" fontId="13" fillId="0" borderId="10" xfId="5" applyNumberFormat="1" applyFont="1" applyBorder="1" applyAlignment="1">
      <alignment horizontal="center"/>
    </xf>
    <xf numFmtId="42" fontId="13" fillId="0" borderId="9" xfId="5" applyNumberFormat="1" applyFont="1" applyBorder="1"/>
    <xf numFmtId="166" fontId="1" fillId="0" borderId="1" xfId="1" applyNumberFormat="1" applyFont="1" applyBorder="1" applyAlignment="1">
      <alignment vertical="center"/>
    </xf>
    <xf numFmtId="37" fontId="14" fillId="0" borderId="0" xfId="0" applyNumberFormat="1" applyFont="1" applyAlignment="1">
      <alignment horizontal="left"/>
    </xf>
    <xf numFmtId="37" fontId="14" fillId="0" borderId="0" xfId="0" applyNumberFormat="1" applyFont="1" applyAlignment="1">
      <alignment horizontal="center"/>
    </xf>
    <xf numFmtId="171" fontId="14" fillId="0" borderId="0" xfId="0" applyNumberFormat="1" applyFont="1" applyAlignment="1">
      <alignment horizontal="center"/>
    </xf>
    <xf numFmtId="37" fontId="14" fillId="0" borderId="1" xfId="0" applyNumberFormat="1" applyFont="1" applyBorder="1" applyAlignment="1">
      <alignment horizontal="center"/>
    </xf>
    <xf numFmtId="171" fontId="14" fillId="0" borderId="0" xfId="0" applyNumberFormat="1" applyFont="1" applyAlignment="1">
      <alignment horizontal="right"/>
    </xf>
    <xf numFmtId="39" fontId="14" fillId="0" borderId="11" xfId="0" applyNumberFormat="1" applyFont="1" applyBorder="1"/>
    <xf numFmtId="37" fontId="14" fillId="0" borderId="0" xfId="0" applyNumberFormat="1" applyFont="1" applyAlignment="1">
      <alignment horizontal="right"/>
    </xf>
    <xf numFmtId="39" fontId="14" fillId="0" borderId="9" xfId="0" applyNumberFormat="1" applyFont="1" applyBorder="1"/>
    <xf numFmtId="39" fontId="14" fillId="0" borderId="0" xfId="0" applyNumberFormat="1" applyFont="1" applyAlignment="1">
      <alignment vertical="center"/>
    </xf>
    <xf numFmtId="44" fontId="14" fillId="0" borderId="0" xfId="0" applyNumberFormat="1" applyFont="1"/>
    <xf numFmtId="3" fontId="18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/>
    </xf>
    <xf numFmtId="3" fontId="31" fillId="0" borderId="0" xfId="0" applyNumberFormat="1" applyFont="1" applyAlignment="1">
      <alignment horizontal="left" vertical="center"/>
    </xf>
    <xf numFmtId="166" fontId="13" fillId="0" borderId="0" xfId="1" applyNumberFormat="1" applyFont="1"/>
    <xf numFmtId="3" fontId="32" fillId="0" borderId="0" xfId="0" applyNumberFormat="1" applyFont="1"/>
    <xf numFmtId="3" fontId="13" fillId="0" borderId="0" xfId="0" applyNumberFormat="1" applyFont="1"/>
    <xf numFmtId="173" fontId="13" fillId="0" borderId="0" xfId="0" applyNumberFormat="1" applyFont="1"/>
    <xf numFmtId="44" fontId="13" fillId="0" borderId="0" xfId="4" applyFont="1"/>
    <xf numFmtId="43" fontId="13" fillId="0" borderId="0" xfId="5" applyFont="1"/>
    <xf numFmtId="0" fontId="13" fillId="0" borderId="1" xfId="0" applyFont="1" applyBorder="1" applyAlignment="1">
      <alignment horizontal="center"/>
    </xf>
    <xf numFmtId="43" fontId="33" fillId="0" borderId="0" xfId="1" applyFont="1" applyAlignment="1">
      <alignment horizontal="center"/>
    </xf>
    <xf numFmtId="166" fontId="13" fillId="0" borderId="0" xfId="0" applyNumberFormat="1" applyFont="1"/>
    <xf numFmtId="43" fontId="13" fillId="0" borderId="0" xfId="5" applyFont="1" applyAlignment="1">
      <alignment horizontal="right"/>
    </xf>
    <xf numFmtId="43" fontId="13" fillId="0" borderId="0" xfId="1" applyFont="1"/>
    <xf numFmtId="166" fontId="33" fillId="0" borderId="0" xfId="1" applyNumberFormat="1" applyFont="1"/>
    <xf numFmtId="166" fontId="13" fillId="0" borderId="0" xfId="5" applyNumberFormat="1" applyFont="1" applyAlignment="1">
      <alignment horizontal="right"/>
    </xf>
    <xf numFmtId="166" fontId="33" fillId="0" borderId="0" xfId="1" applyNumberFormat="1" applyFont="1" applyBorder="1"/>
    <xf numFmtId="43" fontId="13" fillId="0" borderId="0" xfId="1" applyFont="1" applyAlignment="1">
      <alignment horizontal="right"/>
    </xf>
    <xf numFmtId="166" fontId="18" fillId="0" borderId="0" xfId="5" applyNumberFormat="1" applyFont="1"/>
    <xf numFmtId="43" fontId="13" fillId="0" borderId="0" xfId="1" quotePrefix="1" applyFont="1" applyAlignment="1">
      <alignment horizontal="right"/>
    </xf>
    <xf numFmtId="166" fontId="34" fillId="0" borderId="0" xfId="5" applyNumberFormat="1" applyFont="1"/>
    <xf numFmtId="43" fontId="18" fillId="0" borderId="0" xfId="5" applyFont="1"/>
    <xf numFmtId="0" fontId="18" fillId="0" borderId="0" xfId="0" applyFont="1"/>
    <xf numFmtId="168" fontId="13" fillId="0" borderId="0" xfId="6" applyNumberFormat="1" applyFont="1"/>
    <xf numFmtId="3" fontId="13" fillId="0" borderId="0" xfId="0" applyNumberFormat="1" applyFont="1" applyAlignment="1">
      <alignment horizontal="right"/>
    </xf>
    <xf numFmtId="168" fontId="35" fillId="0" borderId="0" xfId="6" applyNumberFormat="1" applyFont="1"/>
    <xf numFmtId="3" fontId="18" fillId="0" borderId="0" xfId="0" applyNumberFormat="1" applyFont="1"/>
    <xf numFmtId="43" fontId="13" fillId="0" borderId="0" xfId="1" applyFont="1" applyBorder="1"/>
    <xf numFmtId="166" fontId="13" fillId="0" borderId="10" xfId="0" applyNumberFormat="1" applyFont="1" applyBorder="1"/>
    <xf numFmtId="37" fontId="13" fillId="0" borderId="0" xfId="0" applyNumberFormat="1" applyFont="1"/>
    <xf numFmtId="168" fontId="13" fillId="0" borderId="1" xfId="0" applyNumberFormat="1" applyFont="1" applyBorder="1"/>
    <xf numFmtId="165" fontId="13" fillId="0" borderId="0" xfId="0" applyNumberFormat="1" applyFont="1"/>
    <xf numFmtId="37" fontId="13" fillId="0" borderId="9" xfId="0" applyNumberFormat="1" applyFont="1" applyBorder="1"/>
    <xf numFmtId="0" fontId="36" fillId="0" borderId="0" xfId="0" applyFont="1" applyAlignment="1">
      <alignment horizontal="center"/>
    </xf>
    <xf numFmtId="166" fontId="37" fillId="0" borderId="0" xfId="1" applyNumberFormat="1" applyFont="1"/>
    <xf numFmtId="43" fontId="33" fillId="0" borderId="0" xfId="5" applyFont="1" applyAlignment="1">
      <alignment horizontal="center"/>
    </xf>
    <xf numFmtId="166" fontId="13" fillId="0" borderId="0" xfId="1" applyNumberFormat="1" applyFont="1" applyAlignment="1">
      <alignment horizontal="center" vertical="center"/>
    </xf>
    <xf numFmtId="0" fontId="37" fillId="0" borderId="0" xfId="0" applyFont="1"/>
    <xf numFmtId="43" fontId="33" fillId="0" borderId="0" xfId="1" applyFont="1" applyAlignment="1">
      <alignment horizontal="left"/>
    </xf>
    <xf numFmtId="43" fontId="13" fillId="0" borderId="0" xfId="1" applyFont="1" applyAlignment="1">
      <alignment horizontal="center"/>
    </xf>
    <xf numFmtId="0" fontId="38" fillId="0" borderId="0" xfId="0" applyFont="1"/>
    <xf numFmtId="164" fontId="38" fillId="0" borderId="9" xfId="2" applyNumberFormat="1" applyFont="1" applyBorder="1"/>
    <xf numFmtId="9" fontId="13" fillId="0" borderId="0" xfId="6" applyFont="1"/>
    <xf numFmtId="164" fontId="13" fillId="0" borderId="0" xfId="2" applyNumberFormat="1" applyFont="1"/>
    <xf numFmtId="166" fontId="13" fillId="0" borderId="0" xfId="1" applyNumberFormat="1" applyFont="1" applyFill="1" applyBorder="1"/>
    <xf numFmtId="10" fontId="13" fillId="0" borderId="1" xfId="0" applyNumberFormat="1" applyFont="1" applyBorder="1"/>
    <xf numFmtId="43" fontId="33" fillId="0" borderId="0" xfId="5" applyFont="1"/>
    <xf numFmtId="166" fontId="33" fillId="0" borderId="0" xfId="1" applyNumberFormat="1" applyFont="1" applyFill="1" applyBorder="1"/>
    <xf numFmtId="43" fontId="37" fillId="0" borderId="0" xfId="1" applyFont="1"/>
    <xf numFmtId="43" fontId="13" fillId="0" borderId="0" xfId="0" applyNumberFormat="1" applyFont="1"/>
    <xf numFmtId="9" fontId="13" fillId="0" borderId="0" xfId="6" applyFont="1" applyAlignment="1">
      <alignment horizontal="right"/>
    </xf>
    <xf numFmtId="166" fontId="18" fillId="0" borderId="9" xfId="1" applyNumberFormat="1" applyFont="1" applyBorder="1" applyAlignment="1">
      <alignment horizontal="center"/>
    </xf>
    <xf numFmtId="166" fontId="18" fillId="0" borderId="0" xfId="1" applyNumberFormat="1" applyFont="1"/>
    <xf numFmtId="166" fontId="37" fillId="0" borderId="1" xfId="1" applyNumberFormat="1" applyFont="1" applyBorder="1"/>
    <xf numFmtId="43" fontId="18" fillId="0" borderId="0" xfId="5" applyFont="1" applyAlignment="1">
      <alignment horizontal="right"/>
    </xf>
    <xf numFmtId="3" fontId="13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3" fontId="13" fillId="0" borderId="0" xfId="0" applyNumberFormat="1" applyFont="1" applyAlignment="1">
      <alignment horizontal="center"/>
    </xf>
    <xf numFmtId="166" fontId="13" fillId="0" borderId="4" xfId="1" applyNumberFormat="1" applyFont="1" applyBorder="1"/>
    <xf numFmtId="0" fontId="14" fillId="0" borderId="0" xfId="0" applyFont="1"/>
    <xf numFmtId="0" fontId="0" fillId="0" borderId="3" xfId="0" applyBorder="1"/>
    <xf numFmtId="37" fontId="1" fillId="0" borderId="4" xfId="0" applyNumberFormat="1" applyFont="1" applyBorder="1"/>
    <xf numFmtId="0" fontId="0" fillId="0" borderId="4" xfId="0" applyBorder="1"/>
    <xf numFmtId="0" fontId="0" fillId="0" borderId="5" xfId="0" applyBorder="1"/>
    <xf numFmtId="175" fontId="0" fillId="0" borderId="0" xfId="2" applyNumberFormat="1" applyFont="1" applyBorder="1"/>
    <xf numFmtId="0" fontId="0" fillId="0" borderId="7" xfId="0" applyBorder="1"/>
    <xf numFmtId="175" fontId="0" fillId="0" borderId="1" xfId="2" applyNumberFormat="1" applyFont="1" applyBorder="1"/>
    <xf numFmtId="0" fontId="0" fillId="0" borderId="8" xfId="0" applyBorder="1"/>
    <xf numFmtId="166" fontId="1" fillId="0" borderId="0" xfId="0" applyNumberFormat="1" applyFont="1" applyAlignment="1">
      <alignment horizontal="left" vertical="center"/>
    </xf>
    <xf numFmtId="172" fontId="0" fillId="0" borderId="1" xfId="2" applyNumberFormat="1" applyFont="1" applyBorder="1"/>
    <xf numFmtId="176" fontId="0" fillId="0" borderId="0" xfId="3" applyNumberFormat="1" applyFont="1"/>
    <xf numFmtId="0" fontId="1" fillId="0" borderId="0" xfId="0" applyFont="1" applyAlignment="1">
      <alignment horizontal="left" vertical="center"/>
    </xf>
    <xf numFmtId="37" fontId="0" fillId="0" borderId="0" xfId="1" applyNumberFormat="1" applyFont="1" applyBorder="1" applyAlignment="1">
      <alignment vertical="center"/>
    </xf>
    <xf numFmtId="0" fontId="1" fillId="0" borderId="0" xfId="0" applyFont="1" applyAlignment="1">
      <alignment horizontal="left"/>
    </xf>
    <xf numFmtId="37" fontId="1" fillId="0" borderId="0" xfId="5" applyNumberFormat="1" applyFont="1" applyAlignment="1">
      <alignment vertical="center"/>
    </xf>
    <xf numFmtId="166" fontId="13" fillId="0" borderId="1" xfId="0" applyNumberFormat="1" applyFont="1" applyBorder="1" applyAlignment="1">
      <alignment horizontal="center"/>
    </xf>
    <xf numFmtId="168" fontId="18" fillId="0" borderId="9" xfId="6" applyNumberFormat="1" applyFont="1" applyBorder="1"/>
    <xf numFmtId="43" fontId="33" fillId="0" borderId="0" xfId="1" applyFont="1" applyBorder="1" applyAlignment="1">
      <alignment horizontal="center"/>
    </xf>
    <xf numFmtId="174" fontId="13" fillId="0" borderId="0" xfId="1" applyNumberFormat="1" applyFont="1" applyBorder="1"/>
    <xf numFmtId="169" fontId="13" fillId="0" borderId="0" xfId="1" applyNumberFormat="1" applyFont="1" applyBorder="1"/>
    <xf numFmtId="43" fontId="33" fillId="0" borderId="0" xfId="1" applyFont="1" applyBorder="1"/>
    <xf numFmtId="0" fontId="13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43" fontId="18" fillId="0" borderId="0" xfId="1" applyFont="1" applyBorder="1"/>
    <xf numFmtId="43" fontId="18" fillId="0" borderId="0" xfId="5" applyFont="1" applyBorder="1"/>
    <xf numFmtId="0" fontId="28" fillId="0" borderId="0" xfId="0" applyFont="1" applyAlignment="1">
      <alignment horizontal="center"/>
    </xf>
    <xf numFmtId="177" fontId="28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77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177" fontId="1" fillId="0" borderId="0" xfId="0" applyNumberFormat="1" applyFont="1" applyAlignment="1">
      <alignment vertical="center"/>
    </xf>
    <xf numFmtId="44" fontId="14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4" fontId="14" fillId="0" borderId="1" xfId="0" applyNumberFormat="1" applyFont="1" applyBorder="1" applyAlignment="1">
      <alignment vertical="center"/>
    </xf>
    <xf numFmtId="44" fontId="14" fillId="0" borderId="10" xfId="0" applyNumberFormat="1" applyFont="1" applyBorder="1" applyAlignment="1">
      <alignment vertical="center"/>
    </xf>
    <xf numFmtId="39" fontId="1" fillId="0" borderId="0" xfId="0" applyNumberFormat="1" applyFont="1"/>
    <xf numFmtId="39" fontId="0" fillId="0" borderId="1" xfId="0" applyNumberFormat="1" applyBorder="1"/>
    <xf numFmtId="39" fontId="0" fillId="0" borderId="10" xfId="0" applyNumberFormat="1" applyBorder="1"/>
    <xf numFmtId="39" fontId="0" fillId="0" borderId="9" xfId="0" applyNumberFormat="1" applyBorder="1"/>
    <xf numFmtId="39" fontId="0" fillId="2" borderId="0" xfId="0" applyNumberFormat="1" applyFill="1"/>
    <xf numFmtId="39" fontId="1" fillId="2" borderId="0" xfId="0" applyNumberFormat="1" applyFont="1" applyFill="1"/>
    <xf numFmtId="39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1" fontId="28" fillId="0" borderId="0" xfId="0" applyNumberFormat="1" applyFont="1"/>
    <xf numFmtId="3" fontId="28" fillId="0" borderId="0" xfId="0" applyNumberFormat="1" applyFont="1"/>
    <xf numFmtId="1" fontId="28" fillId="0" borderId="0" xfId="0" applyNumberFormat="1" applyFont="1" applyAlignment="1">
      <alignment horizontal="center"/>
    </xf>
    <xf numFmtId="3" fontId="28" fillId="0" borderId="0" xfId="0" applyNumberFormat="1" applyFont="1" applyAlignment="1">
      <alignment horizontal="center"/>
    </xf>
    <xf numFmtId="1" fontId="28" fillId="0" borderId="1" xfId="0" applyNumberFormat="1" applyFont="1" applyBorder="1" applyAlignment="1">
      <alignment horizontal="center"/>
    </xf>
    <xf numFmtId="3" fontId="28" fillId="0" borderId="1" xfId="0" applyNumberFormat="1" applyFont="1" applyBorder="1" applyAlignment="1">
      <alignment horizontal="center"/>
    </xf>
    <xf numFmtId="3" fontId="28" fillId="0" borderId="10" xfId="0" applyNumberFormat="1" applyFont="1" applyBorder="1"/>
    <xf numFmtId="38" fontId="37" fillId="0" borderId="0" xfId="0" applyNumberFormat="1" applyFont="1"/>
    <xf numFmtId="38" fontId="13" fillId="0" borderId="1" xfId="1" applyNumberFormat="1" applyFont="1" applyBorder="1" applyAlignment="1"/>
    <xf numFmtId="38" fontId="18" fillId="0" borderId="9" xfId="1" applyNumberFormat="1" applyFont="1" applyBorder="1" applyAlignment="1"/>
    <xf numFmtId="38" fontId="13" fillId="0" borderId="0" xfId="1" applyNumberFormat="1" applyFont="1" applyAlignment="1"/>
    <xf numFmtId="38" fontId="13" fillId="0" borderId="0" xfId="0" applyNumberFormat="1" applyFont="1"/>
    <xf numFmtId="38" fontId="13" fillId="0" borderId="10" xfId="0" applyNumberFormat="1" applyFont="1" applyBorder="1"/>
    <xf numFmtId="10" fontId="13" fillId="0" borderId="1" xfId="3" applyNumberFormat="1" applyFont="1" applyBorder="1" applyAlignment="1"/>
    <xf numFmtId="170" fontId="14" fillId="0" borderId="1" xfId="0" applyNumberFormat="1" applyFont="1" applyBorder="1" applyAlignment="1">
      <alignment horizontal="center"/>
    </xf>
    <xf numFmtId="39" fontId="14" fillId="0" borderId="1" xfId="0" applyNumberFormat="1" applyFont="1" applyBorder="1"/>
    <xf numFmtId="39" fontId="14" fillId="0" borderId="0" xfId="0" applyNumberFormat="1" applyFont="1" applyAlignment="1">
      <alignment horizontal="left" indent="1"/>
    </xf>
    <xf numFmtId="39" fontId="14" fillId="0" borderId="2" xfId="0" applyNumberFormat="1" applyFont="1" applyBorder="1"/>
    <xf numFmtId="39" fontId="14" fillId="0" borderId="6" xfId="0" applyNumberFormat="1" applyFont="1" applyBorder="1"/>
    <xf numFmtId="39" fontId="14" fillId="0" borderId="0" xfId="0" applyNumberFormat="1" applyFont="1" applyAlignment="1">
      <alignment horizontal="left" indent="2"/>
    </xf>
    <xf numFmtId="37" fontId="14" fillId="0" borderId="0" xfId="0" applyNumberFormat="1" applyFont="1" applyAlignment="1">
      <alignment horizontal="left" indent="2"/>
    </xf>
    <xf numFmtId="39" fontId="14" fillId="0" borderId="0" xfId="0" applyNumberFormat="1" applyFont="1" applyAlignment="1">
      <alignment horizontal="left" indent="3"/>
    </xf>
    <xf numFmtId="39" fontId="14" fillId="0" borderId="7" xfId="0" applyNumberFormat="1" applyFont="1" applyBorder="1"/>
    <xf numFmtId="39" fontId="14" fillId="0" borderId="8" xfId="0" applyNumberFormat="1" applyFont="1" applyBorder="1"/>
    <xf numFmtId="0" fontId="21" fillId="0" borderId="0" xfId="0" applyFont="1"/>
    <xf numFmtId="0" fontId="24" fillId="0" borderId="0" xfId="0" applyFont="1"/>
    <xf numFmtId="0" fontId="4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44" fontId="1" fillId="0" borderId="0" xfId="2" applyFont="1" applyBorder="1"/>
    <xf numFmtId="172" fontId="1" fillId="0" borderId="0" xfId="2" applyNumberFormat="1" applyFont="1" applyBorder="1"/>
    <xf numFmtId="166" fontId="1" fillId="0" borderId="0" xfId="5" applyNumberFormat="1" applyFont="1" applyBorder="1" applyAlignment="1"/>
    <xf numFmtId="175" fontId="1" fillId="0" borderId="0" xfId="2" applyNumberFormat="1" applyFont="1" applyBorder="1"/>
    <xf numFmtId="37" fontId="22" fillId="0" borderId="0" xfId="0" applyNumberFormat="1" applyFont="1"/>
    <xf numFmtId="0" fontId="1" fillId="0" borderId="5" xfId="0" applyFont="1" applyBorder="1"/>
    <xf numFmtId="167" fontId="1" fillId="0" borderId="6" xfId="6" applyNumberFormat="1" applyFont="1" applyBorder="1" applyAlignment="1"/>
    <xf numFmtId="0" fontId="1" fillId="0" borderId="1" xfId="0" applyFont="1" applyBorder="1"/>
    <xf numFmtId="0" fontId="24" fillId="0" borderId="1" xfId="0" applyFont="1" applyBorder="1"/>
    <xf numFmtId="0" fontId="1" fillId="0" borderId="8" xfId="0" applyFont="1" applyBorder="1"/>
    <xf numFmtId="10" fontId="0" fillId="0" borderId="0" xfId="6" applyNumberFormat="1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10" fontId="1" fillId="0" borderId="1" xfId="6" applyNumberFormat="1" applyFont="1" applyBorder="1" applyAlignment="1">
      <alignment horizontal="center"/>
    </xf>
    <xf numFmtId="43" fontId="0" fillId="0" borderId="0" xfId="1" applyFont="1"/>
    <xf numFmtId="37" fontId="1" fillId="0" borderId="0" xfId="0" applyNumberFormat="1" applyFont="1" applyAlignment="1">
      <alignment horizontal="center" vertical="center"/>
    </xf>
    <xf numFmtId="178" fontId="0" fillId="0" borderId="0" xfId="0" applyNumberFormat="1"/>
    <xf numFmtId="178" fontId="1" fillId="0" borderId="0" xfId="2" applyNumberFormat="1" applyFont="1" applyBorder="1"/>
    <xf numFmtId="37" fontId="42" fillId="0" borderId="0" xfId="0" applyNumberFormat="1" applyFont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1" fontId="14" fillId="0" borderId="0" xfId="0" quotePrefix="1" applyNumberFormat="1" applyFont="1" applyAlignment="1">
      <alignment horizontal="center"/>
    </xf>
    <xf numFmtId="3" fontId="24" fillId="0" borderId="0" xfId="0" applyNumberFormat="1" applyFont="1"/>
    <xf numFmtId="166" fontId="24" fillId="0" borderId="0" xfId="1" applyNumberFormat="1" applyFont="1" applyAlignment="1"/>
    <xf numFmtId="164" fontId="24" fillId="0" borderId="0" xfId="0" applyNumberFormat="1" applyFont="1" applyAlignment="1">
      <alignment vertical="center"/>
    </xf>
    <xf numFmtId="166" fontId="24" fillId="0" borderId="1" xfId="1" applyNumberFormat="1" applyFont="1" applyBorder="1" applyAlignment="1">
      <alignment vertical="center"/>
    </xf>
    <xf numFmtId="164" fontId="24" fillId="0" borderId="10" xfId="0" applyNumberFormat="1" applyFont="1" applyBorder="1" applyAlignment="1">
      <alignment vertical="center"/>
    </xf>
    <xf numFmtId="9" fontId="13" fillId="0" borderId="0" xfId="0" applyNumberFormat="1" applyFont="1"/>
    <xf numFmtId="43" fontId="0" fillId="0" borderId="0" xfId="0" applyNumberFormat="1"/>
    <xf numFmtId="9" fontId="1" fillId="0" borderId="0" xfId="3" applyFont="1" applyBorder="1"/>
    <xf numFmtId="9" fontId="1" fillId="0" borderId="0" xfId="0" applyNumberFormat="1" applyFont="1"/>
    <xf numFmtId="9" fontId="1" fillId="0" borderId="0" xfId="2" applyNumberFormat="1" applyFont="1" applyBorder="1"/>
    <xf numFmtId="0" fontId="22" fillId="0" borderId="0" xfId="0" applyFont="1" applyAlignment="1">
      <alignment horizontal="center"/>
    </xf>
    <xf numFmtId="44" fontId="1" fillId="0" borderId="0" xfId="4" applyFont="1" applyBorder="1"/>
    <xf numFmtId="9" fontId="1" fillId="0" borderId="0" xfId="6" applyFont="1" applyBorder="1" applyAlignment="1">
      <alignment horizontal="center"/>
    </xf>
    <xf numFmtId="44" fontId="1" fillId="0" borderId="0" xfId="0" applyNumberFormat="1" applyFont="1"/>
    <xf numFmtId="172" fontId="1" fillId="0" borderId="0" xfId="4" applyNumberFormat="1" applyFont="1" applyBorder="1"/>
    <xf numFmtId="166" fontId="1" fillId="0" borderId="0" xfId="0" applyNumberFormat="1" applyFont="1"/>
    <xf numFmtId="9" fontId="1" fillId="0" borderId="0" xfId="6" applyFont="1"/>
    <xf numFmtId="175" fontId="1" fillId="0" borderId="0" xfId="4" applyNumberFormat="1" applyFont="1" applyBorder="1"/>
    <xf numFmtId="0" fontId="1" fillId="0" borderId="4" xfId="0" applyFont="1" applyBorder="1"/>
    <xf numFmtId="9" fontId="0" fillId="0" borderId="0" xfId="3" applyFont="1" applyBorder="1"/>
    <xf numFmtId="9" fontId="0" fillId="0" borderId="0" xfId="0" applyNumberFormat="1"/>
    <xf numFmtId="166" fontId="1" fillId="0" borderId="0" xfId="1" applyNumberFormat="1" applyFont="1" applyBorder="1" applyAlignment="1">
      <alignment vertical="center"/>
    </xf>
    <xf numFmtId="166" fontId="1" fillId="0" borderId="0" xfId="1" applyNumberFormat="1" applyFont="1" applyBorder="1" applyAlignment="1"/>
    <xf numFmtId="37" fontId="6" fillId="0" borderId="1" xfId="0" applyNumberFormat="1" applyFont="1" applyBorder="1"/>
    <xf numFmtId="164" fontId="6" fillId="0" borderId="9" xfId="0" applyNumberFormat="1" applyFont="1" applyBorder="1" applyAlignment="1">
      <alignment vertical="center"/>
    </xf>
    <xf numFmtId="37" fontId="6" fillId="0" borderId="0" xfId="0" applyNumberFormat="1" applyFont="1"/>
    <xf numFmtId="3" fontId="6" fillId="0" borderId="0" xfId="0" applyNumberFormat="1" applyFont="1" applyAlignment="1">
      <alignment vertical="center"/>
    </xf>
    <xf numFmtId="3" fontId="6" fillId="0" borderId="0" xfId="0" applyNumberFormat="1" applyFont="1"/>
    <xf numFmtId="3" fontId="45" fillId="0" borderId="0" xfId="0" applyNumberFormat="1" applyFont="1"/>
    <xf numFmtId="42" fontId="6" fillId="0" borderId="0" xfId="0" applyNumberFormat="1" applyFont="1"/>
    <xf numFmtId="3" fontId="1" fillId="0" borderId="6" xfId="0" applyNumberFormat="1" applyFont="1" applyBorder="1"/>
    <xf numFmtId="3" fontId="20" fillId="0" borderId="0" xfId="0" applyNumberFormat="1" applyFont="1" applyAlignment="1">
      <alignment horizontal="center"/>
    </xf>
    <xf numFmtId="37" fontId="1" fillId="0" borderId="9" xfId="0" applyNumberFormat="1" applyFont="1" applyBorder="1" applyAlignment="1">
      <alignment vertical="center"/>
    </xf>
    <xf numFmtId="167" fontId="1" fillId="0" borderId="1" xfId="3" applyNumberFormat="1" applyFont="1" applyBorder="1" applyAlignment="1">
      <alignment horizontal="center"/>
    </xf>
    <xf numFmtId="10" fontId="1" fillId="0" borderId="1" xfId="3" applyNumberFormat="1" applyFont="1" applyBorder="1" applyAlignment="1">
      <alignment horizontal="center"/>
    </xf>
    <xf numFmtId="9" fontId="6" fillId="0" borderId="0" xfId="0" applyNumberFormat="1" applyFont="1"/>
    <xf numFmtId="10" fontId="6" fillId="0" borderId="0" xfId="0" applyNumberFormat="1" applyFont="1"/>
    <xf numFmtId="178" fontId="0" fillId="0" borderId="0" xfId="2" applyNumberFormat="1" applyFont="1" applyBorder="1"/>
    <xf numFmtId="0" fontId="3" fillId="0" borderId="0" xfId="0" applyFont="1"/>
    <xf numFmtId="0" fontId="9" fillId="0" borderId="0" xfId="0" applyFont="1"/>
    <xf numFmtId="37" fontId="0" fillId="0" borderId="0" xfId="0" applyNumberFormat="1" applyAlignment="1">
      <alignment horizontal="left" indent="1"/>
    </xf>
    <xf numFmtId="0" fontId="46" fillId="0" borderId="0" xfId="0" applyFont="1" applyAlignment="1">
      <alignment horizontal="center"/>
    </xf>
    <xf numFmtId="3" fontId="20" fillId="0" borderId="4" xfId="0" applyNumberFormat="1" applyFont="1" applyBorder="1" applyAlignment="1">
      <alignment horizontal="center"/>
    </xf>
    <xf numFmtId="164" fontId="6" fillId="0" borderId="0" xfId="0" applyNumberFormat="1" applyFont="1" applyAlignment="1">
      <alignment vertical="center"/>
    </xf>
    <xf numFmtId="37" fontId="1" fillId="0" borderId="0" xfId="0" applyNumberFormat="1" applyFont="1" applyAlignment="1">
      <alignment horizontal="center"/>
    </xf>
    <xf numFmtId="37" fontId="13" fillId="0" borderId="0" xfId="1" applyNumberFormat="1" applyFont="1" applyBorder="1" applyAlignment="1">
      <alignment horizontal="center" vertical="center"/>
    </xf>
    <xf numFmtId="37" fontId="13" fillId="0" borderId="0" xfId="0" applyNumberFormat="1" applyFont="1" applyAlignment="1">
      <alignment horizontal="center" vertical="center"/>
    </xf>
    <xf numFmtId="37" fontId="13" fillId="0" borderId="0" xfId="1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37" fontId="1" fillId="0" borderId="1" xfId="0" applyNumberFormat="1" applyFont="1" applyBorder="1" applyAlignment="1">
      <alignment horizontal="center" vertical="center"/>
    </xf>
    <xf numFmtId="166" fontId="1" fillId="0" borderId="0" xfId="5" applyNumberFormat="1" applyFont="1" applyAlignment="1">
      <alignment horizontal="center"/>
    </xf>
    <xf numFmtId="166" fontId="1" fillId="0" borderId="0" xfId="1" applyNumberFormat="1" applyFont="1" applyBorder="1" applyAlignment="1">
      <alignment horizontal="center" vertical="center"/>
    </xf>
    <xf numFmtId="166" fontId="1" fillId="0" borderId="0" xfId="1" quotePrefix="1" applyNumberFormat="1" applyFont="1" applyBorder="1" applyAlignment="1">
      <alignment horizontal="center" vertical="center"/>
    </xf>
    <xf numFmtId="164" fontId="1" fillId="0" borderId="0" xfId="2" applyNumberFormat="1" applyFont="1" applyBorder="1" applyAlignment="1">
      <alignment horizontal="center" vertical="center"/>
    </xf>
    <xf numFmtId="9" fontId="1" fillId="0" borderId="0" xfId="3" applyFont="1" applyBorder="1" applyAlignment="1">
      <alignment horizontal="center"/>
    </xf>
    <xf numFmtId="42" fontId="6" fillId="0" borderId="0" xfId="0" applyNumberFormat="1" applyFont="1" applyAlignment="1">
      <alignment horizontal="center"/>
    </xf>
    <xf numFmtId="37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37" fontId="13" fillId="0" borderId="11" xfId="0" applyNumberFormat="1" applyFont="1" applyBorder="1" applyAlignment="1">
      <alignment vertical="center"/>
    </xf>
    <xf numFmtId="166" fontId="13" fillId="0" borderId="1" xfId="1" applyNumberFormat="1" applyFont="1" applyBorder="1"/>
    <xf numFmtId="49" fontId="47" fillId="0" borderId="0" xfId="0" applyNumberFormat="1" applyFont="1"/>
    <xf numFmtId="180" fontId="47" fillId="0" borderId="0" xfId="0" applyNumberFormat="1" applyFont="1"/>
    <xf numFmtId="180" fontId="47" fillId="0" borderId="13" xfId="0" applyNumberFormat="1" applyFont="1" applyBorder="1"/>
    <xf numFmtId="49" fontId="48" fillId="0" borderId="0" xfId="0" applyNumberFormat="1" applyFont="1"/>
    <xf numFmtId="37" fontId="48" fillId="0" borderId="0" xfId="0" applyNumberFormat="1" applyFont="1"/>
    <xf numFmtId="49" fontId="49" fillId="0" borderId="0" xfId="0" applyNumberFormat="1" applyFont="1"/>
    <xf numFmtId="49" fontId="49" fillId="0" borderId="0" xfId="0" applyNumberFormat="1" applyFont="1" applyAlignment="1">
      <alignment horizontal="center"/>
    </xf>
    <xf numFmtId="179" fontId="49" fillId="0" borderId="0" xfId="0" applyNumberFormat="1" applyFont="1"/>
    <xf numFmtId="166" fontId="1" fillId="0" borderId="0" xfId="5" applyNumberFormat="1" applyFont="1" applyBorder="1"/>
    <xf numFmtId="166" fontId="1" fillId="0" borderId="1" xfId="5" applyNumberFormat="1" applyFont="1" applyBorder="1"/>
    <xf numFmtId="49" fontId="49" fillId="0" borderId="0" xfId="0" applyNumberFormat="1" applyFont="1" applyAlignment="1">
      <alignment horizontal="left" indent="1"/>
    </xf>
    <xf numFmtId="0" fontId="1" fillId="0" borderId="0" xfId="0" applyFont="1" applyAlignment="1">
      <alignment horizontal="left" indent="1"/>
    </xf>
    <xf numFmtId="49" fontId="49" fillId="0" borderId="0" xfId="0" applyNumberFormat="1" applyFont="1" applyAlignment="1">
      <alignment horizontal="left" indent="2"/>
    </xf>
    <xf numFmtId="168" fontId="1" fillId="0" borderId="0" xfId="3" applyNumberFormat="1" applyFont="1" applyAlignment="1">
      <alignment vertical="center"/>
    </xf>
    <xf numFmtId="166" fontId="50" fillId="0" borderId="0" xfId="1" applyNumberFormat="1" applyFont="1" applyAlignment="1">
      <alignment vertical="center"/>
    </xf>
    <xf numFmtId="37" fontId="1" fillId="0" borderId="10" xfId="0" applyNumberFormat="1" applyFont="1" applyBorder="1"/>
    <xf numFmtId="39" fontId="0" fillId="2" borderId="4" xfId="0" applyNumberFormat="1" applyFill="1" applyBorder="1"/>
    <xf numFmtId="49" fontId="51" fillId="0" borderId="0" xfId="0" applyNumberFormat="1" applyFont="1"/>
    <xf numFmtId="10" fontId="1" fillId="0" borderId="10" xfId="3" applyNumberFormat="1" applyFont="1" applyBorder="1"/>
    <xf numFmtId="39" fontId="49" fillId="0" borderId="0" xfId="0" applyNumberFormat="1" applyFont="1"/>
    <xf numFmtId="180" fontId="49" fillId="0" borderId="13" xfId="0" applyNumberFormat="1" applyFont="1" applyBorder="1"/>
    <xf numFmtId="39" fontId="1" fillId="0" borderId="9" xfId="0" applyNumberFormat="1" applyFont="1" applyBorder="1"/>
    <xf numFmtId="39" fontId="49" fillId="0" borderId="1" xfId="0" applyNumberFormat="1" applyFont="1" applyBorder="1"/>
    <xf numFmtId="37" fontId="0" fillId="0" borderId="10" xfId="0" applyNumberFormat="1" applyBorder="1"/>
    <xf numFmtId="3" fontId="20" fillId="0" borderId="12" xfId="0" applyNumberFormat="1" applyFont="1" applyBorder="1" applyAlignment="1">
      <alignment horizontal="center"/>
    </xf>
    <xf numFmtId="43" fontId="27" fillId="0" borderId="4" xfId="5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39" fontId="14" fillId="0" borderId="1" xfId="0" applyNumberFormat="1" applyFont="1" applyBorder="1" applyAlignment="1">
      <alignment horizontal="center"/>
    </xf>
    <xf numFmtId="44" fontId="14" fillId="0" borderId="1" xfId="0" applyNumberFormat="1" applyFont="1" applyBorder="1" applyAlignment="1">
      <alignment horizontal="center"/>
    </xf>
    <xf numFmtId="37" fontId="29" fillId="0" borderId="0" xfId="0" applyNumberFormat="1" applyFont="1" applyAlignment="1">
      <alignment horizontal="center"/>
    </xf>
    <xf numFmtId="39" fontId="29" fillId="0" borderId="0" xfId="0" applyNumberFormat="1" applyFont="1" applyAlignment="1">
      <alignment horizontal="center"/>
    </xf>
    <xf numFmtId="166" fontId="15" fillId="0" borderId="0" xfId="5" applyNumberFormat="1" applyFont="1" applyBorder="1" applyAlignment="1">
      <alignment horizontal="center"/>
    </xf>
    <xf numFmtId="166" fontId="16" fillId="0" borderId="0" xfId="5" applyNumberFormat="1" applyFont="1" applyBorder="1" applyAlignment="1">
      <alignment horizontal="center"/>
    </xf>
    <xf numFmtId="3" fontId="15" fillId="0" borderId="0" xfId="0" applyNumberFormat="1" applyFont="1" applyAlignment="1">
      <alignment horizontal="center" vertical="center"/>
    </xf>
    <xf numFmtId="166" fontId="1" fillId="0" borderId="0" xfId="5" applyNumberFormat="1" applyFont="1" applyBorder="1" applyAlignment="1">
      <alignment horizontal="center"/>
    </xf>
    <xf numFmtId="166" fontId="13" fillId="0" borderId="11" xfId="5" applyNumberFormat="1" applyFont="1" applyBorder="1" applyAlignment="1">
      <alignment horizontal="center"/>
    </xf>
    <xf numFmtId="1" fontId="39" fillId="0" borderId="0" xfId="0" applyNumberFormat="1" applyFont="1" applyAlignment="1">
      <alignment horizontal="center"/>
    </xf>
    <xf numFmtId="1" fontId="28" fillId="0" borderId="1" xfId="0" applyNumberFormat="1" applyFont="1" applyBorder="1" applyAlignment="1">
      <alignment horizontal="center"/>
    </xf>
    <xf numFmtId="1" fontId="28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3" fontId="7" fillId="0" borderId="0" xfId="0" applyNumberFormat="1" applyFont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6" fillId="0" borderId="0" xfId="0" applyFont="1" applyAlignment="1">
      <alignment horizontal="center"/>
    </xf>
    <xf numFmtId="3" fontId="46" fillId="0" borderId="0" xfId="0" applyNumberFormat="1" applyFont="1" applyAlignment="1">
      <alignment horizontal="left" vertical="center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3" fontId="40" fillId="0" borderId="2" xfId="0" applyNumberFormat="1" applyFont="1" applyBorder="1" applyAlignment="1">
      <alignment horizontal="center"/>
    </xf>
    <xf numFmtId="3" fontId="40" fillId="0" borderId="0" xfId="0" applyNumberFormat="1" applyFont="1" applyAlignment="1">
      <alignment horizontal="center"/>
    </xf>
    <xf numFmtId="3" fontId="40" fillId="0" borderId="6" xfId="0" applyNumberFormat="1" applyFont="1" applyBorder="1" applyAlignment="1">
      <alignment horizontal="center"/>
    </xf>
    <xf numFmtId="170" fontId="14" fillId="0" borderId="1" xfId="0" applyNumberFormat="1" applyFont="1" applyBorder="1" applyAlignment="1">
      <alignment horizontal="center"/>
    </xf>
    <xf numFmtId="3" fontId="29" fillId="0" borderId="2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166" fontId="13" fillId="0" borderId="1" xfId="5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37" fontId="42" fillId="0" borderId="0" xfId="0" applyNumberFormat="1" applyFont="1" applyAlignment="1">
      <alignment horizontal="center"/>
    </xf>
    <xf numFmtId="37" fontId="42" fillId="0" borderId="4" xfId="0" applyNumberFormat="1" applyFont="1" applyBorder="1" applyAlignment="1">
      <alignment horizontal="center"/>
    </xf>
    <xf numFmtId="37" fontId="40" fillId="0" borderId="0" xfId="0" applyNumberFormat="1" applyFont="1" applyAlignment="1">
      <alignment horizontal="center"/>
    </xf>
    <xf numFmtId="37" fontId="1" fillId="0" borderId="1" xfId="0" applyNumberFormat="1" applyFont="1" applyBorder="1" applyAlignment="1">
      <alignment horizontal="center"/>
    </xf>
  </cellXfs>
  <cellStyles count="7">
    <cellStyle name="Comma" xfId="1" builtinId="3"/>
    <cellStyle name="Comma 2" xfId="5" xr:uid="{00000000-0005-0000-0000-000001000000}"/>
    <cellStyle name="Currency" xfId="2" builtinId="4"/>
    <cellStyle name="Currency 2" xfId="4" xr:uid="{00000000-0005-0000-0000-000003000000}"/>
    <cellStyle name="Normal" xfId="0" builtinId="0"/>
    <cellStyle name="Percent" xfId="3" builtinId="5"/>
    <cellStyle name="Percent 2" xfId="6" xr:uid="{00000000-0005-0000-0000-000006000000}"/>
  </cellStyles>
  <dxfs count="0"/>
  <tableStyles count="0" defaultTableStyle="TableStyleMedium9" defaultPivotStyle="PivotStyleLight16"/>
  <colors>
    <mruColors>
      <color rgb="FFFFFFCC"/>
      <color rgb="FF59B589"/>
      <color rgb="FFFFFF99"/>
      <color rgb="FFCC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81740-89C4-442A-8B90-CF7514BD5B11}">
  <dimension ref="B2:JE68"/>
  <sheetViews>
    <sheetView showGridLines="0" tabSelected="1" workbookViewId="0">
      <selection activeCell="C3" sqref="C3:R3"/>
    </sheetView>
  </sheetViews>
  <sheetFormatPr defaultColWidth="8.84375" defaultRowHeight="15.5" x14ac:dyDescent="0.35"/>
  <cols>
    <col min="1" max="1" width="3.53515625" style="27" customWidth="1"/>
    <col min="2" max="2" width="1.765625" style="27" customWidth="1"/>
    <col min="3" max="3" width="3.69140625" style="87" customWidth="1"/>
    <col min="4" max="4" width="2.69140625" style="87" customWidth="1"/>
    <col min="5" max="5" width="30.07421875" style="87" customWidth="1"/>
    <col min="6" max="6" width="14.765625" style="87" customWidth="1"/>
    <col min="7" max="7" width="1.765625" style="87" customWidth="1"/>
    <col min="8" max="8" width="14.765625" style="87" customWidth="1"/>
    <col min="9" max="9" width="1.765625" style="87" customWidth="1"/>
    <col min="10" max="10" width="5.765625" style="83" customWidth="1"/>
    <col min="11" max="11" width="1.765625" style="83" customWidth="1"/>
    <col min="12" max="12" width="14.765625" style="87" customWidth="1"/>
    <col min="13" max="13" width="1.765625" style="87" customWidth="1"/>
    <col min="14" max="14" width="14.765625" style="87" customWidth="1"/>
    <col min="15" max="15" width="1.765625" style="87" customWidth="1"/>
    <col min="16" max="16" width="5.765625" style="83" customWidth="1"/>
    <col min="17" max="17" width="1.765625" style="87" customWidth="1"/>
    <col min="18" max="18" width="14.765625" style="87" customWidth="1"/>
    <col min="19" max="19" width="1.53515625" style="87" customWidth="1"/>
    <col min="20" max="20" width="17" style="104" customWidth="1"/>
    <col min="21" max="21" width="11.3046875" style="87" customWidth="1"/>
    <col min="22" max="22" width="17.84375" style="88" customWidth="1"/>
    <col min="23" max="23" width="18" style="87" customWidth="1"/>
    <col min="24" max="24" width="11.3046875" style="87" customWidth="1"/>
    <col min="25" max="265" width="9.69140625" style="87" customWidth="1"/>
    <col min="266" max="267" width="9.69140625" style="27" customWidth="1"/>
    <col min="268" max="16384" width="8.84375" style="27"/>
  </cols>
  <sheetData>
    <row r="2" spans="2:29" ht="7" customHeight="1" x14ac:dyDescent="0.35">
      <c r="B2" s="66"/>
      <c r="C2" s="84"/>
      <c r="D2" s="84"/>
      <c r="E2" s="84"/>
      <c r="F2" s="84"/>
      <c r="G2" s="84"/>
      <c r="H2" s="84"/>
      <c r="I2" s="84"/>
      <c r="J2" s="85"/>
      <c r="K2" s="85"/>
      <c r="L2" s="84"/>
      <c r="M2" s="84"/>
      <c r="N2" s="84"/>
      <c r="O2" s="84"/>
      <c r="P2" s="85"/>
      <c r="Q2" s="84"/>
      <c r="R2" s="84"/>
      <c r="S2" s="86"/>
    </row>
    <row r="3" spans="2:29" x14ac:dyDescent="0.35">
      <c r="B3" s="67"/>
      <c r="C3" s="414" t="s">
        <v>529</v>
      </c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90"/>
      <c r="U3" s="91"/>
      <c r="V3" s="92"/>
      <c r="W3" s="91"/>
      <c r="X3" s="91"/>
      <c r="Y3" s="91"/>
      <c r="Z3" s="91"/>
    </row>
    <row r="4" spans="2:29" ht="18.75" customHeight="1" x14ac:dyDescent="0.35">
      <c r="B4" s="67"/>
      <c r="C4" s="414" t="str">
        <f>Adj!B1</f>
        <v>Morgan County Water District</v>
      </c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93"/>
      <c r="U4" s="27"/>
      <c r="V4" s="92"/>
      <c r="W4" s="89"/>
      <c r="X4" s="89"/>
      <c r="Y4" s="89"/>
      <c r="Z4" s="89"/>
      <c r="AA4" s="89"/>
      <c r="AB4" s="89"/>
      <c r="AC4" s="89"/>
    </row>
    <row r="5" spans="2:29" ht="7" customHeight="1" x14ac:dyDescent="0.35">
      <c r="B5" s="68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5"/>
      <c r="U5" s="27"/>
      <c r="V5" s="92"/>
      <c r="W5" s="89"/>
      <c r="X5" s="89"/>
      <c r="Y5" s="89"/>
      <c r="Z5" s="89"/>
      <c r="AA5" s="89"/>
      <c r="AB5" s="89"/>
      <c r="AC5" s="89"/>
    </row>
    <row r="6" spans="2:29" x14ac:dyDescent="0.35">
      <c r="B6" s="67"/>
      <c r="C6" s="98"/>
      <c r="D6" s="91"/>
      <c r="E6" s="91"/>
      <c r="F6" s="91"/>
      <c r="G6" s="91"/>
      <c r="I6" s="91"/>
      <c r="J6" s="99"/>
      <c r="K6" s="99"/>
      <c r="L6" s="91"/>
      <c r="M6" s="91"/>
      <c r="N6" s="89"/>
      <c r="O6" s="91"/>
      <c r="P6" s="89"/>
      <c r="Q6" s="91"/>
      <c r="R6" s="89"/>
      <c r="S6" s="100"/>
      <c r="U6" s="92"/>
      <c r="V6" s="92"/>
      <c r="W6" s="92"/>
      <c r="X6" s="91"/>
      <c r="Y6" s="91"/>
      <c r="Z6" s="91"/>
    </row>
    <row r="7" spans="2:29" x14ac:dyDescent="0.35">
      <c r="B7" s="67"/>
      <c r="C7" s="98"/>
      <c r="D7" s="91"/>
      <c r="E7" s="91"/>
      <c r="F7" s="413" t="s">
        <v>431</v>
      </c>
      <c r="G7" s="413"/>
      <c r="H7" s="413"/>
      <c r="I7" s="413"/>
      <c r="J7" s="413"/>
      <c r="K7" s="413"/>
      <c r="L7" s="413"/>
      <c r="M7" s="91"/>
      <c r="N7" s="413" t="s">
        <v>426</v>
      </c>
      <c r="O7" s="413"/>
      <c r="P7" s="413"/>
      <c r="Q7" s="413"/>
      <c r="R7" s="413"/>
      <c r="S7" s="100"/>
      <c r="U7" s="92"/>
      <c r="V7" s="92"/>
      <c r="W7" s="92"/>
      <c r="X7" s="91"/>
      <c r="Y7" s="91"/>
      <c r="Z7" s="91"/>
    </row>
    <row r="8" spans="2:29" x14ac:dyDescent="0.35">
      <c r="B8" s="67"/>
      <c r="C8" s="98"/>
      <c r="D8" s="91"/>
      <c r="E8" s="91"/>
      <c r="F8" s="91"/>
      <c r="G8" s="91"/>
      <c r="I8" s="91"/>
      <c r="J8" s="99"/>
      <c r="K8" s="99"/>
      <c r="L8" s="91"/>
      <c r="M8" s="91"/>
      <c r="N8" s="89" t="s">
        <v>426</v>
      </c>
      <c r="O8" s="91"/>
      <c r="P8" s="89"/>
      <c r="Q8" s="91"/>
      <c r="R8" s="89" t="s">
        <v>426</v>
      </c>
      <c r="S8" s="100"/>
      <c r="U8" s="92"/>
      <c r="V8" s="92"/>
      <c r="W8" s="92"/>
      <c r="X8" s="91"/>
      <c r="Y8" s="91"/>
      <c r="Z8" s="91"/>
    </row>
    <row r="9" spans="2:29" x14ac:dyDescent="0.35">
      <c r="B9" s="67"/>
      <c r="C9" s="91"/>
      <c r="D9" s="91"/>
      <c r="E9" s="91"/>
      <c r="F9" s="94" t="s">
        <v>55</v>
      </c>
      <c r="G9" s="96"/>
      <c r="H9" s="94" t="s">
        <v>19</v>
      </c>
      <c r="I9" s="96"/>
      <c r="J9" s="94" t="s">
        <v>31</v>
      </c>
      <c r="K9" s="96"/>
      <c r="L9" s="94" t="s">
        <v>54</v>
      </c>
      <c r="M9" s="89"/>
      <c r="N9" s="94" t="s">
        <v>19</v>
      </c>
      <c r="O9" s="89"/>
      <c r="P9" s="94" t="s">
        <v>31</v>
      </c>
      <c r="Q9" s="89"/>
      <c r="R9" s="94" t="s">
        <v>54</v>
      </c>
      <c r="S9" s="97"/>
      <c r="T9" s="401" t="s">
        <v>452</v>
      </c>
      <c r="U9" s="92"/>
      <c r="V9" s="92"/>
      <c r="W9" s="92"/>
      <c r="X9" s="91"/>
      <c r="Y9" s="91"/>
      <c r="Z9" s="91"/>
    </row>
    <row r="10" spans="2:29" x14ac:dyDescent="0.35">
      <c r="B10" s="67"/>
      <c r="C10" s="98" t="s">
        <v>2</v>
      </c>
      <c r="D10" s="91"/>
      <c r="E10" s="91"/>
      <c r="F10" s="91"/>
      <c r="G10" s="91"/>
      <c r="I10" s="91"/>
      <c r="J10" s="99"/>
      <c r="K10" s="99"/>
      <c r="L10" s="91"/>
      <c r="M10" s="91"/>
      <c r="N10" s="91"/>
      <c r="O10" s="91"/>
      <c r="P10" s="99"/>
      <c r="Q10" s="91"/>
      <c r="R10" s="91"/>
      <c r="S10" s="100"/>
      <c r="U10" s="92"/>
      <c r="V10" s="92"/>
      <c r="W10" s="92"/>
      <c r="X10" s="91"/>
      <c r="Y10" s="91"/>
      <c r="Z10" s="91"/>
    </row>
    <row r="11" spans="2:29" x14ac:dyDescent="0.35">
      <c r="B11" s="67"/>
      <c r="C11" s="91"/>
      <c r="D11" s="91" t="s">
        <v>88</v>
      </c>
      <c r="E11" s="91"/>
      <c r="F11" s="101">
        <v>1922574</v>
      </c>
      <c r="G11" s="101"/>
      <c r="H11" s="101">
        <v>-32431</v>
      </c>
      <c r="I11" s="101"/>
      <c r="J11" s="102" t="s">
        <v>60</v>
      </c>
      <c r="K11" s="102"/>
      <c r="S11" s="103"/>
      <c r="U11" s="92"/>
      <c r="V11" s="92"/>
      <c r="W11" s="92"/>
      <c r="X11" s="91"/>
      <c r="Y11" s="91"/>
      <c r="Z11" s="91"/>
    </row>
    <row r="12" spans="2:29" x14ac:dyDescent="0.35">
      <c r="B12" s="67"/>
      <c r="C12" s="91"/>
      <c r="D12" s="27"/>
      <c r="E12" s="91"/>
      <c r="F12" s="108"/>
      <c r="G12" s="108"/>
      <c r="H12" s="105">
        <f>'ExBA - Beg. Rates'!H16</f>
        <v>-8801.9299999999348</v>
      </c>
      <c r="I12" s="105"/>
      <c r="J12" s="109" t="s">
        <v>61</v>
      </c>
      <c r="K12" s="109"/>
      <c r="L12" s="62">
        <f>SUM(F11,H11:H12)</f>
        <v>1881341.07</v>
      </c>
      <c r="M12" s="62"/>
      <c r="N12" s="62"/>
      <c r="O12" s="62"/>
      <c r="P12" s="371"/>
      <c r="Q12" s="62"/>
      <c r="R12" s="62">
        <f>SUM(L12,N12)</f>
        <v>1881341.07</v>
      </c>
      <c r="S12" s="103"/>
      <c r="U12" s="92"/>
      <c r="V12" s="92"/>
      <c r="W12" s="92"/>
      <c r="X12" s="91"/>
      <c r="Y12" s="91"/>
      <c r="Z12" s="91"/>
    </row>
    <row r="13" spans="2:29" x14ac:dyDescent="0.35">
      <c r="B13" s="67"/>
      <c r="C13" s="91"/>
      <c r="D13" s="91" t="s">
        <v>26</v>
      </c>
      <c r="E13" s="91"/>
      <c r="F13" s="108"/>
      <c r="G13" s="108"/>
      <c r="H13" s="105"/>
      <c r="I13" s="105"/>
      <c r="J13" s="109"/>
      <c r="K13" s="109"/>
      <c r="L13" s="62"/>
      <c r="M13" s="62"/>
      <c r="N13" s="62"/>
      <c r="O13" s="62"/>
      <c r="P13" s="371"/>
      <c r="Q13" s="62"/>
      <c r="R13" s="62"/>
      <c r="S13" s="103"/>
      <c r="U13" s="92"/>
      <c r="V13" s="92"/>
      <c r="W13" s="92"/>
      <c r="X13" s="91"/>
      <c r="Y13" s="91"/>
      <c r="Z13" s="91"/>
    </row>
    <row r="14" spans="2:29" x14ac:dyDescent="0.35">
      <c r="B14" s="67"/>
      <c r="C14" s="91"/>
      <c r="D14" s="91"/>
      <c r="E14" s="91" t="s">
        <v>24</v>
      </c>
      <c r="F14" s="105"/>
      <c r="G14" s="105"/>
      <c r="H14" s="105">
        <f>-H11</f>
        <v>32431</v>
      </c>
      <c r="I14" s="105"/>
      <c r="J14" s="109" t="s">
        <v>60</v>
      </c>
      <c r="K14" s="109"/>
      <c r="L14" s="105">
        <f>SUM(F14,H14)</f>
        <v>32431</v>
      </c>
      <c r="M14" s="105"/>
      <c r="N14" s="105"/>
      <c r="O14" s="105"/>
      <c r="P14" s="372"/>
      <c r="Q14" s="105"/>
      <c r="R14" s="62">
        <f>SUM(L14,N14)</f>
        <v>32431</v>
      </c>
      <c r="S14" s="107"/>
      <c r="U14" s="92"/>
      <c r="V14" s="92"/>
      <c r="W14" s="110"/>
      <c r="X14" s="91"/>
      <c r="Y14" s="91"/>
      <c r="Z14" s="91"/>
    </row>
    <row r="15" spans="2:29" x14ac:dyDescent="0.35">
      <c r="B15" s="67"/>
      <c r="C15" s="91"/>
      <c r="D15" s="91"/>
      <c r="E15" s="91" t="s">
        <v>25</v>
      </c>
      <c r="F15" s="105"/>
      <c r="G15" s="105"/>
      <c r="H15" s="105"/>
      <c r="I15" s="105"/>
      <c r="J15" s="109"/>
      <c r="K15" s="109"/>
      <c r="L15" s="105"/>
      <c r="M15" s="105"/>
      <c r="N15" s="105"/>
      <c r="O15" s="105"/>
      <c r="P15" s="372"/>
      <c r="Q15" s="105"/>
      <c r="R15" s="105"/>
      <c r="S15" s="107"/>
      <c r="U15" s="92"/>
      <c r="W15" s="111"/>
      <c r="X15" s="112"/>
      <c r="Y15" s="91"/>
      <c r="Z15" s="91"/>
    </row>
    <row r="16" spans="2:29" ht="18.5" x14ac:dyDescent="0.35">
      <c r="B16" s="67"/>
      <c r="C16" s="91"/>
      <c r="D16" s="91"/>
      <c r="E16" s="27" t="s">
        <v>90</v>
      </c>
      <c r="F16" s="113">
        <v>229652</v>
      </c>
      <c r="G16" s="105"/>
      <c r="H16" s="113">
        <v>-198825</v>
      </c>
      <c r="I16" s="105"/>
      <c r="J16" s="109" t="s">
        <v>62</v>
      </c>
      <c r="K16" s="109"/>
      <c r="L16" s="113">
        <f>F16+H16</f>
        <v>30827</v>
      </c>
      <c r="M16" s="105"/>
      <c r="N16" s="113"/>
      <c r="O16" s="105"/>
      <c r="P16" s="372"/>
      <c r="Q16" s="105"/>
      <c r="R16" s="64">
        <f>SUM(L16,N16)</f>
        <v>30827</v>
      </c>
      <c r="S16" s="114"/>
      <c r="U16" s="92"/>
      <c r="W16" s="111"/>
      <c r="X16" s="115"/>
      <c r="Y16" s="91"/>
      <c r="Z16" s="91"/>
    </row>
    <row r="17" spans="2:26" x14ac:dyDescent="0.35">
      <c r="B17" s="67"/>
      <c r="C17" s="116" t="s">
        <v>3</v>
      </c>
      <c r="D17" s="91"/>
      <c r="E17" s="91"/>
      <c r="F17" s="385">
        <f>SUM(F11:F16)</f>
        <v>2152226</v>
      </c>
      <c r="G17" s="108"/>
      <c r="H17" s="385">
        <f>SUM(H11:H16)</f>
        <v>-207626.92999999993</v>
      </c>
      <c r="I17" s="108"/>
      <c r="J17" s="109"/>
      <c r="K17" s="109"/>
      <c r="L17" s="385">
        <f>SUM(L11:L16)</f>
        <v>1944599.07</v>
      </c>
      <c r="M17" s="108"/>
      <c r="N17" s="385">
        <f>SUM(N11:N16)</f>
        <v>0</v>
      </c>
      <c r="O17" s="108"/>
      <c r="P17" s="373"/>
      <c r="Q17" s="108"/>
      <c r="R17" s="385">
        <f>SUM(R11:R16)</f>
        <v>1944599.07</v>
      </c>
      <c r="S17" s="103"/>
      <c r="U17" s="92"/>
      <c r="W17" s="111"/>
      <c r="X17" s="115"/>
      <c r="Y17" s="91"/>
      <c r="Z17" s="91"/>
    </row>
    <row r="18" spans="2:26" x14ac:dyDescent="0.35">
      <c r="B18" s="67"/>
      <c r="C18" s="91"/>
      <c r="D18" s="91"/>
      <c r="E18" s="91"/>
      <c r="F18" s="108"/>
      <c r="G18" s="108"/>
      <c r="H18" s="105"/>
      <c r="I18" s="105"/>
      <c r="J18" s="109"/>
      <c r="K18" s="109"/>
      <c r="L18" s="108"/>
      <c r="M18" s="108"/>
      <c r="N18" s="108"/>
      <c r="O18" s="108"/>
      <c r="P18" s="373"/>
      <c r="Q18" s="108"/>
      <c r="R18" s="108"/>
      <c r="S18" s="117"/>
      <c r="U18" s="92"/>
      <c r="W18" s="111"/>
      <c r="X18" s="115"/>
      <c r="Y18" s="91"/>
      <c r="Z18" s="91"/>
    </row>
    <row r="19" spans="2:26" ht="18.5" x14ac:dyDescent="0.35">
      <c r="B19" s="67"/>
      <c r="C19" s="98" t="s">
        <v>4</v>
      </c>
      <c r="D19" s="91"/>
      <c r="E19" s="91"/>
      <c r="F19" s="108"/>
      <c r="G19" s="108"/>
      <c r="H19" s="105"/>
      <c r="I19" s="105"/>
      <c r="J19" s="109"/>
      <c r="K19" s="109"/>
      <c r="L19" s="108"/>
      <c r="M19" s="108"/>
      <c r="N19" s="108"/>
      <c r="O19" s="108"/>
      <c r="P19" s="373"/>
      <c r="Q19" s="108"/>
      <c r="R19" s="108"/>
      <c r="S19" s="117"/>
      <c r="U19" s="92"/>
      <c r="W19" s="111"/>
      <c r="X19" s="118"/>
      <c r="Y19" s="91"/>
      <c r="Z19" s="91"/>
    </row>
    <row r="20" spans="2:26" ht="18.5" x14ac:dyDescent="0.35">
      <c r="B20" s="67"/>
      <c r="C20" s="91"/>
      <c r="D20" s="91" t="s">
        <v>8</v>
      </c>
      <c r="E20" s="91"/>
      <c r="F20" s="105"/>
      <c r="G20" s="105"/>
      <c r="H20" s="105"/>
      <c r="I20" s="105"/>
      <c r="J20" s="109"/>
      <c r="K20" s="109"/>
      <c r="L20" s="108"/>
      <c r="M20" s="108"/>
      <c r="N20" s="108"/>
      <c r="O20" s="108"/>
      <c r="P20" s="373"/>
      <c r="Q20" s="108"/>
      <c r="R20" s="108"/>
      <c r="S20" s="117"/>
      <c r="U20" s="119"/>
      <c r="W20" s="111"/>
      <c r="X20" s="112"/>
      <c r="Y20" s="91"/>
      <c r="Z20" s="91"/>
    </row>
    <row r="21" spans="2:26" x14ac:dyDescent="0.35">
      <c r="B21" s="67"/>
      <c r="C21" s="91"/>
      <c r="D21" s="91"/>
      <c r="E21" s="91" t="s">
        <v>12</v>
      </c>
      <c r="F21" s="105">
        <v>444858</v>
      </c>
      <c r="G21" s="105"/>
      <c r="H21" s="105">
        <f>'Emp Sal &amp; Wages - Application'!G30</f>
        <v>209648</v>
      </c>
      <c r="I21" s="105"/>
      <c r="J21" s="109" t="s">
        <v>84</v>
      </c>
      <c r="K21" s="109"/>
      <c r="L21" s="108"/>
      <c r="M21" s="108"/>
      <c r="N21" s="108"/>
      <c r="O21" s="108"/>
      <c r="P21" s="373"/>
      <c r="Q21" s="108"/>
      <c r="R21" s="108"/>
      <c r="S21" s="117"/>
      <c r="U21" s="92"/>
      <c r="W21" s="110"/>
      <c r="X21" s="91"/>
      <c r="Y21" s="91"/>
      <c r="Z21" s="91"/>
    </row>
    <row r="22" spans="2:26" x14ac:dyDescent="0.35">
      <c r="B22" s="67"/>
      <c r="C22" s="91"/>
      <c r="D22" s="91"/>
      <c r="E22" s="91"/>
      <c r="F22" s="105"/>
      <c r="G22" s="105"/>
      <c r="H22" s="105">
        <f>Adj!T11</f>
        <v>-32805</v>
      </c>
      <c r="I22" s="105"/>
      <c r="J22" s="109" t="s">
        <v>63</v>
      </c>
      <c r="K22" s="109"/>
      <c r="L22" s="108">
        <f>SUM(F21:H22)</f>
        <v>621701</v>
      </c>
      <c r="M22" s="108"/>
      <c r="N22" s="108">
        <f>'New Employees'!O14</f>
        <v>-95680</v>
      </c>
      <c r="O22" s="108"/>
      <c r="P22" s="373" t="s">
        <v>427</v>
      </c>
      <c r="Q22" s="108"/>
      <c r="R22" s="62">
        <f>SUM(L22,N22)</f>
        <v>526021</v>
      </c>
      <c r="S22" s="117"/>
      <c r="T22" s="104" t="s">
        <v>495</v>
      </c>
      <c r="U22" s="92"/>
      <c r="V22" s="92"/>
      <c r="W22" s="91"/>
      <c r="X22" s="91"/>
      <c r="Y22" s="91"/>
      <c r="Z22" s="91"/>
    </row>
    <row r="23" spans="2:26" x14ac:dyDescent="0.35">
      <c r="B23" s="67"/>
      <c r="C23" s="91"/>
      <c r="D23" s="91"/>
      <c r="E23" s="91" t="s">
        <v>13</v>
      </c>
      <c r="F23" s="105"/>
      <c r="G23" s="105"/>
      <c r="H23" s="105"/>
      <c r="I23" s="105"/>
      <c r="J23" s="109"/>
      <c r="K23" s="109"/>
      <c r="L23" s="108">
        <f t="shared" ref="L23:L40" si="0">F23+H23</f>
        <v>0</v>
      </c>
      <c r="M23" s="108"/>
      <c r="N23" s="108"/>
      <c r="O23" s="108"/>
      <c r="P23" s="373"/>
      <c r="Q23" s="108"/>
      <c r="R23" s="108">
        <f>J23+L23</f>
        <v>0</v>
      </c>
      <c r="S23" s="117"/>
      <c r="T23" s="104">
        <v>0</v>
      </c>
      <c r="U23" s="92"/>
      <c r="V23" s="92"/>
      <c r="W23" s="92"/>
      <c r="Y23" s="91"/>
      <c r="Z23" s="91"/>
    </row>
    <row r="24" spans="2:26" x14ac:dyDescent="0.35">
      <c r="B24" s="67"/>
      <c r="C24" s="91"/>
      <c r="D24" s="91"/>
      <c r="E24" s="91" t="s">
        <v>14</v>
      </c>
      <c r="F24" s="105">
        <v>293806</v>
      </c>
      <c r="G24" s="105"/>
      <c r="H24" s="105">
        <f>Adj!H50</f>
        <v>33265</v>
      </c>
      <c r="I24" s="105"/>
      <c r="J24" s="120" t="s">
        <v>64</v>
      </c>
      <c r="K24" s="120"/>
      <c r="L24" s="108"/>
      <c r="M24" s="108"/>
      <c r="N24" s="108"/>
      <c r="O24" s="108"/>
      <c r="P24" s="373"/>
      <c r="Q24" s="108"/>
      <c r="R24" s="108"/>
      <c r="S24" s="117"/>
      <c r="U24" s="92"/>
      <c r="V24" s="92"/>
      <c r="Y24" s="91"/>
      <c r="Z24" s="91"/>
    </row>
    <row r="25" spans="2:26" x14ac:dyDescent="0.35">
      <c r="B25" s="67"/>
      <c r="C25" s="91"/>
      <c r="D25" s="91"/>
      <c r="E25" s="91"/>
      <c r="F25" s="105"/>
      <c r="G25" s="105"/>
      <c r="H25" s="105">
        <f>Adj!H56</f>
        <v>-53127</v>
      </c>
      <c r="I25" s="105"/>
      <c r="J25" s="120" t="s">
        <v>65</v>
      </c>
      <c r="K25" s="120"/>
      <c r="L25" s="108">
        <f>SUM(F24,H24:H25)</f>
        <v>273944</v>
      </c>
      <c r="M25" s="108"/>
      <c r="N25" s="108">
        <f>'New Employees'!N49</f>
        <v>-25450.210800000001</v>
      </c>
      <c r="O25" s="108"/>
      <c r="P25" s="373" t="s">
        <v>427</v>
      </c>
      <c r="Q25" s="108"/>
      <c r="R25" s="62"/>
      <c r="S25" s="117"/>
      <c r="T25" s="104" t="s">
        <v>497</v>
      </c>
      <c r="U25" s="92"/>
      <c r="V25" s="92"/>
      <c r="Y25" s="91"/>
      <c r="Z25" s="91"/>
    </row>
    <row r="26" spans="2:26" x14ac:dyDescent="0.35">
      <c r="B26" s="67"/>
      <c r="C26" s="91"/>
      <c r="D26" s="91"/>
      <c r="E26" s="91"/>
      <c r="F26" s="105"/>
      <c r="G26" s="105"/>
      <c r="H26" s="105"/>
      <c r="I26" s="105"/>
      <c r="J26" s="120"/>
      <c r="K26" s="120"/>
      <c r="L26" s="108"/>
      <c r="M26" s="108"/>
      <c r="N26" s="108">
        <f>'New Employees'!O23</f>
        <v>-22332</v>
      </c>
      <c r="O26" s="108"/>
      <c r="P26" s="373" t="s">
        <v>427</v>
      </c>
      <c r="Q26" s="108"/>
      <c r="R26" s="62">
        <f>SUM(L25,N25:N26)</f>
        <v>226161.7892</v>
      </c>
      <c r="S26" s="117"/>
      <c r="T26" s="104" t="s">
        <v>498</v>
      </c>
      <c r="U26" s="92"/>
      <c r="V26" s="92"/>
      <c r="Y26" s="91"/>
      <c r="Z26" s="91"/>
    </row>
    <row r="27" spans="2:26" x14ac:dyDescent="0.35">
      <c r="B27" s="67"/>
      <c r="C27" s="91"/>
      <c r="D27" s="91"/>
      <c r="E27" s="91" t="s">
        <v>15</v>
      </c>
      <c r="F27" s="105">
        <v>717565</v>
      </c>
      <c r="G27" s="105"/>
      <c r="H27" s="105">
        <f>Adj!E22</f>
        <v>-127294</v>
      </c>
      <c r="I27" s="105"/>
      <c r="J27" s="120" t="s">
        <v>124</v>
      </c>
      <c r="K27" s="120"/>
      <c r="L27" s="108">
        <f t="shared" si="0"/>
        <v>590271</v>
      </c>
      <c r="M27" s="108"/>
      <c r="N27" s="108"/>
      <c r="O27" s="108"/>
      <c r="P27" s="373"/>
      <c r="Q27" s="108"/>
      <c r="R27" s="62">
        <f t="shared" ref="R27:R38" si="1">SUM(L27,N27)</f>
        <v>590271</v>
      </c>
      <c r="S27" s="117"/>
      <c r="U27" s="88"/>
      <c r="V27" s="92"/>
      <c r="Y27" s="91"/>
      <c r="Z27" s="91"/>
    </row>
    <row r="28" spans="2:26" x14ac:dyDescent="0.35">
      <c r="B28" s="67"/>
      <c r="C28" s="91"/>
      <c r="D28" s="91"/>
      <c r="E28" s="91" t="s">
        <v>16</v>
      </c>
      <c r="F28" s="105">
        <v>59385</v>
      </c>
      <c r="G28" s="105"/>
      <c r="H28" s="105">
        <f>Adj!F22</f>
        <v>-10535</v>
      </c>
      <c r="I28" s="105"/>
      <c r="J28" s="120" t="s">
        <v>124</v>
      </c>
      <c r="K28" s="120"/>
      <c r="L28" s="108">
        <f t="shared" si="0"/>
        <v>48850</v>
      </c>
      <c r="M28" s="108"/>
      <c r="N28" s="108"/>
      <c r="O28" s="108"/>
      <c r="P28" s="373"/>
      <c r="Q28" s="108"/>
      <c r="R28" s="62">
        <f t="shared" si="1"/>
        <v>48850</v>
      </c>
      <c r="S28" s="117"/>
      <c r="U28" s="88"/>
      <c r="V28" s="92"/>
      <c r="Y28" s="91"/>
      <c r="Z28" s="91"/>
    </row>
    <row r="29" spans="2:26" x14ac:dyDescent="0.35">
      <c r="B29" s="67"/>
      <c r="C29" s="91"/>
      <c r="D29" s="91"/>
      <c r="E29" s="91" t="s">
        <v>50</v>
      </c>
      <c r="F29" s="105">
        <v>231172</v>
      </c>
      <c r="G29" s="105"/>
      <c r="H29" s="105">
        <f>Adj!T12</f>
        <v>-76545</v>
      </c>
      <c r="I29" s="105"/>
      <c r="J29" s="120" t="s">
        <v>63</v>
      </c>
      <c r="K29" s="120"/>
      <c r="L29" s="108">
        <f t="shared" si="0"/>
        <v>154627</v>
      </c>
      <c r="M29" s="108"/>
      <c r="N29" s="108"/>
      <c r="O29" s="108"/>
      <c r="P29" s="373"/>
      <c r="Q29" s="108"/>
      <c r="R29" s="62">
        <f t="shared" si="1"/>
        <v>154627</v>
      </c>
      <c r="S29" s="117"/>
      <c r="U29" s="92"/>
      <c r="V29" s="121"/>
      <c r="W29" s="92"/>
      <c r="X29" s="91"/>
      <c r="Y29" s="91"/>
      <c r="Z29" s="91"/>
    </row>
    <row r="30" spans="2:26" x14ac:dyDescent="0.35">
      <c r="B30" s="67"/>
      <c r="C30" s="91"/>
      <c r="D30" s="91"/>
      <c r="E30" s="91" t="s">
        <v>442</v>
      </c>
      <c r="F30" s="105">
        <v>123570</v>
      </c>
      <c r="G30" s="105"/>
      <c r="H30" s="105"/>
      <c r="I30" s="105"/>
      <c r="J30" s="109"/>
      <c r="K30" s="109"/>
      <c r="L30" s="108">
        <f t="shared" si="0"/>
        <v>123570</v>
      </c>
      <c r="M30" s="108"/>
      <c r="N30" s="108"/>
      <c r="O30" s="108"/>
      <c r="P30" s="373"/>
      <c r="Q30" s="108"/>
      <c r="R30" s="62">
        <f t="shared" si="1"/>
        <v>123570</v>
      </c>
      <c r="S30" s="117"/>
      <c r="U30" s="92"/>
      <c r="V30" s="92"/>
      <c r="W30" s="92"/>
      <c r="X30" s="91"/>
      <c r="Y30" s="91"/>
      <c r="Z30" s="91"/>
    </row>
    <row r="31" spans="2:26" x14ac:dyDescent="0.35">
      <c r="B31" s="67"/>
      <c r="C31" s="91"/>
      <c r="D31" s="91"/>
      <c r="E31" s="91" t="s">
        <v>20</v>
      </c>
      <c r="F31" s="105">
        <v>58562</v>
      </c>
      <c r="G31" s="105"/>
      <c r="H31" s="105"/>
      <c r="I31" s="105"/>
      <c r="J31" s="109"/>
      <c r="K31" s="109"/>
      <c r="L31" s="108">
        <f t="shared" si="0"/>
        <v>58562</v>
      </c>
      <c r="M31" s="108"/>
      <c r="N31" s="108"/>
      <c r="O31" s="108"/>
      <c r="P31" s="373"/>
      <c r="Q31" s="108"/>
      <c r="R31" s="62">
        <f t="shared" si="1"/>
        <v>58562</v>
      </c>
      <c r="S31" s="117"/>
      <c r="U31" s="92"/>
      <c r="V31" s="122"/>
      <c r="W31" s="92"/>
      <c r="X31" s="91"/>
      <c r="Y31" s="91"/>
      <c r="Z31" s="91"/>
    </row>
    <row r="32" spans="2:26" x14ac:dyDescent="0.35">
      <c r="B32" s="67"/>
      <c r="C32" s="91"/>
      <c r="D32" s="91"/>
      <c r="E32" s="91" t="s">
        <v>176</v>
      </c>
      <c r="F32" s="105">
        <v>22319</v>
      </c>
      <c r="G32" s="105"/>
      <c r="H32" s="105"/>
      <c r="I32" s="105"/>
      <c r="J32" s="109"/>
      <c r="K32" s="109"/>
      <c r="L32" s="108">
        <f>F32</f>
        <v>22319</v>
      </c>
      <c r="M32" s="108"/>
      <c r="N32" s="108"/>
      <c r="O32" s="108"/>
      <c r="P32" s="373"/>
      <c r="Q32" s="108"/>
      <c r="R32" s="62">
        <f t="shared" si="1"/>
        <v>22319</v>
      </c>
      <c r="S32" s="117"/>
      <c r="U32" s="92"/>
      <c r="V32" s="122"/>
      <c r="W32" s="92"/>
      <c r="X32" s="91"/>
      <c r="Y32" s="91"/>
      <c r="Z32" s="91"/>
    </row>
    <row r="33" spans="2:26" x14ac:dyDescent="0.35">
      <c r="B33" s="67"/>
      <c r="C33" s="91"/>
      <c r="D33" s="91"/>
      <c r="E33" s="91" t="s">
        <v>177</v>
      </c>
      <c r="F33" s="105">
        <v>6175</v>
      </c>
      <c r="G33" s="105"/>
      <c r="H33" s="105"/>
      <c r="I33" s="105"/>
      <c r="J33" s="109"/>
      <c r="K33" s="109"/>
      <c r="L33" s="108">
        <f>F33</f>
        <v>6175</v>
      </c>
      <c r="M33" s="108"/>
      <c r="N33" s="108"/>
      <c r="O33" s="108"/>
      <c r="P33" s="373"/>
      <c r="Q33" s="108"/>
      <c r="R33" s="62">
        <f t="shared" si="1"/>
        <v>6175</v>
      </c>
      <c r="S33" s="117"/>
      <c r="U33" s="92"/>
      <c r="V33" s="122"/>
      <c r="W33" s="92"/>
      <c r="X33" s="91"/>
      <c r="Y33" s="91"/>
      <c r="Z33" s="91"/>
    </row>
    <row r="34" spans="2:26" x14ac:dyDescent="0.35">
      <c r="B34" s="67"/>
      <c r="C34" s="91"/>
      <c r="D34" s="91"/>
      <c r="E34" s="91" t="s">
        <v>91</v>
      </c>
      <c r="F34" s="105">
        <v>1519</v>
      </c>
      <c r="G34" s="105"/>
      <c r="H34" s="105"/>
      <c r="I34" s="105"/>
      <c r="J34" s="109"/>
      <c r="K34" s="109"/>
      <c r="L34" s="108">
        <f t="shared" si="0"/>
        <v>1519</v>
      </c>
      <c r="M34" s="108"/>
      <c r="N34" s="108"/>
      <c r="O34" s="108"/>
      <c r="P34" s="373"/>
      <c r="Q34" s="108"/>
      <c r="R34" s="62">
        <f t="shared" si="1"/>
        <v>1519</v>
      </c>
      <c r="S34" s="117"/>
      <c r="U34" s="92"/>
      <c r="V34" s="122"/>
      <c r="W34" s="92"/>
      <c r="X34" s="91"/>
      <c r="Y34" s="91"/>
      <c r="Z34" s="91"/>
    </row>
    <row r="35" spans="2:26" x14ac:dyDescent="0.35">
      <c r="B35" s="67"/>
      <c r="C35" s="91"/>
      <c r="D35" s="91"/>
      <c r="E35" s="91" t="s">
        <v>441</v>
      </c>
      <c r="F35" s="105"/>
      <c r="G35" s="105"/>
      <c r="H35" s="105"/>
      <c r="I35" s="105"/>
      <c r="J35" s="109"/>
      <c r="K35" s="109"/>
      <c r="L35" s="108">
        <f t="shared" ref="L35" si="2">F35+H35</f>
        <v>0</v>
      </c>
      <c r="M35" s="108"/>
      <c r="N35" s="108">
        <f>'Chaitable Cont'!H24</f>
        <v>-9207</v>
      </c>
      <c r="O35" s="108"/>
      <c r="P35" s="373" t="s">
        <v>428</v>
      </c>
      <c r="Q35" s="108"/>
      <c r="R35" s="62">
        <f t="shared" ref="R35" si="3">SUM(L35,N35)</f>
        <v>-9207</v>
      </c>
      <c r="S35" s="117"/>
      <c r="T35" s="104" t="s">
        <v>451</v>
      </c>
      <c r="U35" s="400">
        <f>ROUND(-N35/L39,5)</f>
        <v>4.7699999999999999E-3</v>
      </c>
      <c r="V35" s="122"/>
      <c r="W35" s="92"/>
      <c r="X35" s="91"/>
      <c r="Y35" s="91"/>
      <c r="Z35" s="91"/>
    </row>
    <row r="36" spans="2:26" x14ac:dyDescent="0.35">
      <c r="B36" s="67"/>
      <c r="C36" s="91"/>
      <c r="D36" s="91"/>
      <c r="E36" s="91" t="s">
        <v>465</v>
      </c>
      <c r="F36" s="105"/>
      <c r="G36" s="105"/>
      <c r="H36" s="105"/>
      <c r="I36" s="105"/>
      <c r="J36" s="109"/>
      <c r="K36" s="109"/>
      <c r="L36" s="108">
        <f t="shared" ref="L36" si="4">F36+H36</f>
        <v>0</v>
      </c>
      <c r="M36" s="108"/>
      <c r="N36" s="108">
        <f>'Employee Meals'!E39</f>
        <v>-537</v>
      </c>
      <c r="O36" s="108"/>
      <c r="P36" s="373" t="s">
        <v>429</v>
      </c>
      <c r="Q36" s="108"/>
      <c r="R36" s="62">
        <f t="shared" ref="R36" si="5">SUM(L36,N36)</f>
        <v>-537</v>
      </c>
      <c r="S36" s="117"/>
      <c r="U36" s="400"/>
      <c r="V36" s="122"/>
      <c r="W36" s="92"/>
      <c r="X36" s="91"/>
      <c r="Y36" s="91"/>
      <c r="Z36" s="91"/>
    </row>
    <row r="37" spans="2:26" x14ac:dyDescent="0.35">
      <c r="B37" s="67"/>
      <c r="C37" s="91"/>
      <c r="D37" s="91"/>
      <c r="E37" s="91"/>
      <c r="F37" s="105"/>
      <c r="G37" s="105"/>
      <c r="H37" s="105"/>
      <c r="I37" s="105"/>
      <c r="J37" s="109"/>
      <c r="K37" s="109"/>
      <c r="L37" s="108">
        <f t="shared" ref="L37" si="6">F37+H37</f>
        <v>0</v>
      </c>
      <c r="M37" s="108"/>
      <c r="N37" s="108">
        <f>'Billing Software'!G17</f>
        <v>4950</v>
      </c>
      <c r="O37" s="108"/>
      <c r="P37" s="373" t="s">
        <v>528</v>
      </c>
      <c r="Q37" s="108"/>
      <c r="R37" s="62">
        <f t="shared" ref="R37" si="7">SUM(L37,N37)</f>
        <v>4950</v>
      </c>
      <c r="S37" s="117"/>
      <c r="U37" s="400"/>
      <c r="V37" s="122"/>
      <c r="W37" s="92"/>
      <c r="X37" s="91"/>
      <c r="Y37" s="91"/>
      <c r="Z37" s="91"/>
    </row>
    <row r="38" spans="2:26" ht="18.5" x14ac:dyDescent="0.35">
      <c r="B38" s="67"/>
      <c r="C38" s="91"/>
      <c r="D38" s="91"/>
      <c r="E38" s="91" t="s">
        <v>17</v>
      </c>
      <c r="F38" s="113">
        <v>29948</v>
      </c>
      <c r="G38" s="105"/>
      <c r="H38" s="113"/>
      <c r="I38" s="105"/>
      <c r="J38" s="109"/>
      <c r="K38" s="109"/>
      <c r="L38" s="124">
        <f t="shared" si="0"/>
        <v>29948</v>
      </c>
      <c r="M38" s="108"/>
      <c r="N38" s="124"/>
      <c r="O38" s="108"/>
      <c r="P38" s="373"/>
      <c r="Q38" s="108"/>
      <c r="R38" s="64">
        <f t="shared" si="1"/>
        <v>29948</v>
      </c>
      <c r="S38" s="114"/>
      <c r="U38" s="92"/>
      <c r="V38" s="122"/>
      <c r="W38" s="92"/>
      <c r="X38" s="91"/>
      <c r="Y38" s="91"/>
      <c r="Z38" s="91"/>
    </row>
    <row r="39" spans="2:26" x14ac:dyDescent="0.35">
      <c r="B39" s="67"/>
      <c r="C39" s="91"/>
      <c r="D39" s="116" t="s">
        <v>9</v>
      </c>
      <c r="E39" s="91"/>
      <c r="F39" s="105">
        <f>SUM(F21:F38)</f>
        <v>1988879</v>
      </c>
      <c r="G39" s="105"/>
      <c r="H39" s="105">
        <f>SUM(H21:H38)</f>
        <v>-57393</v>
      </c>
      <c r="I39" s="105"/>
      <c r="J39" s="109"/>
      <c r="K39" s="109"/>
      <c r="L39" s="105">
        <f>SUM(L21:L38)</f>
        <v>1931486</v>
      </c>
      <c r="M39" s="105"/>
      <c r="N39" s="105">
        <f>SUM(N21:N38)</f>
        <v>-148256.2108</v>
      </c>
      <c r="O39" s="105"/>
      <c r="P39" s="372"/>
      <c r="Q39" s="105"/>
      <c r="R39" s="105">
        <f>SUM(R21:R38)</f>
        <v>1783229.7892</v>
      </c>
      <c r="S39" s="117"/>
      <c r="U39" s="92"/>
      <c r="V39" s="122"/>
      <c r="W39" s="92"/>
      <c r="X39" s="91"/>
      <c r="Y39" s="91"/>
      <c r="Z39" s="91"/>
    </row>
    <row r="40" spans="2:26" x14ac:dyDescent="0.35">
      <c r="B40" s="67"/>
      <c r="C40" s="91"/>
      <c r="D40" s="91" t="s">
        <v>10</v>
      </c>
      <c r="F40" s="105">
        <v>519891</v>
      </c>
      <c r="G40" s="105"/>
      <c r="H40" s="105">
        <f>'Dep Adj - NARUCNwe Meters'!O80</f>
        <v>-88492.790000000023</v>
      </c>
      <c r="I40" s="105"/>
      <c r="J40" s="120" t="s">
        <v>66</v>
      </c>
      <c r="K40" s="120"/>
      <c r="L40" s="108">
        <f t="shared" si="0"/>
        <v>431398.20999999996</v>
      </c>
      <c r="M40" s="108"/>
      <c r="N40" s="105">
        <f>'Billing Software'!G21</f>
        <v>4571</v>
      </c>
      <c r="O40" s="108"/>
      <c r="P40" s="372" t="s">
        <v>528</v>
      </c>
      <c r="Q40" s="108"/>
      <c r="R40" s="62">
        <f t="shared" ref="R40:R41" si="8">SUM(L40,N40)</f>
        <v>435969.20999999996</v>
      </c>
      <c r="S40" s="117"/>
      <c r="U40" s="92"/>
      <c r="V40" s="122"/>
      <c r="W40" s="92"/>
      <c r="X40" s="91"/>
      <c r="Y40" s="91"/>
      <c r="Z40" s="91"/>
    </row>
    <row r="41" spans="2:26" ht="18.5" x14ac:dyDescent="0.35">
      <c r="B41" s="67"/>
      <c r="C41" s="91"/>
      <c r="D41" s="91" t="s">
        <v>11</v>
      </c>
      <c r="E41" s="91"/>
      <c r="F41" s="124">
        <v>33243</v>
      </c>
      <c r="G41" s="108"/>
      <c r="H41" s="124">
        <f>Adj!N34</f>
        <v>16827</v>
      </c>
      <c r="I41" s="108"/>
      <c r="J41" s="109" t="s">
        <v>67</v>
      </c>
      <c r="K41" s="109"/>
      <c r="L41" s="124">
        <f>F41+H41</f>
        <v>50070</v>
      </c>
      <c r="M41" s="108"/>
      <c r="N41" s="124">
        <f>'New Employees'!O19</f>
        <v>-7320</v>
      </c>
      <c r="O41" s="108"/>
      <c r="P41" s="373" t="s">
        <v>427</v>
      </c>
      <c r="Q41" s="108"/>
      <c r="R41" s="64">
        <f t="shared" si="8"/>
        <v>42750</v>
      </c>
      <c r="S41" s="114"/>
      <c r="T41" s="104" t="s">
        <v>496</v>
      </c>
      <c r="U41" s="92"/>
      <c r="V41" s="122"/>
      <c r="W41" s="92"/>
      <c r="X41" s="91"/>
      <c r="Y41" s="91"/>
      <c r="Z41" s="91"/>
    </row>
    <row r="42" spans="2:26" x14ac:dyDescent="0.35">
      <c r="B42" s="67"/>
      <c r="C42" s="116" t="s">
        <v>5</v>
      </c>
      <c r="D42" s="91"/>
      <c r="E42" s="91"/>
      <c r="F42" s="113">
        <f>SUM(F39:F41)</f>
        <v>2542013</v>
      </c>
      <c r="G42" s="105"/>
      <c r="H42" s="123">
        <f>SUM(H39:H41)</f>
        <v>-129058.79000000004</v>
      </c>
      <c r="I42" s="145"/>
      <c r="J42" s="120"/>
      <c r="K42" s="120"/>
      <c r="L42" s="113">
        <f>SUM(L39:L41)</f>
        <v>2412954.21</v>
      </c>
      <c r="M42" s="105"/>
      <c r="N42" s="123">
        <f>SUM(N39:N41)</f>
        <v>-151005.2108</v>
      </c>
      <c r="O42" s="105"/>
      <c r="P42" s="374"/>
      <c r="Q42" s="105"/>
      <c r="R42" s="113">
        <f>SUM(R39:R41)</f>
        <v>2261948.9992</v>
      </c>
      <c r="S42" s="103"/>
      <c r="U42" s="92"/>
      <c r="V42" s="122"/>
      <c r="W42" s="92"/>
      <c r="X42" s="91"/>
      <c r="Y42" s="91"/>
      <c r="Z42" s="91"/>
    </row>
    <row r="43" spans="2:26" ht="16" thickBot="1" x14ac:dyDescent="0.4">
      <c r="B43" s="67"/>
      <c r="C43" s="116" t="s">
        <v>21</v>
      </c>
      <c r="D43" s="91"/>
      <c r="E43" s="91"/>
      <c r="F43" s="125">
        <f>F17-F42</f>
        <v>-389787</v>
      </c>
      <c r="G43" s="126"/>
      <c r="H43" s="125">
        <f>H17-H42</f>
        <v>-78568.139999999898</v>
      </c>
      <c r="I43" s="126"/>
      <c r="J43" s="99"/>
      <c r="K43" s="99"/>
      <c r="L43" s="125">
        <f>L17-L42</f>
        <v>-468355.1399999999</v>
      </c>
      <c r="M43" s="126"/>
      <c r="N43" s="125">
        <f>N17-N42</f>
        <v>151005.2108</v>
      </c>
      <c r="O43" s="126"/>
      <c r="P43" s="375"/>
      <c r="Q43" s="126"/>
      <c r="R43" s="125">
        <f>R17-R42</f>
        <v>-317349.9291999999</v>
      </c>
      <c r="S43" s="103"/>
      <c r="U43" s="92"/>
      <c r="V43" s="122"/>
      <c r="W43" s="92"/>
      <c r="X43" s="91"/>
      <c r="Y43" s="91"/>
      <c r="Z43" s="91"/>
    </row>
    <row r="44" spans="2:26" ht="16" thickTop="1" x14ac:dyDescent="0.35">
      <c r="B44" s="68"/>
      <c r="C44" s="137"/>
      <c r="D44" s="137"/>
      <c r="E44" s="137"/>
      <c r="F44" s="138"/>
      <c r="G44" s="138"/>
      <c r="H44" s="137"/>
      <c r="I44" s="137"/>
      <c r="J44" s="139"/>
      <c r="K44" s="139"/>
      <c r="L44" s="138"/>
      <c r="M44" s="138"/>
      <c r="N44" s="138"/>
      <c r="O44" s="138"/>
      <c r="P44" s="376"/>
      <c r="Q44" s="138"/>
      <c r="R44" s="138"/>
      <c r="S44" s="140"/>
      <c r="U44" s="92"/>
      <c r="V44" s="122"/>
      <c r="W44" s="92"/>
      <c r="X44" s="91"/>
      <c r="Y44" s="91"/>
      <c r="Z44" s="91"/>
    </row>
    <row r="45" spans="2:26" ht="20" x14ac:dyDescent="0.35">
      <c r="B45" s="67"/>
      <c r="C45" s="412" t="s">
        <v>507</v>
      </c>
      <c r="D45" s="412"/>
      <c r="E45" s="412"/>
      <c r="F45" s="412"/>
      <c r="G45" s="412"/>
      <c r="H45" s="412"/>
      <c r="I45" s="412"/>
      <c r="J45" s="412"/>
      <c r="K45" s="412"/>
      <c r="L45" s="412"/>
      <c r="M45" s="412"/>
      <c r="N45" s="412"/>
      <c r="O45" s="412"/>
      <c r="P45" s="412"/>
      <c r="Q45" s="412"/>
      <c r="R45" s="412"/>
      <c r="S45" s="93"/>
      <c r="U45" s="92"/>
      <c r="V45" s="122"/>
      <c r="W45" s="92"/>
      <c r="X45" s="91"/>
      <c r="Y45" s="91"/>
      <c r="Z45" s="91"/>
    </row>
    <row r="46" spans="2:26" x14ac:dyDescent="0.35">
      <c r="B46" s="67"/>
      <c r="C46" s="116" t="s">
        <v>6</v>
      </c>
      <c r="D46" s="91"/>
      <c r="E46" s="91"/>
      <c r="H46" s="91"/>
      <c r="I46" s="91"/>
      <c r="J46" s="99"/>
      <c r="K46" s="99"/>
      <c r="L46" s="126">
        <f>L42</f>
        <v>2412954.21</v>
      </c>
      <c r="M46" s="126"/>
      <c r="N46" s="126">
        <f>R46-L46</f>
        <v>-151005.2108</v>
      </c>
      <c r="O46" s="126"/>
      <c r="P46" s="375"/>
      <c r="Q46" s="126"/>
      <c r="R46" s="126">
        <f>R42</f>
        <v>2261948.9992</v>
      </c>
      <c r="S46" s="103"/>
      <c r="U46" s="92"/>
      <c r="V46" s="122"/>
      <c r="W46" s="92"/>
      <c r="X46" s="91"/>
      <c r="Y46" s="91"/>
      <c r="Z46" s="91"/>
    </row>
    <row r="47" spans="2:26" x14ac:dyDescent="0.35">
      <c r="B47" s="67"/>
      <c r="C47" s="91" t="s">
        <v>58</v>
      </c>
      <c r="D47" s="91"/>
      <c r="E47" s="91" t="s">
        <v>33</v>
      </c>
      <c r="H47" s="91"/>
      <c r="I47" s="91"/>
      <c r="J47" s="127" t="s">
        <v>68</v>
      </c>
      <c r="K47" s="127"/>
      <c r="L47" s="71">
        <f>'Avg Debt Service'!X18</f>
        <v>249358</v>
      </c>
      <c r="M47" s="71"/>
      <c r="N47" s="71">
        <f t="shared" ref="N47:N53" si="9">R47-L47</f>
        <v>-238</v>
      </c>
      <c r="O47" s="71"/>
      <c r="P47" s="377"/>
      <c r="Q47" s="71"/>
      <c r="R47" s="71">
        <f>'Avg Debt Service'!X23</f>
        <v>249120</v>
      </c>
      <c r="S47" s="128"/>
      <c r="U47" s="92"/>
      <c r="V47" s="122"/>
      <c r="W47" s="92"/>
      <c r="X47" s="91"/>
      <c r="Y47" s="91"/>
      <c r="Z47" s="91"/>
    </row>
    <row r="48" spans="2:26" ht="18.5" x14ac:dyDescent="0.35">
      <c r="B48" s="67"/>
      <c r="C48" s="91"/>
      <c r="D48" s="91"/>
      <c r="E48" s="91" t="s">
        <v>18</v>
      </c>
      <c r="H48" s="91"/>
      <c r="I48" s="91"/>
      <c r="J48" s="127"/>
      <c r="K48" s="127"/>
      <c r="L48" s="163">
        <f>ROUND(L47*0.2,0)</f>
        <v>49872</v>
      </c>
      <c r="M48" s="348"/>
      <c r="N48" s="163">
        <f t="shared" si="9"/>
        <v>-48</v>
      </c>
      <c r="O48" s="348"/>
      <c r="P48" s="378"/>
      <c r="Q48" s="348"/>
      <c r="R48" s="163">
        <f>ROUND(R47*0.2,0)</f>
        <v>49824</v>
      </c>
      <c r="S48" s="114"/>
      <c r="U48" s="92"/>
      <c r="V48" s="122"/>
      <c r="W48" s="92"/>
      <c r="X48" s="91"/>
      <c r="Y48" s="91"/>
      <c r="Z48" s="91"/>
    </row>
    <row r="49" spans="2:37" x14ac:dyDescent="0.35">
      <c r="B49" s="67"/>
      <c r="C49" s="116" t="s">
        <v>22</v>
      </c>
      <c r="D49" s="91"/>
      <c r="E49" s="91"/>
      <c r="H49" s="91"/>
      <c r="I49" s="91"/>
      <c r="J49" s="99"/>
      <c r="K49" s="99"/>
      <c r="L49" s="126">
        <f>SUM(L46:L48)</f>
        <v>2712184.21</v>
      </c>
      <c r="M49" s="126"/>
      <c r="N49" s="126">
        <f>SUM(N46:N48)</f>
        <v>-151291.2108</v>
      </c>
      <c r="O49" s="126"/>
      <c r="P49" s="375"/>
      <c r="Q49" s="126"/>
      <c r="R49" s="126">
        <f>SUM(R46:R48)</f>
        <v>2560892.9992</v>
      </c>
      <c r="S49" s="103"/>
      <c r="U49" s="92"/>
      <c r="V49" s="327"/>
      <c r="W49" s="328"/>
      <c r="X49" s="329">
        <v>-292591</v>
      </c>
      <c r="Y49" s="327" t="s">
        <v>385</v>
      </c>
      <c r="Z49" s="327"/>
      <c r="AA49" s="327"/>
      <c r="AB49" s="327"/>
      <c r="AC49" s="327"/>
      <c r="AD49" s="327"/>
      <c r="AE49" s="327"/>
      <c r="AF49" s="327"/>
      <c r="AG49" s="327"/>
      <c r="AH49" s="327"/>
      <c r="AI49" s="327"/>
      <c r="AJ49" s="327"/>
      <c r="AK49" s="327"/>
    </row>
    <row r="50" spans="2:37" x14ac:dyDescent="0.35">
      <c r="B50" s="67"/>
      <c r="C50" s="91" t="s">
        <v>59</v>
      </c>
      <c r="D50" s="91"/>
      <c r="E50" s="91" t="s">
        <v>7</v>
      </c>
      <c r="H50" s="91"/>
      <c r="I50" s="91"/>
      <c r="J50" s="99"/>
      <c r="K50" s="99"/>
      <c r="L50" s="129">
        <f>-L16</f>
        <v>-30827</v>
      </c>
      <c r="M50" s="129"/>
      <c r="N50" s="395">
        <f t="shared" si="9"/>
        <v>0</v>
      </c>
      <c r="O50" s="129"/>
      <c r="P50" s="379"/>
      <c r="Q50" s="129"/>
      <c r="R50" s="129">
        <f>-R16</f>
        <v>-30827</v>
      </c>
      <c r="S50" s="130"/>
      <c r="U50" s="92"/>
      <c r="V50" s="327"/>
      <c r="W50" s="328"/>
      <c r="X50" s="104">
        <v>-53543</v>
      </c>
      <c r="Y50" s="327" t="s">
        <v>386</v>
      </c>
      <c r="Z50" s="327"/>
      <c r="AA50" s="327"/>
      <c r="AB50" s="327"/>
      <c r="AC50" s="327"/>
      <c r="AD50" s="327"/>
      <c r="AE50" s="327"/>
      <c r="AF50" s="327"/>
      <c r="AG50" s="327"/>
      <c r="AH50" s="327"/>
      <c r="AI50" s="327"/>
      <c r="AJ50" s="327"/>
      <c r="AK50" s="327"/>
    </row>
    <row r="51" spans="2:37" x14ac:dyDescent="0.35">
      <c r="B51" s="67"/>
      <c r="C51" s="91"/>
      <c r="D51" s="91"/>
      <c r="E51" s="91" t="s">
        <v>36</v>
      </c>
      <c r="I51" s="91"/>
      <c r="J51" s="99"/>
      <c r="K51" s="99"/>
      <c r="L51" s="129">
        <v>-72</v>
      </c>
      <c r="M51" s="129"/>
      <c r="N51" s="395">
        <f t="shared" si="9"/>
        <v>0</v>
      </c>
      <c r="O51" s="129"/>
      <c r="P51" s="379"/>
      <c r="Q51" s="129"/>
      <c r="R51" s="129">
        <v>-72</v>
      </c>
      <c r="S51" s="130"/>
      <c r="U51" s="92"/>
      <c r="V51" s="327"/>
      <c r="W51" s="328"/>
      <c r="X51" s="104">
        <v>-709</v>
      </c>
      <c r="Y51" s="327" t="s">
        <v>387</v>
      </c>
      <c r="Z51" s="327"/>
      <c r="AA51" s="327"/>
      <c r="AB51" s="327"/>
      <c r="AC51" s="327"/>
      <c r="AD51" s="327"/>
      <c r="AE51" s="327"/>
      <c r="AF51" s="327"/>
      <c r="AG51" s="327"/>
      <c r="AH51" s="327"/>
      <c r="AI51" s="327"/>
      <c r="AJ51" s="327"/>
      <c r="AK51" s="327"/>
    </row>
    <row r="52" spans="2:37" x14ac:dyDescent="0.35">
      <c r="B52" s="67"/>
      <c r="C52" s="91"/>
      <c r="D52" s="91"/>
      <c r="E52" s="91" t="s">
        <v>298</v>
      </c>
      <c r="I52" s="91"/>
      <c r="J52" s="99"/>
      <c r="K52" s="99"/>
      <c r="L52" s="129">
        <f>-L14</f>
        <v>-32431</v>
      </c>
      <c r="M52" s="129"/>
      <c r="N52" s="395">
        <f t="shared" si="9"/>
        <v>0</v>
      </c>
      <c r="O52" s="129"/>
      <c r="P52" s="379"/>
      <c r="Q52" s="129"/>
      <c r="R52" s="129">
        <f>-R14</f>
        <v>-32431</v>
      </c>
      <c r="S52" s="130"/>
      <c r="U52" s="92"/>
      <c r="V52" s="327"/>
      <c r="W52" s="328"/>
      <c r="X52" s="330">
        <v>-6600</v>
      </c>
      <c r="Y52" s="327" t="s">
        <v>388</v>
      </c>
      <c r="Z52" s="327"/>
      <c r="AA52" s="327"/>
      <c r="AB52" s="327"/>
      <c r="AC52" s="327"/>
      <c r="AD52" s="327"/>
      <c r="AE52" s="327"/>
      <c r="AF52" s="327"/>
      <c r="AG52" s="327"/>
      <c r="AH52" s="327"/>
      <c r="AI52" s="327"/>
      <c r="AJ52" s="327"/>
      <c r="AK52" s="327"/>
    </row>
    <row r="53" spans="2:37" ht="19" thickBot="1" x14ac:dyDescent="0.4">
      <c r="B53" s="67"/>
      <c r="C53" s="91"/>
      <c r="D53" s="91"/>
      <c r="E53" s="27" t="s">
        <v>92</v>
      </c>
      <c r="F53" s="87">
        <v>353443</v>
      </c>
      <c r="H53" s="72">
        <f>X53</f>
        <v>-353443</v>
      </c>
      <c r="I53" s="91"/>
      <c r="J53" s="99" t="s">
        <v>115</v>
      </c>
      <c r="K53" s="99"/>
      <c r="L53" s="163">
        <f>SUM(F53,H53:H53)</f>
        <v>0</v>
      </c>
      <c r="M53" s="348"/>
      <c r="N53" s="396">
        <f t="shared" si="9"/>
        <v>0</v>
      </c>
      <c r="O53" s="348"/>
      <c r="P53" s="378"/>
      <c r="Q53" s="348"/>
      <c r="R53" s="163">
        <f>SUM(J53,L53:L53)</f>
        <v>0</v>
      </c>
      <c r="S53" s="114"/>
      <c r="U53" s="92"/>
      <c r="V53" s="327"/>
      <c r="W53" s="328"/>
      <c r="X53" s="331">
        <f>SUM(X49:X52)</f>
        <v>-353443</v>
      </c>
      <c r="Y53" s="327"/>
      <c r="Z53" s="327"/>
      <c r="AA53" s="327"/>
      <c r="AB53" s="327"/>
      <c r="AC53" s="327"/>
      <c r="AD53" s="327"/>
      <c r="AE53" s="327"/>
      <c r="AF53" s="327"/>
      <c r="AG53" s="327"/>
      <c r="AH53" s="327"/>
      <c r="AI53" s="327"/>
      <c r="AJ53" s="327"/>
      <c r="AK53" s="327"/>
    </row>
    <row r="54" spans="2:37" ht="16" thickTop="1" x14ac:dyDescent="0.35">
      <c r="B54" s="67"/>
      <c r="C54" s="116" t="s">
        <v>69</v>
      </c>
      <c r="D54" s="91"/>
      <c r="E54" s="91"/>
      <c r="H54" s="91"/>
      <c r="I54" s="91"/>
      <c r="J54" s="99"/>
      <c r="K54" s="99"/>
      <c r="L54" s="131">
        <f>SUM(L49:L53)</f>
        <v>2648854.21</v>
      </c>
      <c r="M54" s="131"/>
      <c r="N54" s="131">
        <f>SUM(N49:N53)</f>
        <v>-151291.2108</v>
      </c>
      <c r="O54" s="131"/>
      <c r="P54" s="380"/>
      <c r="Q54" s="131"/>
      <c r="R54" s="131">
        <f>SUM(R49:R53)</f>
        <v>2497562.9992</v>
      </c>
      <c r="S54" s="132"/>
      <c r="U54" s="92"/>
      <c r="V54" s="328"/>
      <c r="W54" s="327"/>
      <c r="X54" s="327"/>
      <c r="Y54" s="327"/>
      <c r="Z54" s="327"/>
      <c r="AA54" s="327"/>
      <c r="AB54" s="327"/>
      <c r="AC54" s="327"/>
      <c r="AD54" s="327"/>
      <c r="AE54" s="327"/>
      <c r="AF54" s="327"/>
      <c r="AG54" s="327"/>
      <c r="AH54" s="327"/>
      <c r="AI54" s="327"/>
      <c r="AJ54" s="327"/>
      <c r="AK54" s="327"/>
    </row>
    <row r="55" spans="2:37" ht="18.5" x14ac:dyDescent="0.35">
      <c r="B55" s="67"/>
      <c r="C55" s="91"/>
      <c r="D55" s="91"/>
      <c r="E55" s="91" t="s">
        <v>23</v>
      </c>
      <c r="H55" s="91"/>
      <c r="I55" s="91"/>
      <c r="J55" s="99"/>
      <c r="K55" s="99"/>
      <c r="L55" s="163">
        <f>-L12</f>
        <v>-1881341.07</v>
      </c>
      <c r="M55" s="348"/>
      <c r="N55" s="163">
        <f>R55-L55</f>
        <v>0</v>
      </c>
      <c r="O55" s="348"/>
      <c r="P55" s="378"/>
      <c r="Q55" s="348"/>
      <c r="R55" s="163">
        <f>-R12</f>
        <v>-1881341.07</v>
      </c>
      <c r="S55" s="114"/>
      <c r="U55" s="92"/>
      <c r="X55" s="91"/>
      <c r="Y55" s="91"/>
      <c r="Z55" s="91"/>
    </row>
    <row r="56" spans="2:37" ht="16" thickBot="1" x14ac:dyDescent="0.4">
      <c r="B56" s="67"/>
      <c r="C56" s="116" t="s">
        <v>430</v>
      </c>
      <c r="D56" s="91"/>
      <c r="E56" s="91"/>
      <c r="H56" s="91"/>
      <c r="I56" s="91"/>
      <c r="J56" s="99"/>
      <c r="K56" s="99"/>
      <c r="L56" s="133">
        <f>SUM(L54:L55)</f>
        <v>767513.1399999999</v>
      </c>
      <c r="M56" s="126"/>
      <c r="N56" s="133">
        <f>SUM(N54:N55)</f>
        <v>-151291.2108</v>
      </c>
      <c r="O56" s="126"/>
      <c r="P56" s="375"/>
      <c r="Q56" s="126"/>
      <c r="R56" s="133">
        <f>SUM(R54:R55)</f>
        <v>616221.9291999999</v>
      </c>
      <c r="S56" s="103"/>
      <c r="U56" s="92"/>
      <c r="Y56" s="91"/>
      <c r="Z56" s="91"/>
    </row>
    <row r="57" spans="2:37" ht="15" customHeight="1" thickTop="1" thickBot="1" x14ac:dyDescent="0.4">
      <c r="B57" s="67"/>
      <c r="L57" s="65">
        <f>ROUND(L56/(-L55),4)</f>
        <v>0.40799999999999997</v>
      </c>
      <c r="M57" s="334"/>
      <c r="N57" s="334"/>
      <c r="O57" s="334"/>
      <c r="P57" s="381"/>
      <c r="Q57" s="334"/>
      <c r="R57" s="65">
        <f>ROUND(R56/(-R55),4)</f>
        <v>0.32750000000000001</v>
      </c>
      <c r="S57" s="141"/>
      <c r="U57" s="92"/>
      <c r="Z57" s="83"/>
    </row>
    <row r="58" spans="2:37" ht="16" thickTop="1" x14ac:dyDescent="0.35">
      <c r="B58" s="68"/>
      <c r="C58" s="134"/>
      <c r="D58" s="134"/>
      <c r="E58" s="134"/>
      <c r="F58" s="134"/>
      <c r="G58" s="134"/>
      <c r="H58" s="134"/>
      <c r="I58" s="134"/>
      <c r="J58" s="135"/>
      <c r="K58" s="135"/>
      <c r="L58" s="134"/>
      <c r="M58" s="134"/>
      <c r="N58" s="134"/>
      <c r="O58" s="134"/>
      <c r="P58" s="135"/>
      <c r="Q58" s="134"/>
      <c r="R58" s="134"/>
      <c r="S58" s="136"/>
      <c r="U58" s="92"/>
    </row>
    <row r="59" spans="2:37" ht="16" thickBot="1" x14ac:dyDescent="0.4">
      <c r="B59" s="66"/>
      <c r="C59" s="411" t="s">
        <v>401</v>
      </c>
      <c r="D59" s="411"/>
      <c r="E59" s="411"/>
      <c r="F59" s="411"/>
      <c r="G59" s="411"/>
      <c r="H59" s="411"/>
      <c r="I59" s="411"/>
      <c r="J59" s="411"/>
      <c r="K59" s="411"/>
      <c r="L59" s="411"/>
      <c r="M59" s="369"/>
      <c r="N59" s="369"/>
      <c r="O59" s="369"/>
      <c r="P59" s="369"/>
      <c r="Q59" s="369"/>
      <c r="R59" s="369"/>
      <c r="S59" s="86"/>
      <c r="U59" s="348"/>
      <c r="V59" s="87"/>
      <c r="W59" s="349"/>
      <c r="X59" s="126"/>
    </row>
    <row r="60" spans="2:37" x14ac:dyDescent="0.35">
      <c r="B60" s="67"/>
      <c r="C60" s="353" t="s">
        <v>22</v>
      </c>
      <c r="D60" s="354"/>
      <c r="E60" s="354"/>
      <c r="F60" s="354"/>
      <c r="G60" s="354"/>
      <c r="H60" s="354"/>
      <c r="I60" s="354"/>
      <c r="J60" s="355"/>
      <c r="K60" s="355"/>
      <c r="L60" s="356">
        <f>L49</f>
        <v>2712184.21</v>
      </c>
      <c r="M60" s="356"/>
      <c r="N60" s="356"/>
      <c r="O60" s="356"/>
      <c r="P60" s="382"/>
      <c r="Q60" s="356"/>
      <c r="R60" s="356"/>
      <c r="S60" s="357"/>
      <c r="U60" s="348"/>
      <c r="V60" s="87"/>
      <c r="W60" s="349"/>
      <c r="X60" s="348"/>
    </row>
    <row r="61" spans="2:37" x14ac:dyDescent="0.35">
      <c r="B61" s="67"/>
      <c r="C61" s="354" t="s">
        <v>397</v>
      </c>
      <c r="D61" s="354" t="s">
        <v>6</v>
      </c>
      <c r="E61" s="354"/>
      <c r="F61" s="354"/>
      <c r="G61" s="354"/>
      <c r="H61" s="354"/>
      <c r="I61" s="354"/>
      <c r="J61" s="355"/>
      <c r="K61" s="355"/>
      <c r="L61" s="352">
        <f>-L46</f>
        <v>-2412954.21</v>
      </c>
      <c r="M61" s="352"/>
      <c r="N61" s="352"/>
      <c r="O61" s="352"/>
      <c r="P61" s="383"/>
      <c r="Q61" s="352"/>
      <c r="R61" s="352"/>
      <c r="S61" s="357"/>
      <c r="U61" s="348"/>
      <c r="V61" s="87"/>
      <c r="W61" s="349"/>
      <c r="X61" s="348"/>
    </row>
    <row r="62" spans="2:37" x14ac:dyDescent="0.35">
      <c r="B62" s="67"/>
      <c r="C62" s="354"/>
      <c r="D62" s="354" t="s">
        <v>398</v>
      </c>
      <c r="E62" s="354"/>
      <c r="F62" s="354"/>
      <c r="G62" s="354"/>
      <c r="H62" s="354"/>
      <c r="I62" s="354"/>
      <c r="J62" s="355"/>
      <c r="K62" s="355"/>
      <c r="L62" s="352">
        <f>-L47</f>
        <v>-249358</v>
      </c>
      <c r="M62" s="352"/>
      <c r="N62" s="352"/>
      <c r="O62" s="352"/>
      <c r="P62" s="383"/>
      <c r="Q62" s="352"/>
      <c r="R62" s="352"/>
      <c r="S62" s="357"/>
      <c r="U62" s="348"/>
      <c r="V62" s="87"/>
      <c r="W62" s="349"/>
      <c r="X62" s="348"/>
    </row>
    <row r="63" spans="2:37" x14ac:dyDescent="0.35">
      <c r="B63" s="67"/>
      <c r="C63" s="354"/>
      <c r="D63" s="354" t="s">
        <v>402</v>
      </c>
      <c r="E63" s="354"/>
      <c r="F63" s="354"/>
      <c r="G63" s="354"/>
      <c r="H63" s="354"/>
      <c r="I63" s="354"/>
      <c r="J63" s="355"/>
      <c r="K63" s="355"/>
      <c r="L63" s="350">
        <f>H27+H28</f>
        <v>-137829</v>
      </c>
      <c r="M63" s="352"/>
      <c r="N63" s="352"/>
      <c r="O63" s="352"/>
      <c r="P63" s="383"/>
      <c r="Q63" s="352"/>
      <c r="R63" s="352"/>
      <c r="S63" s="357"/>
      <c r="U63" s="348"/>
      <c r="V63" s="87"/>
      <c r="W63" s="349"/>
      <c r="X63" s="348"/>
    </row>
    <row r="64" spans="2:37" x14ac:dyDescent="0.35">
      <c r="B64" s="67"/>
      <c r="C64" s="354" t="s">
        <v>155</v>
      </c>
      <c r="D64" s="354"/>
      <c r="E64" s="354"/>
      <c r="F64" s="354"/>
      <c r="G64" s="354"/>
      <c r="H64" s="354"/>
      <c r="I64" s="354"/>
      <c r="J64" s="355"/>
      <c r="K64" s="355"/>
      <c r="L64" s="352">
        <f>SUM(L60:L63)</f>
        <v>-87957</v>
      </c>
      <c r="M64" s="352"/>
      <c r="N64" s="352"/>
      <c r="O64" s="352"/>
      <c r="P64" s="383"/>
      <c r="Q64" s="352"/>
      <c r="R64" s="352"/>
      <c r="S64" s="357"/>
      <c r="U64" s="348"/>
      <c r="V64" s="87"/>
      <c r="W64" s="349"/>
      <c r="X64" s="126"/>
    </row>
    <row r="65" spans="2:25" x14ac:dyDescent="0.35">
      <c r="B65" s="67"/>
      <c r="C65" s="354" t="s">
        <v>399</v>
      </c>
      <c r="D65" s="354" t="s">
        <v>400</v>
      </c>
      <c r="E65" s="354"/>
      <c r="F65" s="354"/>
      <c r="G65" s="354"/>
      <c r="H65" s="354"/>
      <c r="I65" s="354"/>
      <c r="J65" s="355"/>
      <c r="K65" s="355"/>
      <c r="L65" s="350">
        <f>L40</f>
        <v>431398.20999999996</v>
      </c>
      <c r="M65" s="352"/>
      <c r="N65" s="352"/>
      <c r="O65" s="352"/>
      <c r="P65" s="383"/>
      <c r="Q65" s="352"/>
      <c r="R65" s="352"/>
      <c r="S65" s="357"/>
    </row>
    <row r="66" spans="2:25" ht="16" thickBot="1" x14ac:dyDescent="0.4">
      <c r="B66" s="67"/>
      <c r="C66" s="354" t="s">
        <v>401</v>
      </c>
      <c r="D66" s="354"/>
      <c r="E66" s="354"/>
      <c r="F66" s="354"/>
      <c r="G66" s="354"/>
      <c r="H66" s="354"/>
      <c r="I66" s="354"/>
      <c r="J66" s="355"/>
      <c r="K66" s="355"/>
      <c r="L66" s="351">
        <f>SUM(L64:L65)</f>
        <v>343441.20999999996</v>
      </c>
      <c r="M66" s="370"/>
      <c r="N66" s="370"/>
      <c r="O66" s="370"/>
      <c r="P66" s="384"/>
      <c r="Q66" s="370"/>
      <c r="R66" s="370"/>
      <c r="S66" s="357"/>
      <c r="Y66" s="87" t="s">
        <v>389</v>
      </c>
    </row>
    <row r="67" spans="2:25" ht="16" thickTop="1" x14ac:dyDescent="0.35">
      <c r="B67" s="68"/>
      <c r="C67" s="134"/>
      <c r="D67" s="134"/>
      <c r="E67" s="134"/>
      <c r="F67" s="134"/>
      <c r="G67" s="134"/>
      <c r="H67" s="134"/>
      <c r="I67" s="134"/>
      <c r="J67" s="135"/>
      <c r="K67" s="135"/>
      <c r="L67" s="134"/>
      <c r="M67" s="134"/>
      <c r="N67" s="134"/>
      <c r="O67" s="134"/>
      <c r="P67" s="135"/>
      <c r="Q67" s="134"/>
      <c r="R67" s="134"/>
      <c r="S67" s="136"/>
    </row>
    <row r="68" spans="2:25" x14ac:dyDescent="0.35">
      <c r="Y68" s="87" t="s">
        <v>390</v>
      </c>
    </row>
  </sheetData>
  <mergeCells count="6">
    <mergeCell ref="C59:L59"/>
    <mergeCell ref="C45:R45"/>
    <mergeCell ref="F7:L7"/>
    <mergeCell ref="N7:R7"/>
    <mergeCell ref="C3:R3"/>
    <mergeCell ref="C4:R4"/>
  </mergeCells>
  <pageMargins left="0.7" right="0.7" top="0.75" bottom="0.75" header="0.3" footer="0.3"/>
  <ignoredErrors>
    <ignoredError sqref="L39 R3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C3772-2CDE-42EA-AAFB-0C94D41B545B}">
  <dimension ref="C13:G22"/>
  <sheetViews>
    <sheetView workbookViewId="0">
      <selection sqref="A1:XFD1048576"/>
    </sheetView>
  </sheetViews>
  <sheetFormatPr defaultColWidth="12.765625" defaultRowHeight="15.5" x14ac:dyDescent="0.35"/>
  <cols>
    <col min="1" max="16384" width="12.765625" style="72"/>
  </cols>
  <sheetData>
    <row r="13" spans="3:7" x14ac:dyDescent="0.35">
      <c r="C13" s="62" t="s">
        <v>520</v>
      </c>
    </row>
    <row r="14" spans="3:7" x14ac:dyDescent="0.35">
      <c r="C14" s="62" t="s">
        <v>521</v>
      </c>
      <c r="G14" s="72">
        <v>2700</v>
      </c>
    </row>
    <row r="15" spans="3:7" x14ac:dyDescent="0.35">
      <c r="C15" s="62" t="s">
        <v>522</v>
      </c>
      <c r="G15" s="72">
        <v>1500</v>
      </c>
    </row>
    <row r="16" spans="3:7" x14ac:dyDescent="0.35">
      <c r="C16" s="62" t="s">
        <v>523</v>
      </c>
      <c r="G16" s="72">
        <v>750</v>
      </c>
    </row>
    <row r="17" spans="3:7" ht="16" thickBot="1" x14ac:dyDescent="0.4">
      <c r="C17" s="62" t="s">
        <v>524</v>
      </c>
      <c r="G17" s="410">
        <f>SUM(G14:G16)</f>
        <v>4950</v>
      </c>
    </row>
    <row r="18" spans="3:7" ht="16" thickTop="1" x14ac:dyDescent="0.35">
      <c r="C18" s="62"/>
    </row>
    <row r="19" spans="3:7" x14ac:dyDescent="0.35">
      <c r="C19" s="62" t="s">
        <v>525</v>
      </c>
      <c r="G19" s="72">
        <v>32000</v>
      </c>
    </row>
    <row r="20" spans="3:7" x14ac:dyDescent="0.35">
      <c r="C20" s="62" t="s">
        <v>526</v>
      </c>
      <c r="G20" s="72">
        <v>7</v>
      </c>
    </row>
    <row r="21" spans="3:7" ht="16" thickBot="1" x14ac:dyDescent="0.4">
      <c r="C21" s="62" t="s">
        <v>527</v>
      </c>
      <c r="G21" s="410">
        <f>ROUND(G19/G20,0)</f>
        <v>4571</v>
      </c>
    </row>
    <row r="22" spans="3:7" ht="16" thickTop="1" x14ac:dyDescent="0.3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FB1CC-EBBE-485C-8E55-43DFCBC27605}">
  <dimension ref="A1:S42"/>
  <sheetViews>
    <sheetView workbookViewId="0">
      <selection activeCell="D4" sqref="D4:J19"/>
    </sheetView>
  </sheetViews>
  <sheetFormatPr defaultColWidth="12.765625" defaultRowHeight="15.5" x14ac:dyDescent="0.35"/>
  <cols>
    <col min="1" max="1" width="12.765625" style="60"/>
    <col min="2" max="2" width="18.53515625" style="60" customWidth="1"/>
    <col min="3" max="3" width="1.765625" style="60" customWidth="1"/>
    <col min="4" max="4" width="12.765625" style="60"/>
    <col min="5" max="5" width="1.765625" style="60" customWidth="1"/>
    <col min="6" max="6" width="12.765625" style="60"/>
    <col min="7" max="7" width="1.765625" style="60" customWidth="1"/>
    <col min="8" max="8" width="12.765625" style="60"/>
    <col min="9" max="9" width="1.765625" style="60" customWidth="1"/>
    <col min="10" max="10" width="12.765625" style="60"/>
    <col min="11" max="11" width="1.765625" style="60" customWidth="1"/>
    <col min="12" max="12" width="12.765625" style="60"/>
    <col min="13" max="13" width="1.765625" style="60" customWidth="1"/>
    <col min="14" max="16384" width="12.765625" style="60"/>
  </cols>
  <sheetData>
    <row r="1" spans="1:15" x14ac:dyDescent="0.35">
      <c r="L1" s="82" t="s">
        <v>121</v>
      </c>
    </row>
    <row r="2" spans="1:15" x14ac:dyDescent="0.35">
      <c r="F2" s="82" t="s">
        <v>70</v>
      </c>
      <c r="H2" s="82" t="s">
        <v>119</v>
      </c>
      <c r="L2" s="82" t="s">
        <v>294</v>
      </c>
      <c r="O2" s="82" t="s">
        <v>54</v>
      </c>
    </row>
    <row r="3" spans="1:15" x14ac:dyDescent="0.35">
      <c r="D3" s="25" t="s">
        <v>1</v>
      </c>
      <c r="E3"/>
      <c r="F3" s="25" t="s">
        <v>280</v>
      </c>
      <c r="G3"/>
      <c r="H3" s="25" t="s">
        <v>281</v>
      </c>
      <c r="I3"/>
      <c r="J3" s="25" t="s">
        <v>118</v>
      </c>
      <c r="K3"/>
      <c r="L3" s="25" t="s">
        <v>78</v>
      </c>
      <c r="O3" s="82" t="s">
        <v>315</v>
      </c>
    </row>
    <row r="4" spans="1:15" x14ac:dyDescent="0.35">
      <c r="A4" s="175">
        <v>1</v>
      </c>
      <c r="B4" s="172" t="s">
        <v>276</v>
      </c>
      <c r="D4" s="60">
        <v>19.5</v>
      </c>
      <c r="F4" s="60">
        <v>0</v>
      </c>
      <c r="H4" s="60">
        <v>0</v>
      </c>
      <c r="J4" s="60">
        <v>0</v>
      </c>
      <c r="L4" s="60">
        <f>SUM(D4,F4,H4,J4)</f>
        <v>19.5</v>
      </c>
      <c r="O4" s="60">
        <v>73000</v>
      </c>
    </row>
    <row r="5" spans="1:15" x14ac:dyDescent="0.35">
      <c r="A5" s="175">
        <v>2</v>
      </c>
      <c r="B5" s="172" t="s">
        <v>277</v>
      </c>
      <c r="D5" s="60">
        <v>18.25</v>
      </c>
      <c r="F5" s="60">
        <v>22.07</v>
      </c>
      <c r="H5" s="60">
        <v>8.16</v>
      </c>
      <c r="J5" s="60">
        <v>0</v>
      </c>
      <c r="L5" s="60">
        <f t="shared" ref="L5:L19" si="0">SUM(D5,F5,H5,J5)</f>
        <v>48.480000000000004</v>
      </c>
      <c r="O5" s="60">
        <v>45000</v>
      </c>
    </row>
    <row r="6" spans="1:15" x14ac:dyDescent="0.35">
      <c r="A6" s="175">
        <v>3</v>
      </c>
      <c r="B6" s="172" t="s">
        <v>278</v>
      </c>
      <c r="D6" s="60">
        <v>18.25</v>
      </c>
      <c r="F6" s="60">
        <v>22.07</v>
      </c>
      <c r="H6" s="60">
        <v>8.16</v>
      </c>
      <c r="J6" s="60">
        <v>873.37</v>
      </c>
      <c r="L6" s="60">
        <f t="shared" si="0"/>
        <v>921.85</v>
      </c>
      <c r="O6" s="60">
        <v>45000</v>
      </c>
    </row>
    <row r="7" spans="1:15" x14ac:dyDescent="0.35">
      <c r="A7" s="175">
        <v>4</v>
      </c>
      <c r="B7" s="172" t="s">
        <v>279</v>
      </c>
      <c r="D7" s="60">
        <v>8.75</v>
      </c>
      <c r="F7" s="60">
        <v>22.07</v>
      </c>
      <c r="H7" s="60">
        <v>8.16</v>
      </c>
      <c r="J7" s="60">
        <v>873.37</v>
      </c>
      <c r="L7" s="60">
        <f t="shared" si="0"/>
        <v>912.35</v>
      </c>
      <c r="O7" s="60">
        <v>43680</v>
      </c>
    </row>
    <row r="8" spans="1:15" x14ac:dyDescent="0.35">
      <c r="A8" s="175">
        <v>5</v>
      </c>
      <c r="B8" s="172" t="s">
        <v>508</v>
      </c>
      <c r="C8" s="273"/>
      <c r="D8" s="273">
        <v>8.7530000000000001</v>
      </c>
      <c r="E8" s="273"/>
      <c r="F8" s="273">
        <v>22.07</v>
      </c>
      <c r="G8" s="273"/>
      <c r="H8" s="273">
        <v>8.16</v>
      </c>
      <c r="I8" s="273"/>
      <c r="J8" s="273">
        <v>873.37</v>
      </c>
      <c r="K8" s="273"/>
      <c r="L8" s="273">
        <f t="shared" si="0"/>
        <v>912.35300000000007</v>
      </c>
      <c r="O8" s="60">
        <v>43680</v>
      </c>
    </row>
    <row r="9" spans="1:15" x14ac:dyDescent="0.35">
      <c r="A9" s="175">
        <v>6</v>
      </c>
      <c r="B9" s="172" t="s">
        <v>509</v>
      </c>
      <c r="D9" s="60">
        <v>19.5</v>
      </c>
      <c r="F9" s="60">
        <v>22.07</v>
      </c>
      <c r="H9" s="60">
        <v>8.16</v>
      </c>
      <c r="J9" s="60">
        <v>873.37</v>
      </c>
      <c r="L9" s="60">
        <f t="shared" si="0"/>
        <v>923.1</v>
      </c>
      <c r="O9" s="60">
        <v>43680</v>
      </c>
    </row>
    <row r="10" spans="1:15" x14ac:dyDescent="0.35">
      <c r="A10" s="175">
        <v>7</v>
      </c>
      <c r="B10" s="172" t="s">
        <v>510</v>
      </c>
      <c r="D10" s="60">
        <v>12.75</v>
      </c>
      <c r="F10" s="60">
        <v>22.07</v>
      </c>
      <c r="H10" s="60">
        <v>8.16</v>
      </c>
      <c r="J10" s="60">
        <v>873.37</v>
      </c>
      <c r="L10" s="60">
        <f t="shared" si="0"/>
        <v>916.35</v>
      </c>
      <c r="O10" s="60">
        <v>41600</v>
      </c>
    </row>
    <row r="11" spans="1:15" x14ac:dyDescent="0.35">
      <c r="A11" s="175">
        <v>8</v>
      </c>
      <c r="B11" s="172" t="s">
        <v>511</v>
      </c>
      <c r="D11" s="60">
        <v>2.75</v>
      </c>
      <c r="F11" s="60">
        <v>22.07</v>
      </c>
      <c r="H11" s="60">
        <v>8.16</v>
      </c>
      <c r="J11" s="60">
        <v>873.37</v>
      </c>
      <c r="L11" s="60">
        <f t="shared" si="0"/>
        <v>906.35</v>
      </c>
      <c r="O11" s="60">
        <v>40000</v>
      </c>
    </row>
    <row r="12" spans="1:15" x14ac:dyDescent="0.35">
      <c r="A12" s="175">
        <v>9</v>
      </c>
      <c r="B12" s="172" t="s">
        <v>512</v>
      </c>
      <c r="C12" s="273"/>
      <c r="D12" s="273">
        <v>2.75</v>
      </c>
      <c r="E12" s="273"/>
      <c r="F12" s="273">
        <v>22.07</v>
      </c>
      <c r="G12" s="273"/>
      <c r="H12" s="273">
        <v>8.16</v>
      </c>
      <c r="I12" s="273"/>
      <c r="J12" s="273">
        <v>873.37</v>
      </c>
      <c r="K12" s="273"/>
      <c r="L12" s="273">
        <f>SUM(D12,F12,H12,J12)</f>
        <v>906.35</v>
      </c>
      <c r="O12" s="60">
        <v>38000</v>
      </c>
    </row>
    <row r="13" spans="1:15" x14ac:dyDescent="0.35">
      <c r="A13" s="175">
        <v>10</v>
      </c>
      <c r="B13" s="172" t="s">
        <v>513</v>
      </c>
      <c r="D13" s="60">
        <v>4.75</v>
      </c>
      <c r="F13" s="60">
        <v>22.07</v>
      </c>
      <c r="H13" s="60">
        <v>8.16</v>
      </c>
      <c r="J13" s="60">
        <v>873.37</v>
      </c>
      <c r="L13" s="60">
        <f t="shared" si="0"/>
        <v>908.35</v>
      </c>
      <c r="O13" s="60">
        <v>35360</v>
      </c>
    </row>
    <row r="14" spans="1:15" x14ac:dyDescent="0.35">
      <c r="A14" s="175">
        <v>11</v>
      </c>
      <c r="B14" s="172" t="s">
        <v>514</v>
      </c>
      <c r="D14" s="60">
        <v>5.5</v>
      </c>
      <c r="F14" s="60">
        <v>22.07</v>
      </c>
      <c r="H14" s="60">
        <v>8.16</v>
      </c>
      <c r="J14" s="60">
        <v>873.37</v>
      </c>
      <c r="L14" s="60">
        <f t="shared" si="0"/>
        <v>909.1</v>
      </c>
      <c r="O14" s="60">
        <v>35360</v>
      </c>
    </row>
    <row r="15" spans="1:15" x14ac:dyDescent="0.35">
      <c r="A15" s="175">
        <v>12</v>
      </c>
      <c r="B15" s="172" t="s">
        <v>515</v>
      </c>
      <c r="C15" s="273"/>
      <c r="D15" s="273">
        <v>2.75</v>
      </c>
      <c r="E15" s="273"/>
      <c r="F15" s="273">
        <v>22.07</v>
      </c>
      <c r="G15" s="273"/>
      <c r="H15" s="273">
        <v>8.16</v>
      </c>
      <c r="I15" s="273"/>
      <c r="J15" s="273">
        <v>873.37</v>
      </c>
      <c r="K15" s="273"/>
      <c r="L15" s="273">
        <f t="shared" si="0"/>
        <v>906.35</v>
      </c>
      <c r="O15" s="60">
        <v>33280</v>
      </c>
    </row>
    <row r="16" spans="1:15" x14ac:dyDescent="0.35">
      <c r="A16" s="175">
        <v>13</v>
      </c>
      <c r="B16" s="172" t="s">
        <v>516</v>
      </c>
      <c r="C16" s="273"/>
      <c r="D16" s="273">
        <v>2.75</v>
      </c>
      <c r="E16" s="273"/>
      <c r="F16" s="273">
        <v>22.07</v>
      </c>
      <c r="G16" s="273"/>
      <c r="H16" s="273">
        <v>8.16</v>
      </c>
      <c r="I16" s="273"/>
      <c r="J16" s="273">
        <v>873.37</v>
      </c>
      <c r="K16" s="273"/>
      <c r="L16" s="273">
        <f t="shared" si="0"/>
        <v>906.35</v>
      </c>
      <c r="O16" s="60">
        <v>31200</v>
      </c>
    </row>
    <row r="17" spans="1:19" x14ac:dyDescent="0.35">
      <c r="A17" s="175">
        <v>14</v>
      </c>
      <c r="B17" s="172" t="s">
        <v>517</v>
      </c>
      <c r="C17" s="273"/>
      <c r="D17" s="273">
        <v>2.75</v>
      </c>
      <c r="E17" s="273"/>
      <c r="F17" s="273">
        <v>22.07</v>
      </c>
      <c r="G17" s="273"/>
      <c r="H17" s="273">
        <v>8.16</v>
      </c>
      <c r="I17" s="273"/>
      <c r="J17" s="273">
        <v>873.37</v>
      </c>
      <c r="K17" s="273"/>
      <c r="L17" s="273">
        <f t="shared" si="0"/>
        <v>906.35</v>
      </c>
      <c r="O17" s="60">
        <v>31200</v>
      </c>
    </row>
    <row r="18" spans="1:19" x14ac:dyDescent="0.35">
      <c r="A18" s="175">
        <v>15</v>
      </c>
      <c r="B18" s="172" t="s">
        <v>518</v>
      </c>
      <c r="C18" s="273"/>
      <c r="D18" s="273">
        <v>2.75</v>
      </c>
      <c r="E18" s="273"/>
      <c r="F18" s="273">
        <v>22.07</v>
      </c>
      <c r="G18" s="273"/>
      <c r="H18" s="273">
        <v>8.16</v>
      </c>
      <c r="I18" s="273"/>
      <c r="J18" s="273">
        <v>873.37</v>
      </c>
      <c r="K18" s="273"/>
      <c r="L18" s="273">
        <f t="shared" si="0"/>
        <v>906.35</v>
      </c>
      <c r="O18" s="60">
        <v>31200</v>
      </c>
    </row>
    <row r="19" spans="1:19" x14ac:dyDescent="0.35">
      <c r="A19" s="175">
        <v>16</v>
      </c>
      <c r="B19" s="172" t="s">
        <v>519</v>
      </c>
      <c r="C19" s="273"/>
      <c r="D19" s="275">
        <v>2.75</v>
      </c>
      <c r="E19" s="273"/>
      <c r="F19" s="275">
        <v>22.07</v>
      </c>
      <c r="G19" s="273"/>
      <c r="H19" s="275">
        <v>8.16</v>
      </c>
      <c r="I19" s="273"/>
      <c r="J19" s="275">
        <v>873.37</v>
      </c>
      <c r="K19" s="273"/>
      <c r="L19" s="275">
        <f t="shared" si="0"/>
        <v>906.35</v>
      </c>
      <c r="O19" s="270">
        <v>31200</v>
      </c>
    </row>
    <row r="20" spans="1:19" ht="16" thickBot="1" x14ac:dyDescent="0.4">
      <c r="B20" s="269" t="s">
        <v>312</v>
      </c>
      <c r="D20" s="60">
        <f>SUM(D4:D19)</f>
        <v>135.25299999999999</v>
      </c>
      <c r="F20" s="60">
        <f>SUM(F4:F19)</f>
        <v>331.04999999999995</v>
      </c>
      <c r="H20" s="60">
        <f>SUM(H4:H19)</f>
        <v>122.39999999999996</v>
      </c>
      <c r="J20" s="60">
        <f>SUM(J4:J19)</f>
        <v>12227.180000000004</v>
      </c>
      <c r="L20" s="60">
        <f>SUM(L4:L19)</f>
        <v>12815.883000000003</v>
      </c>
      <c r="O20" s="272">
        <v>642440</v>
      </c>
    </row>
    <row r="21" spans="1:19" ht="16" thickTop="1" x14ac:dyDescent="0.35">
      <c r="B21" s="269" t="s">
        <v>313</v>
      </c>
      <c r="D21" s="270">
        <v>12</v>
      </c>
      <c r="F21" s="270">
        <v>12</v>
      </c>
      <c r="H21" s="270">
        <v>12</v>
      </c>
      <c r="J21" s="270">
        <v>12</v>
      </c>
      <c r="L21" s="270">
        <v>12</v>
      </c>
    </row>
    <row r="22" spans="1:19" ht="16" thickBot="1" x14ac:dyDescent="0.4">
      <c r="B22" s="269" t="s">
        <v>314</v>
      </c>
      <c r="D22" s="271">
        <f>D20*D21</f>
        <v>1623.0359999999998</v>
      </c>
      <c r="F22" s="271">
        <f>F20*F21</f>
        <v>3972.5999999999995</v>
      </c>
      <c r="H22" s="271">
        <f>H20*H21</f>
        <v>1468.7999999999995</v>
      </c>
      <c r="J22" s="271">
        <f>J20*J21</f>
        <v>146726.16000000003</v>
      </c>
      <c r="L22" s="271">
        <f>L20*L21</f>
        <v>153790.59600000005</v>
      </c>
    </row>
    <row r="23" spans="1:19" ht="16" thickTop="1" x14ac:dyDescent="0.35"/>
    <row r="25" spans="1:19" x14ac:dyDescent="0.35">
      <c r="B25" s="274" t="s">
        <v>362</v>
      </c>
      <c r="C25" s="273"/>
    </row>
    <row r="26" spans="1:19" x14ac:dyDescent="0.35">
      <c r="B26" s="178" t="s">
        <v>116</v>
      </c>
      <c r="D26" s="182"/>
      <c r="F26" s="182"/>
      <c r="G26" s="28"/>
      <c r="H26" s="23"/>
    </row>
    <row r="27" spans="1:19" ht="18" x14ac:dyDescent="0.6">
      <c r="B27" s="23"/>
      <c r="D27" s="209" t="s">
        <v>121</v>
      </c>
      <c r="F27" s="209" t="s">
        <v>72</v>
      </c>
      <c r="H27" s="209" t="s">
        <v>73</v>
      </c>
      <c r="J27" s="209" t="s">
        <v>54</v>
      </c>
      <c r="P27" s="60" t="s">
        <v>121</v>
      </c>
      <c r="Q27" s="60" t="s">
        <v>72</v>
      </c>
      <c r="R27" s="60" t="s">
        <v>73</v>
      </c>
      <c r="S27" s="60" t="s">
        <v>54</v>
      </c>
    </row>
    <row r="28" spans="1:19" ht="18" x14ac:dyDescent="0.6">
      <c r="B28" s="23"/>
      <c r="D28" s="209" t="s">
        <v>73</v>
      </c>
      <c r="F28" s="209" t="s">
        <v>117</v>
      </c>
      <c r="H28" s="209" t="s">
        <v>74</v>
      </c>
      <c r="J28" s="209" t="s">
        <v>71</v>
      </c>
      <c r="P28" s="60" t="s">
        <v>73</v>
      </c>
      <c r="Q28" s="60" t="s">
        <v>117</v>
      </c>
      <c r="R28" s="60" t="s">
        <v>74</v>
      </c>
      <c r="S28" s="60" t="s">
        <v>71</v>
      </c>
    </row>
    <row r="29" spans="1:19" ht="18" x14ac:dyDescent="0.6">
      <c r="B29" s="212" t="s">
        <v>120</v>
      </c>
      <c r="D29" s="213"/>
      <c r="F29" s="213"/>
      <c r="H29" s="213"/>
      <c r="J29" s="213"/>
      <c r="O29" s="60" t="s">
        <v>120</v>
      </c>
    </row>
    <row r="30" spans="1:19" x14ac:dyDescent="0.35">
      <c r="B30" s="179" t="s">
        <v>118</v>
      </c>
      <c r="D30" s="182">
        <f>J20</f>
        <v>12227.180000000004</v>
      </c>
      <c r="F30" s="216">
        <v>0.21</v>
      </c>
      <c r="H30" s="182">
        <f>D30*F30</f>
        <v>2567.7078000000006</v>
      </c>
      <c r="J30" s="182">
        <f>D30-H30</f>
        <v>9659.4722000000038</v>
      </c>
      <c r="N30" s="60">
        <v>12227.180000000004</v>
      </c>
      <c r="O30" s="60" t="s">
        <v>118</v>
      </c>
      <c r="P30" s="60">
        <v>12227.180000000004</v>
      </c>
      <c r="Q30" s="60">
        <v>0.21</v>
      </c>
      <c r="R30" s="60">
        <v>2567.7078000000006</v>
      </c>
      <c r="S30" s="60">
        <v>9659.4722000000038</v>
      </c>
    </row>
    <row r="31" spans="1:19" x14ac:dyDescent="0.35">
      <c r="B31" s="179" t="s">
        <v>1</v>
      </c>
      <c r="D31" s="182">
        <f>D20</f>
        <v>135.25299999999999</v>
      </c>
      <c r="F31" s="216">
        <v>0</v>
      </c>
      <c r="H31" s="182">
        <f>D31*F31</f>
        <v>0</v>
      </c>
      <c r="J31" s="182">
        <f>D31-H31</f>
        <v>135.25299999999999</v>
      </c>
      <c r="N31" s="60">
        <v>135.25299999999999</v>
      </c>
      <c r="O31" s="60" t="s">
        <v>1</v>
      </c>
      <c r="P31" s="60">
        <v>135.25299999999999</v>
      </c>
      <c r="Q31" s="60">
        <v>0</v>
      </c>
      <c r="R31" s="60">
        <v>0</v>
      </c>
      <c r="S31" s="60">
        <v>135.25299999999999</v>
      </c>
    </row>
    <row r="32" spans="1:19" x14ac:dyDescent="0.35">
      <c r="B32" s="179" t="s">
        <v>70</v>
      </c>
      <c r="D32" s="182">
        <f>F20</f>
        <v>331.04999999999995</v>
      </c>
      <c r="F32" s="216">
        <v>0.6</v>
      </c>
      <c r="H32" s="182">
        <f>D32*F32</f>
        <v>198.62999999999997</v>
      </c>
      <c r="J32" s="182">
        <f>D32-H32</f>
        <v>132.41999999999999</v>
      </c>
      <c r="N32" s="60">
        <v>331.04999999999995</v>
      </c>
      <c r="O32" s="60" t="s">
        <v>70</v>
      </c>
      <c r="P32" s="60">
        <v>331.04999999999995</v>
      </c>
      <c r="Q32" s="60">
        <v>0.6</v>
      </c>
      <c r="R32" s="60">
        <v>198.62999999999997</v>
      </c>
      <c r="S32" s="60">
        <v>132.41999999999999</v>
      </c>
    </row>
    <row r="33" spans="2:19" ht="18" x14ac:dyDescent="0.6">
      <c r="B33" s="179" t="s">
        <v>119</v>
      </c>
      <c r="D33" s="182">
        <f>H20</f>
        <v>122.39999999999996</v>
      </c>
      <c r="F33" s="216">
        <v>0</v>
      </c>
      <c r="H33" s="182">
        <f>D33*F33</f>
        <v>0</v>
      </c>
      <c r="J33" s="220">
        <f>D33-H33</f>
        <v>122.39999999999996</v>
      </c>
      <c r="N33" s="60">
        <v>122.39999999999996</v>
      </c>
      <c r="O33" s="60" t="s">
        <v>119</v>
      </c>
      <c r="P33" s="60">
        <v>122.39999999999996</v>
      </c>
      <c r="Q33" s="60">
        <v>0</v>
      </c>
      <c r="R33" s="60">
        <v>0</v>
      </c>
      <c r="S33" s="60">
        <v>122.39999999999996</v>
      </c>
    </row>
    <row r="34" spans="2:19" x14ac:dyDescent="0.35">
      <c r="B34" s="179"/>
      <c r="D34" s="182">
        <f>SUM(D30:D33)</f>
        <v>12815.883000000003</v>
      </c>
      <c r="F34" s="216"/>
      <c r="H34" s="182"/>
      <c r="J34" s="182">
        <f>SUM(J30:J33)</f>
        <v>10049.545200000004</v>
      </c>
      <c r="N34" s="60">
        <v>12815.883000000003</v>
      </c>
      <c r="P34" s="60">
        <v>12815.883000000003</v>
      </c>
      <c r="S34" s="60">
        <v>10049.545200000004</v>
      </c>
    </row>
    <row r="35" spans="2:19" x14ac:dyDescent="0.35">
      <c r="B35" s="179"/>
      <c r="D35" s="182"/>
      <c r="F35" s="224" t="s">
        <v>122</v>
      </c>
      <c r="H35" s="28">
        <v>1</v>
      </c>
      <c r="J35" s="182">
        <f>J34*H35</f>
        <v>10049.545200000004</v>
      </c>
      <c r="Q35" s="60" t="s">
        <v>122</v>
      </c>
      <c r="R35" s="60">
        <v>1</v>
      </c>
      <c r="S35" s="60">
        <v>10049.545200000004</v>
      </c>
    </row>
    <row r="36" spans="2:19" ht="18" x14ac:dyDescent="0.6">
      <c r="B36" s="212"/>
      <c r="D36" s="213"/>
      <c r="F36" s="213"/>
      <c r="G36" s="213"/>
      <c r="H36" s="213"/>
    </row>
    <row r="37" spans="2:19" x14ac:dyDescent="0.35">
      <c r="B37" s="179"/>
      <c r="D37" s="182"/>
      <c r="F37" s="216"/>
      <c r="G37" s="182"/>
      <c r="H37" s="182"/>
    </row>
    <row r="38" spans="2:19" x14ac:dyDescent="0.35">
      <c r="B38" s="23"/>
      <c r="D38" s="186" t="s">
        <v>123</v>
      </c>
      <c r="F38" s="28">
        <f>ROUND(J35+F44,0)</f>
        <v>10050</v>
      </c>
      <c r="G38" s="182"/>
      <c r="H38" s="182"/>
      <c r="P38" s="60" t="s">
        <v>123</v>
      </c>
      <c r="Q38" s="60">
        <v>10050</v>
      </c>
    </row>
    <row r="39" spans="2:19" x14ac:dyDescent="0.35">
      <c r="B39" s="23"/>
      <c r="D39" s="186" t="s">
        <v>75</v>
      </c>
      <c r="F39" s="28">
        <f>F38*12</f>
        <v>120600</v>
      </c>
      <c r="G39" s="182"/>
      <c r="H39" s="182"/>
      <c r="P39" s="60" t="s">
        <v>75</v>
      </c>
      <c r="Q39" s="60">
        <v>120600</v>
      </c>
    </row>
    <row r="40" spans="2:19" ht="18" x14ac:dyDescent="0.6">
      <c r="B40" s="23"/>
      <c r="D40" s="186" t="s">
        <v>76</v>
      </c>
      <c r="F40" s="249">
        <v>-87335</v>
      </c>
      <c r="G40" s="182"/>
      <c r="H40" s="220"/>
      <c r="P40" s="60" t="s">
        <v>76</v>
      </c>
      <c r="Q40" s="60">
        <v>-87335</v>
      </c>
    </row>
    <row r="41" spans="2:19" ht="16" thickBot="1" x14ac:dyDescent="0.4">
      <c r="B41" s="195"/>
      <c r="D41" s="228" t="s">
        <v>77</v>
      </c>
      <c r="F41" s="225">
        <f>F39+F40</f>
        <v>33265</v>
      </c>
      <c r="G41" s="23"/>
      <c r="H41" s="223"/>
      <c r="P41" s="60" t="s">
        <v>77</v>
      </c>
      <c r="Q41" s="60">
        <v>33265</v>
      </c>
    </row>
    <row r="42" spans="2:19" ht="16" thickTop="1" x14ac:dyDescent="0.3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A0329-8FA1-4266-B206-5A09C0CC04B7}">
  <dimension ref="A2:B16"/>
  <sheetViews>
    <sheetView workbookViewId="0">
      <selection activeCell="B16" sqref="B16"/>
    </sheetView>
  </sheetViews>
  <sheetFormatPr defaultColWidth="8.84375" defaultRowHeight="14.5" x14ac:dyDescent="0.35"/>
  <cols>
    <col min="1" max="1" width="8.84375" style="21"/>
    <col min="2" max="2" width="11.53515625" style="2" customWidth="1"/>
    <col min="3" max="16384" width="8.84375" style="2"/>
  </cols>
  <sheetData>
    <row r="2" spans="1:2" x14ac:dyDescent="0.35">
      <c r="B2" s="21" t="s">
        <v>111</v>
      </c>
    </row>
    <row r="3" spans="1:2" ht="16" x14ac:dyDescent="0.5">
      <c r="B3" s="11" t="s">
        <v>110</v>
      </c>
    </row>
    <row r="4" spans="1:2" x14ac:dyDescent="0.35">
      <c r="A4" s="21" t="s">
        <v>98</v>
      </c>
      <c r="B4" s="2">
        <v>21419000</v>
      </c>
    </row>
    <row r="5" spans="1:2" x14ac:dyDescent="0.35">
      <c r="A5" s="21" t="s">
        <v>99</v>
      </c>
      <c r="B5" s="2">
        <v>18493000</v>
      </c>
    </row>
    <row r="6" spans="1:2" x14ac:dyDescent="0.35">
      <c r="A6" s="21" t="s">
        <v>100</v>
      </c>
      <c r="B6" s="2">
        <v>17913000</v>
      </c>
    </row>
    <row r="7" spans="1:2" x14ac:dyDescent="0.35">
      <c r="A7" s="21" t="s">
        <v>101</v>
      </c>
      <c r="B7" s="2">
        <v>19523000</v>
      </c>
    </row>
    <row r="8" spans="1:2" x14ac:dyDescent="0.35">
      <c r="A8" s="21" t="s">
        <v>102</v>
      </c>
      <c r="B8" s="2">
        <v>17756000</v>
      </c>
    </row>
    <row r="9" spans="1:2" x14ac:dyDescent="0.35">
      <c r="A9" s="21" t="s">
        <v>103</v>
      </c>
      <c r="B9" s="2">
        <v>17837000</v>
      </c>
    </row>
    <row r="10" spans="1:2" x14ac:dyDescent="0.35">
      <c r="A10" s="21" t="s">
        <v>104</v>
      </c>
      <c r="B10" s="2">
        <v>21217000</v>
      </c>
    </row>
    <row r="11" spans="1:2" x14ac:dyDescent="0.35">
      <c r="A11" s="21" t="s">
        <v>105</v>
      </c>
      <c r="B11" s="2">
        <v>20808000</v>
      </c>
    </row>
    <row r="12" spans="1:2" x14ac:dyDescent="0.35">
      <c r="A12" s="21" t="s">
        <v>106</v>
      </c>
      <c r="B12" s="2">
        <v>20073000</v>
      </c>
    </row>
    <row r="13" spans="1:2" x14ac:dyDescent="0.35">
      <c r="A13" s="21" t="s">
        <v>109</v>
      </c>
      <c r="B13" s="2">
        <v>20383000</v>
      </c>
    </row>
    <row r="14" spans="1:2" x14ac:dyDescent="0.35">
      <c r="A14" s="21" t="s">
        <v>107</v>
      </c>
      <c r="B14" s="2">
        <v>19254000</v>
      </c>
    </row>
    <row r="15" spans="1:2" ht="16" x14ac:dyDescent="0.5">
      <c r="A15" s="21" t="s">
        <v>108</v>
      </c>
      <c r="B15" s="7">
        <v>19767000</v>
      </c>
    </row>
    <row r="16" spans="1:2" x14ac:dyDescent="0.35">
      <c r="A16" s="21" t="s">
        <v>30</v>
      </c>
      <c r="B16" s="2">
        <f t="shared" ref="B16" si="0">SUM(B4:B15)</f>
        <v>234443000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5AACC-CF42-4E0D-A909-C81DDC3235D2}">
  <dimension ref="A1:S85"/>
  <sheetViews>
    <sheetView topLeftCell="A7" workbookViewId="0">
      <selection activeCell="O80" activeCellId="3" sqref="I80 K80 M80 O80"/>
    </sheetView>
  </sheetViews>
  <sheetFormatPr defaultColWidth="14.53515625" defaultRowHeight="14" x14ac:dyDescent="0.3"/>
  <cols>
    <col min="1" max="1" width="5.69140625" style="165" customWidth="1"/>
    <col min="2" max="2" width="1.3046875" style="24" customWidth="1"/>
    <col min="3" max="3" width="23.07421875" style="24" customWidth="1"/>
    <col min="4" max="4" width="1.4609375" style="24" customWidth="1"/>
    <col min="5" max="5" width="14.53515625" style="166"/>
    <col min="6" max="6" width="1.4609375" style="24" customWidth="1"/>
    <col min="7" max="7" width="14.53515625" style="24"/>
    <col min="8" max="8" width="1.4609375" style="24" customWidth="1"/>
    <col min="9" max="9" width="14.53515625" style="24"/>
    <col min="10" max="10" width="1.4609375" style="24" customWidth="1"/>
    <col min="11" max="11" width="14.53515625" style="24"/>
    <col min="12" max="12" width="1.4609375" style="24" customWidth="1"/>
    <col min="13" max="13" width="14.53515625" style="24"/>
    <col min="14" max="14" width="1.4609375" style="24" customWidth="1"/>
    <col min="15" max="15" width="14.53515625" style="24"/>
    <col min="16" max="16" width="1.4609375" style="24" customWidth="1"/>
    <col min="17" max="17" width="11.4609375" style="24" customWidth="1"/>
    <col min="18" max="18" width="1.3046875" style="24" customWidth="1"/>
    <col min="19" max="16384" width="14.53515625" style="24"/>
  </cols>
  <sheetData>
    <row r="1" spans="1:19" ht="22.5" x14ac:dyDescent="0.45">
      <c r="A1" s="418" t="s">
        <v>244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</row>
    <row r="2" spans="1:19" ht="22.5" x14ac:dyDescent="0.45">
      <c r="A2" s="419" t="s">
        <v>245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</row>
    <row r="4" spans="1:19" x14ac:dyDescent="0.3">
      <c r="K4" s="416" t="s">
        <v>246</v>
      </c>
      <c r="L4" s="416"/>
      <c r="M4" s="416"/>
      <c r="N4" s="416"/>
      <c r="O4" s="416"/>
    </row>
    <row r="5" spans="1:19" x14ac:dyDescent="0.3">
      <c r="E5" s="166" t="s">
        <v>247</v>
      </c>
      <c r="I5" s="142" t="s">
        <v>248</v>
      </c>
      <c r="K5" s="142" t="s">
        <v>249</v>
      </c>
      <c r="M5" s="142" t="s">
        <v>250</v>
      </c>
      <c r="O5" s="142" t="s">
        <v>54</v>
      </c>
      <c r="Q5" s="142" t="s">
        <v>251</v>
      </c>
      <c r="S5" s="142" t="s">
        <v>252</v>
      </c>
    </row>
    <row r="6" spans="1:19" x14ac:dyDescent="0.3">
      <c r="A6" s="167" t="s">
        <v>253</v>
      </c>
      <c r="C6" s="25" t="s">
        <v>254</v>
      </c>
      <c r="E6" s="26" t="s">
        <v>255</v>
      </c>
      <c r="G6" s="26" t="s">
        <v>256</v>
      </c>
      <c r="I6" s="26">
        <v>44562</v>
      </c>
      <c r="K6" s="26" t="s">
        <v>257</v>
      </c>
      <c r="M6" s="26" t="s">
        <v>252</v>
      </c>
      <c r="O6" s="26" t="s">
        <v>258</v>
      </c>
      <c r="Q6" s="25" t="s">
        <v>259</v>
      </c>
      <c r="S6" s="25" t="s">
        <v>135</v>
      </c>
    </row>
    <row r="7" spans="1:19" x14ac:dyDescent="0.3">
      <c r="A7" s="164" t="s">
        <v>192</v>
      </c>
    </row>
    <row r="8" spans="1:19" x14ac:dyDescent="0.3">
      <c r="A8" s="165">
        <v>40</v>
      </c>
      <c r="C8" s="24" t="s">
        <v>193</v>
      </c>
      <c r="E8" s="166">
        <v>44481</v>
      </c>
      <c r="G8" s="24">
        <v>16296</v>
      </c>
      <c r="I8" s="24">
        <v>203.7</v>
      </c>
      <c r="K8" s="24">
        <f>IF($G8=$I8,0,IF(($I8+($G8/Q8))&gt;=$G8,$G8-$I8,ROUND($G8/Q8,2)))</f>
        <v>814.8</v>
      </c>
      <c r="M8" s="24">
        <f>IF($G8=$I8,0,IF(($I8+($G8/S8))&gt;=$G8,$G8-$I8,ROUND($G8/S8,2)))</f>
        <v>434.56</v>
      </c>
      <c r="O8" s="24">
        <f>M8-K8</f>
        <v>-380.23999999999995</v>
      </c>
      <c r="Q8" s="24">
        <v>20</v>
      </c>
      <c r="S8" s="24">
        <v>37.5</v>
      </c>
    </row>
    <row r="9" spans="1:19" x14ac:dyDescent="0.3">
      <c r="E9" s="168" t="s">
        <v>260</v>
      </c>
      <c r="G9" s="169">
        <f>SUM(G8)</f>
        <v>16296</v>
      </c>
      <c r="I9" s="169">
        <f>SUM(I8)</f>
        <v>203.7</v>
      </c>
      <c r="K9" s="169">
        <f>SUM(K8)</f>
        <v>814.8</v>
      </c>
      <c r="M9" s="169">
        <f>SUM(M8)</f>
        <v>434.56</v>
      </c>
      <c r="O9" s="169">
        <f>SUM(O8)</f>
        <v>-380.23999999999995</v>
      </c>
    </row>
    <row r="10" spans="1:19" x14ac:dyDescent="0.3">
      <c r="E10" s="168"/>
    </row>
    <row r="11" spans="1:19" x14ac:dyDescent="0.3">
      <c r="A11" s="165" t="s">
        <v>194</v>
      </c>
    </row>
    <row r="12" spans="1:19" x14ac:dyDescent="0.3">
      <c r="A12" s="165">
        <v>6</v>
      </c>
      <c r="C12" s="24" t="s">
        <v>195</v>
      </c>
      <c r="E12" s="166">
        <v>37622</v>
      </c>
      <c r="G12" s="24">
        <v>15600</v>
      </c>
      <c r="I12" s="24">
        <v>15600</v>
      </c>
      <c r="K12" s="24">
        <f t="shared" ref="K12:K18" si="0">IF(G12=I12,0,IF((I12+(G12/Q12))&gt;=G12,G12-I12,ROUND(G12/Q12,2)))</f>
        <v>0</v>
      </c>
      <c r="M12" s="24">
        <f t="shared" ref="M12:M22" si="1">IF($G12=$I12,0,IF(($I12+($G12/S12))&gt;=$G12,$G12-$I12,ROUND($G12/S12,2)))</f>
        <v>0</v>
      </c>
      <c r="O12" s="24">
        <f>M12-K12</f>
        <v>0</v>
      </c>
      <c r="Q12" s="24">
        <v>5</v>
      </c>
      <c r="S12" s="24">
        <v>10</v>
      </c>
    </row>
    <row r="13" spans="1:19" x14ac:dyDescent="0.3">
      <c r="A13" s="165">
        <v>12</v>
      </c>
      <c r="C13" s="24" t="s">
        <v>195</v>
      </c>
      <c r="E13" s="166">
        <v>37987</v>
      </c>
      <c r="G13" s="24">
        <v>3900</v>
      </c>
      <c r="I13" s="24">
        <v>3900</v>
      </c>
      <c r="K13" s="24">
        <f t="shared" si="0"/>
        <v>0</v>
      </c>
      <c r="M13" s="24">
        <f t="shared" si="1"/>
        <v>0</v>
      </c>
      <c r="O13" s="24">
        <f t="shared" ref="O13:O22" si="2">M13-K13</f>
        <v>0</v>
      </c>
      <c r="Q13" s="24">
        <v>5</v>
      </c>
      <c r="S13" s="24">
        <v>10</v>
      </c>
    </row>
    <row r="14" spans="1:19" x14ac:dyDescent="0.3">
      <c r="A14" s="165">
        <v>27</v>
      </c>
      <c r="C14" s="24" t="s">
        <v>196</v>
      </c>
      <c r="E14" s="166">
        <v>40371</v>
      </c>
      <c r="G14" s="24">
        <v>270375</v>
      </c>
      <c r="I14" s="24">
        <v>270375</v>
      </c>
      <c r="K14" s="24">
        <f t="shared" si="0"/>
        <v>0</v>
      </c>
      <c r="M14" s="24">
        <f t="shared" si="1"/>
        <v>0</v>
      </c>
      <c r="O14" s="24">
        <f t="shared" si="2"/>
        <v>0</v>
      </c>
      <c r="Q14" s="24">
        <v>10</v>
      </c>
      <c r="S14" s="24">
        <v>10</v>
      </c>
    </row>
    <row r="15" spans="1:19" x14ac:dyDescent="0.3">
      <c r="A15" s="165">
        <v>28</v>
      </c>
      <c r="C15" s="24" t="s">
        <v>197</v>
      </c>
      <c r="E15" s="166">
        <v>43292</v>
      </c>
      <c r="G15" s="24">
        <v>26500</v>
      </c>
      <c r="I15" s="24">
        <v>18550</v>
      </c>
      <c r="K15" s="24">
        <f t="shared" si="0"/>
        <v>5300</v>
      </c>
      <c r="M15" s="24">
        <f t="shared" si="1"/>
        <v>2120</v>
      </c>
      <c r="O15" s="24">
        <f t="shared" si="2"/>
        <v>-3180</v>
      </c>
      <c r="Q15" s="24">
        <v>5</v>
      </c>
      <c r="S15" s="24">
        <v>12.5</v>
      </c>
    </row>
    <row r="16" spans="1:19" x14ac:dyDescent="0.3">
      <c r="A16" s="165">
        <v>37</v>
      </c>
      <c r="C16" s="24" t="s">
        <v>198</v>
      </c>
      <c r="E16" s="166">
        <v>44460</v>
      </c>
      <c r="G16" s="24">
        <v>6967.35</v>
      </c>
      <c r="I16" s="24">
        <v>174.18</v>
      </c>
      <c r="K16" s="24">
        <f t="shared" si="0"/>
        <v>696.74</v>
      </c>
      <c r="M16" s="24">
        <f t="shared" si="1"/>
        <v>557.39</v>
      </c>
      <c r="O16" s="24">
        <f t="shared" si="2"/>
        <v>-139.35000000000002</v>
      </c>
      <c r="Q16" s="24">
        <v>10</v>
      </c>
      <c r="S16" s="24">
        <v>12.5</v>
      </c>
    </row>
    <row r="17" spans="1:19" x14ac:dyDescent="0.3">
      <c r="A17" s="165">
        <v>38</v>
      </c>
      <c r="C17" s="24" t="s">
        <v>199</v>
      </c>
      <c r="E17" s="166">
        <v>44454</v>
      </c>
      <c r="G17" s="24">
        <v>5855</v>
      </c>
      <c r="I17" s="24">
        <v>195.17</v>
      </c>
      <c r="K17" s="24">
        <f t="shared" si="0"/>
        <v>585.5</v>
      </c>
      <c r="M17" s="24">
        <f t="shared" si="1"/>
        <v>468.4</v>
      </c>
      <c r="O17" s="24">
        <f t="shared" si="2"/>
        <v>-117.10000000000002</v>
      </c>
      <c r="Q17" s="24">
        <v>10</v>
      </c>
      <c r="S17" s="24">
        <v>12.5</v>
      </c>
    </row>
    <row r="18" spans="1:19" x14ac:dyDescent="0.3">
      <c r="A18" s="165">
        <v>39</v>
      </c>
      <c r="C18" s="24" t="s">
        <v>200</v>
      </c>
      <c r="E18" s="166">
        <v>44559</v>
      </c>
      <c r="G18" s="24">
        <v>26995</v>
      </c>
      <c r="I18" s="24">
        <v>0</v>
      </c>
      <c r="K18" s="24">
        <f t="shared" si="0"/>
        <v>1349.75</v>
      </c>
      <c r="M18" s="24">
        <f t="shared" si="1"/>
        <v>2159.6</v>
      </c>
      <c r="O18" s="24">
        <f t="shared" si="2"/>
        <v>809.84999999999991</v>
      </c>
      <c r="Q18" s="24">
        <v>20</v>
      </c>
      <c r="S18" s="24">
        <v>12.5</v>
      </c>
    </row>
    <row r="19" spans="1:19" x14ac:dyDescent="0.3">
      <c r="A19" s="165">
        <v>45</v>
      </c>
      <c r="C19" s="24" t="s">
        <v>201</v>
      </c>
      <c r="E19" s="166">
        <v>44851</v>
      </c>
      <c r="G19" s="24">
        <v>9277</v>
      </c>
      <c r="I19" s="24">
        <v>0</v>
      </c>
      <c r="K19" s="24">
        <v>128.85</v>
      </c>
      <c r="M19" s="24">
        <f t="shared" si="1"/>
        <v>742.16</v>
      </c>
      <c r="O19" s="24">
        <f t="shared" si="2"/>
        <v>613.30999999999995</v>
      </c>
      <c r="Q19" s="24">
        <v>12</v>
      </c>
      <c r="S19" s="24">
        <v>12.5</v>
      </c>
    </row>
    <row r="20" spans="1:19" x14ac:dyDescent="0.3">
      <c r="A20" s="165">
        <v>46</v>
      </c>
      <c r="C20" s="24" t="s">
        <v>202</v>
      </c>
      <c r="E20" s="166">
        <v>44652</v>
      </c>
      <c r="G20" s="24">
        <v>12430</v>
      </c>
      <c r="I20" s="24">
        <v>0</v>
      </c>
      <c r="K20" s="24">
        <v>776.88</v>
      </c>
      <c r="M20" s="24">
        <f t="shared" si="1"/>
        <v>994.4</v>
      </c>
      <c r="O20" s="24">
        <f t="shared" si="2"/>
        <v>217.51999999999998</v>
      </c>
      <c r="Q20" s="24">
        <v>12</v>
      </c>
      <c r="S20" s="24">
        <v>12.5</v>
      </c>
    </row>
    <row r="21" spans="1:19" x14ac:dyDescent="0.3">
      <c r="A21" s="165">
        <v>48</v>
      </c>
      <c r="C21" s="24" t="s">
        <v>203</v>
      </c>
      <c r="E21" s="166">
        <v>44651</v>
      </c>
      <c r="G21" s="24">
        <v>62000</v>
      </c>
      <c r="I21" s="24">
        <v>0</v>
      </c>
      <c r="K21" s="24">
        <v>4650</v>
      </c>
      <c r="M21" s="24">
        <f t="shared" si="1"/>
        <v>3542.86</v>
      </c>
      <c r="O21" s="24">
        <f t="shared" si="2"/>
        <v>-1107.1399999999999</v>
      </c>
      <c r="Q21" s="24">
        <v>10</v>
      </c>
      <c r="S21" s="24">
        <v>17.5</v>
      </c>
    </row>
    <row r="22" spans="1:19" x14ac:dyDescent="0.3">
      <c r="A22" s="165">
        <v>54</v>
      </c>
      <c r="C22" s="24" t="s">
        <v>204</v>
      </c>
      <c r="E22" s="166">
        <v>44651</v>
      </c>
      <c r="G22" s="24">
        <v>17000</v>
      </c>
      <c r="I22" s="24">
        <v>0</v>
      </c>
      <c r="K22" s="24">
        <v>1275</v>
      </c>
      <c r="M22" s="24">
        <f t="shared" si="1"/>
        <v>971.43</v>
      </c>
      <c r="O22" s="24">
        <f t="shared" si="2"/>
        <v>-303.57000000000005</v>
      </c>
      <c r="Q22" s="24">
        <v>10</v>
      </c>
      <c r="S22" s="24">
        <v>17.5</v>
      </c>
    </row>
    <row r="23" spans="1:19" x14ac:dyDescent="0.3">
      <c r="E23" s="168" t="s">
        <v>261</v>
      </c>
      <c r="G23" s="169">
        <f>SUM(G12:G22)</f>
        <v>456899.35</v>
      </c>
      <c r="I23" s="169">
        <f>SUM(I12:I22)</f>
        <v>308794.34999999998</v>
      </c>
      <c r="K23" s="169">
        <f>SUM(K12:K22)</f>
        <v>14762.72</v>
      </c>
      <c r="M23" s="169">
        <f>SUM(M12:M22)</f>
        <v>11556.24</v>
      </c>
      <c r="O23" s="169">
        <f>SUM(O12:O22)</f>
        <v>-3206.48</v>
      </c>
    </row>
    <row r="24" spans="1:19" x14ac:dyDescent="0.3">
      <c r="E24" s="168"/>
    </row>
    <row r="25" spans="1:19" x14ac:dyDescent="0.3">
      <c r="A25" s="164" t="s">
        <v>205</v>
      </c>
    </row>
    <row r="26" spans="1:19" x14ac:dyDescent="0.3">
      <c r="A26" s="165">
        <v>1</v>
      </c>
      <c r="C26" s="24" t="s">
        <v>206</v>
      </c>
      <c r="E26" s="166">
        <v>37595</v>
      </c>
      <c r="G26" s="24">
        <v>1099</v>
      </c>
      <c r="I26" s="24">
        <v>1099</v>
      </c>
      <c r="K26" s="24">
        <f>IF(G26=I26,0,IF((I26+(G26/Q26))&gt;=G26,G26-I26,ROUND(G26/Q26,2)))</f>
        <v>0</v>
      </c>
      <c r="M26" s="24">
        <f>IF($G26=$I26,0,IF(($I26+($G26/S26))&gt;=$G26,$G26-$I26,ROUND($G26/S26,2)))</f>
        <v>0</v>
      </c>
      <c r="O26" s="24">
        <f t="shared" ref="O26:O27" si="3">M26-K26</f>
        <v>0</v>
      </c>
      <c r="Q26" s="24">
        <v>5</v>
      </c>
      <c r="S26" s="24">
        <v>10</v>
      </c>
    </row>
    <row r="27" spans="1:19" x14ac:dyDescent="0.3">
      <c r="A27" s="165">
        <v>34</v>
      </c>
      <c r="C27" s="24" t="s">
        <v>207</v>
      </c>
      <c r="E27" s="166">
        <v>44139</v>
      </c>
      <c r="G27" s="24">
        <v>23330.74</v>
      </c>
      <c r="I27" s="24">
        <v>3888.45</v>
      </c>
      <c r="K27" s="24">
        <f>IF(G27=I27,0,IF((I27+(G27/Q27))&gt;=G27,G27-I27,ROUND(G27/Q27,2)))</f>
        <v>3332.96</v>
      </c>
      <c r="M27" s="24">
        <f>IF($G27=$I27,0,IF(($I27+($G27/S27))&gt;=$G27,$G27-$I27,ROUND($G27/S27,2)))</f>
        <v>2333.0700000000002</v>
      </c>
      <c r="O27" s="24">
        <f t="shared" si="3"/>
        <v>-999.88999999999987</v>
      </c>
      <c r="Q27" s="24">
        <v>7</v>
      </c>
      <c r="S27" s="24">
        <v>10</v>
      </c>
    </row>
    <row r="28" spans="1:19" x14ac:dyDescent="0.3">
      <c r="E28" s="170" t="s">
        <v>262</v>
      </c>
      <c r="G28" s="169">
        <f>SUM(G26:G27)</f>
        <v>24429.74</v>
      </c>
      <c r="I28" s="169">
        <f>SUM(I26:I27)</f>
        <v>4987.45</v>
      </c>
      <c r="K28" s="169">
        <f>SUM(K26:K27)</f>
        <v>3332.96</v>
      </c>
      <c r="M28" s="169">
        <f>SUM(M26:M27)</f>
        <v>2333.0700000000002</v>
      </c>
      <c r="O28" s="169">
        <f>SUM(O26:O27)</f>
        <v>-999.88999999999987</v>
      </c>
    </row>
    <row r="30" spans="1:19" x14ac:dyDescent="0.3">
      <c r="A30" s="164" t="s">
        <v>208</v>
      </c>
    </row>
    <row r="31" spans="1:19" x14ac:dyDescent="0.3">
      <c r="A31" s="165">
        <v>49</v>
      </c>
      <c r="C31" s="24" t="s">
        <v>136</v>
      </c>
      <c r="E31" s="166">
        <v>44651</v>
      </c>
      <c r="G31" s="24">
        <v>20800</v>
      </c>
      <c r="I31" s="24">
        <v>0</v>
      </c>
      <c r="K31" s="24">
        <v>312</v>
      </c>
      <c r="M31" s="24">
        <f>IF($G31=$I31,0,IF(($I31+($G31/S31))&gt;=$G31,$G31-$I31,ROUND($G31/S31,2)))</f>
        <v>416</v>
      </c>
      <c r="O31" s="24">
        <f t="shared" ref="O31" si="4">M31-K31</f>
        <v>104</v>
      </c>
      <c r="Q31" s="24">
        <v>50</v>
      </c>
      <c r="S31" s="24">
        <v>50</v>
      </c>
    </row>
    <row r="32" spans="1:19" x14ac:dyDescent="0.3">
      <c r="E32" s="168" t="s">
        <v>136</v>
      </c>
      <c r="G32" s="169">
        <f>SUM(G31)</f>
        <v>20800</v>
      </c>
      <c r="I32" s="169">
        <f>SUM(I31)</f>
        <v>0</v>
      </c>
      <c r="K32" s="169">
        <f>SUM(K31)</f>
        <v>312</v>
      </c>
      <c r="M32" s="169">
        <f>SUM(M31)</f>
        <v>416</v>
      </c>
      <c r="O32" s="169">
        <f>SUM(O31)</f>
        <v>104</v>
      </c>
    </row>
    <row r="34" spans="1:19" x14ac:dyDescent="0.3">
      <c r="A34" s="164" t="s">
        <v>209</v>
      </c>
    </row>
    <row r="35" spans="1:19" x14ac:dyDescent="0.3">
      <c r="A35" s="165">
        <v>50</v>
      </c>
      <c r="C35" s="24" t="s">
        <v>210</v>
      </c>
      <c r="E35" s="166">
        <v>44651</v>
      </c>
      <c r="G35" s="24">
        <v>39069</v>
      </c>
      <c r="I35" s="24">
        <v>0</v>
      </c>
      <c r="K35" s="24">
        <v>651.15</v>
      </c>
      <c r="M35" s="24">
        <f>IF($G35=$I35,0,IF(($I35+($G35/S35))&gt;=$G35,$G35-$I35,ROUND($G35/S35,2)))</f>
        <v>868.2</v>
      </c>
      <c r="O35" s="24">
        <f t="shared" ref="O35" si="5">M35-K35</f>
        <v>217.05000000000007</v>
      </c>
      <c r="Q35" s="24">
        <v>45</v>
      </c>
      <c r="S35" s="24">
        <v>45</v>
      </c>
    </row>
    <row r="36" spans="1:19" x14ac:dyDescent="0.3">
      <c r="E36" s="170" t="s">
        <v>209</v>
      </c>
      <c r="G36" s="169">
        <f>SUM(G35)</f>
        <v>39069</v>
      </c>
      <c r="I36" s="169">
        <f>SUM(I35)</f>
        <v>0</v>
      </c>
      <c r="K36" s="169">
        <f>SUM(K35)</f>
        <v>651.15</v>
      </c>
      <c r="M36" s="169">
        <f>SUM(M35)</f>
        <v>868.2</v>
      </c>
      <c r="O36" s="169">
        <f>SUM(O35)</f>
        <v>217.05000000000007</v>
      </c>
    </row>
    <row r="38" spans="1:19" x14ac:dyDescent="0.3">
      <c r="A38" s="165" t="s">
        <v>211</v>
      </c>
    </row>
    <row r="39" spans="1:19" x14ac:dyDescent="0.3">
      <c r="A39" s="165">
        <v>9</v>
      </c>
      <c r="C39" s="24" t="s">
        <v>212</v>
      </c>
      <c r="E39" s="166">
        <v>39451</v>
      </c>
      <c r="G39" s="24">
        <v>16326</v>
      </c>
      <c r="I39" s="24">
        <v>16299</v>
      </c>
      <c r="K39" s="24">
        <v>0</v>
      </c>
      <c r="M39" s="24">
        <f t="shared" ref="M39:M50" si="6">IF($G39=$I39,0,IF(($I39+($G39/S39))&gt;=$G39,$G39-$I39,ROUND($G39/S39,2)))</f>
        <v>27</v>
      </c>
      <c r="O39" s="24">
        <f t="shared" ref="O39:O50" si="7">M39-K39</f>
        <v>27</v>
      </c>
      <c r="Q39" s="24">
        <v>5</v>
      </c>
      <c r="S39" s="24">
        <v>7</v>
      </c>
    </row>
    <row r="40" spans="1:19" x14ac:dyDescent="0.3">
      <c r="A40" s="165">
        <v>10</v>
      </c>
      <c r="C40" s="24" t="s">
        <v>213</v>
      </c>
      <c r="E40" s="166">
        <v>39450</v>
      </c>
      <c r="G40" s="24">
        <v>16326</v>
      </c>
      <c r="I40" s="24">
        <v>16308</v>
      </c>
      <c r="K40" s="24">
        <v>0</v>
      </c>
      <c r="M40" s="24">
        <f t="shared" si="6"/>
        <v>18</v>
      </c>
      <c r="O40" s="24">
        <f t="shared" si="7"/>
        <v>18</v>
      </c>
      <c r="Q40" s="24">
        <v>5</v>
      </c>
      <c r="S40" s="24">
        <v>7</v>
      </c>
    </row>
    <row r="41" spans="1:19" x14ac:dyDescent="0.3">
      <c r="A41" s="165">
        <v>11</v>
      </c>
      <c r="C41" s="24" t="s">
        <v>214</v>
      </c>
      <c r="E41" s="166">
        <v>39483</v>
      </c>
      <c r="G41" s="24">
        <v>15498</v>
      </c>
      <c r="I41" s="24">
        <v>15460</v>
      </c>
      <c r="K41" s="24">
        <v>0</v>
      </c>
      <c r="M41" s="24">
        <f t="shared" si="6"/>
        <v>38</v>
      </c>
      <c r="O41" s="24">
        <f t="shared" si="7"/>
        <v>38</v>
      </c>
      <c r="Q41" s="24">
        <v>5</v>
      </c>
      <c r="S41" s="24">
        <v>7</v>
      </c>
    </row>
    <row r="42" spans="1:19" x14ac:dyDescent="0.3">
      <c r="A42" s="165">
        <v>30</v>
      </c>
      <c r="C42" s="24" t="s">
        <v>215</v>
      </c>
      <c r="E42" s="166">
        <v>43195</v>
      </c>
      <c r="G42" s="24">
        <v>21894.52</v>
      </c>
      <c r="I42" s="24">
        <v>17515.599999999999</v>
      </c>
      <c r="K42" s="24">
        <f>IF(G42=I42,0,IF((I42+(G42/Q42))&gt;=G42,G42-I42,ROUND(G42/Q42,2)))+0.02</f>
        <v>4378.92</v>
      </c>
      <c r="M42" s="24">
        <f t="shared" si="6"/>
        <v>3127.79</v>
      </c>
      <c r="O42" s="24">
        <f t="shared" si="7"/>
        <v>-1251.1300000000001</v>
      </c>
      <c r="Q42" s="24">
        <v>5</v>
      </c>
      <c r="S42" s="24">
        <v>7</v>
      </c>
    </row>
    <row r="43" spans="1:19" x14ac:dyDescent="0.3">
      <c r="A43" s="165">
        <v>31</v>
      </c>
      <c r="C43" s="24" t="s">
        <v>216</v>
      </c>
      <c r="E43" s="166">
        <v>43404</v>
      </c>
      <c r="G43" s="24">
        <v>28531.88</v>
      </c>
      <c r="I43" s="24">
        <v>22825.52</v>
      </c>
      <c r="K43" s="24">
        <f>IF(G43=I43,0,IF((I43+(G43/Q43))&gt;=G43,G43-I43,ROUND(G43/Q43,2)))</f>
        <v>5706.3600000000006</v>
      </c>
      <c r="M43" s="24">
        <f t="shared" si="6"/>
        <v>4075.98</v>
      </c>
      <c r="O43" s="24">
        <f t="shared" si="7"/>
        <v>-1630.3800000000006</v>
      </c>
      <c r="Q43" s="24">
        <v>5</v>
      </c>
      <c r="S43" s="24">
        <v>7</v>
      </c>
    </row>
    <row r="44" spans="1:19" x14ac:dyDescent="0.3">
      <c r="A44" s="165">
        <v>32</v>
      </c>
      <c r="C44" s="24" t="s">
        <v>217</v>
      </c>
      <c r="E44" s="166">
        <v>43101</v>
      </c>
      <c r="G44" s="24">
        <v>32952.35</v>
      </c>
      <c r="I44" s="24">
        <v>26361.88</v>
      </c>
      <c r="K44" s="24">
        <f>IF(G44=I44,0,IF((I44+(G44/Q44))&gt;=G44,G44-I44,ROUND(G44/Q44,2)))</f>
        <v>6590.4699999999975</v>
      </c>
      <c r="M44" s="24">
        <f t="shared" si="6"/>
        <v>4707.4799999999996</v>
      </c>
      <c r="O44" s="24">
        <f t="shared" si="7"/>
        <v>-1882.989999999998</v>
      </c>
      <c r="Q44" s="24">
        <v>5</v>
      </c>
      <c r="S44" s="24">
        <v>7</v>
      </c>
    </row>
    <row r="45" spans="1:19" x14ac:dyDescent="0.3">
      <c r="A45" s="165">
        <v>33</v>
      </c>
      <c r="C45" s="24" t="s">
        <v>218</v>
      </c>
      <c r="E45" s="166">
        <v>43101</v>
      </c>
      <c r="G45" s="24">
        <v>20897.62</v>
      </c>
      <c r="I45" s="24">
        <v>16718.080000000002</v>
      </c>
      <c r="K45" s="24">
        <f>IF(G45=I45,0,IF((I45+(G45/Q45))&gt;=G45,G45-I45,ROUND(G45/Q45,2)))+0.02</f>
        <v>4179.5400000000009</v>
      </c>
      <c r="M45" s="24">
        <f t="shared" si="6"/>
        <v>2985.37</v>
      </c>
      <c r="O45" s="24">
        <f t="shared" si="7"/>
        <v>-1194.170000000001</v>
      </c>
      <c r="Q45" s="24">
        <v>5</v>
      </c>
      <c r="S45" s="24">
        <v>7</v>
      </c>
    </row>
    <row r="46" spans="1:19" x14ac:dyDescent="0.3">
      <c r="A46" s="165">
        <v>35</v>
      </c>
      <c r="C46" s="24" t="s">
        <v>219</v>
      </c>
      <c r="E46" s="166">
        <v>43991</v>
      </c>
      <c r="G46" s="24">
        <v>20337.03</v>
      </c>
      <c r="I46" s="24">
        <v>6440.06</v>
      </c>
      <c r="K46" s="24">
        <f>IF(G46=I46,0,IF((I46+(G46/Q46))&gt;=G46,G46-I46,ROUND(G46/Q46,2)))</f>
        <v>4067.41</v>
      </c>
      <c r="M46" s="24">
        <f t="shared" si="6"/>
        <v>2905.29</v>
      </c>
      <c r="O46" s="24">
        <f t="shared" si="7"/>
        <v>-1162.1199999999999</v>
      </c>
      <c r="Q46" s="24">
        <v>5</v>
      </c>
      <c r="S46" s="24">
        <v>7</v>
      </c>
    </row>
    <row r="47" spans="1:19" x14ac:dyDescent="0.3">
      <c r="A47" s="165">
        <v>41</v>
      </c>
      <c r="C47" s="24" t="s">
        <v>220</v>
      </c>
      <c r="E47" s="166">
        <v>44644</v>
      </c>
      <c r="G47" s="24">
        <v>30500</v>
      </c>
      <c r="I47" s="24">
        <v>0</v>
      </c>
      <c r="K47" s="24">
        <v>4575</v>
      </c>
      <c r="M47" s="24">
        <f t="shared" si="6"/>
        <v>4357.1400000000003</v>
      </c>
      <c r="O47" s="24">
        <f t="shared" si="7"/>
        <v>-217.85999999999967</v>
      </c>
      <c r="Q47" s="24">
        <v>5</v>
      </c>
      <c r="S47" s="24">
        <v>7</v>
      </c>
    </row>
    <row r="48" spans="1:19" x14ac:dyDescent="0.3">
      <c r="A48" s="165">
        <v>42</v>
      </c>
      <c r="C48" s="24" t="s">
        <v>221</v>
      </c>
      <c r="E48" s="166">
        <v>44693</v>
      </c>
      <c r="G48" s="24">
        <v>17000</v>
      </c>
      <c r="I48" s="24">
        <v>0</v>
      </c>
      <c r="K48" s="24">
        <v>2266.67</v>
      </c>
      <c r="M48" s="24">
        <f t="shared" si="6"/>
        <v>2428.5700000000002</v>
      </c>
      <c r="O48" s="24">
        <f t="shared" si="7"/>
        <v>161.90000000000009</v>
      </c>
      <c r="Q48" s="24">
        <v>5</v>
      </c>
      <c r="S48" s="24">
        <v>7</v>
      </c>
    </row>
    <row r="49" spans="1:19" x14ac:dyDescent="0.3">
      <c r="A49" s="165">
        <v>43</v>
      </c>
      <c r="C49" s="24" t="s">
        <v>222</v>
      </c>
      <c r="E49" s="166">
        <v>44816</v>
      </c>
      <c r="G49" s="24">
        <v>37987.800000000003</v>
      </c>
      <c r="I49" s="24">
        <v>0</v>
      </c>
      <c r="K49" s="24">
        <v>2532.52</v>
      </c>
      <c r="M49" s="24">
        <f t="shared" si="6"/>
        <v>5426.83</v>
      </c>
      <c r="O49" s="24">
        <f t="shared" si="7"/>
        <v>2894.31</v>
      </c>
      <c r="Q49" s="24">
        <v>5</v>
      </c>
      <c r="S49" s="24">
        <v>7</v>
      </c>
    </row>
    <row r="50" spans="1:19" x14ac:dyDescent="0.3">
      <c r="A50" s="165">
        <v>44</v>
      </c>
      <c r="C50" s="24" t="s">
        <v>223</v>
      </c>
      <c r="E50" s="166">
        <v>44816</v>
      </c>
      <c r="G50" s="24">
        <v>37987.800000000003</v>
      </c>
      <c r="I50" s="24">
        <v>0</v>
      </c>
      <c r="K50" s="24">
        <v>2532.52</v>
      </c>
      <c r="M50" s="24">
        <f t="shared" si="6"/>
        <v>5426.83</v>
      </c>
      <c r="O50" s="24">
        <f t="shared" si="7"/>
        <v>2894.31</v>
      </c>
      <c r="Q50" s="24">
        <v>5</v>
      </c>
      <c r="S50" s="24">
        <v>7</v>
      </c>
    </row>
    <row r="51" spans="1:19" x14ac:dyDescent="0.3">
      <c r="E51" s="168" t="s">
        <v>263</v>
      </c>
      <c r="G51" s="169">
        <f>SUM(G39:G50)</f>
        <v>296239</v>
      </c>
      <c r="I51" s="169">
        <f>SUM(I39:I50)</f>
        <v>137928.14000000001</v>
      </c>
      <c r="K51" s="169">
        <f>SUM(K39:K50)</f>
        <v>36829.409999999996</v>
      </c>
      <c r="M51" s="169">
        <f>SUM(M39:M50)</f>
        <v>35524.28</v>
      </c>
      <c r="O51" s="169">
        <f>SUM(O39:O50)</f>
        <v>-1305.1299999999987</v>
      </c>
    </row>
    <row r="52" spans="1:19" x14ac:dyDescent="0.3">
      <c r="E52" s="168"/>
    </row>
    <row r="53" spans="1:19" x14ac:dyDescent="0.3">
      <c r="A53" s="164" t="s">
        <v>224</v>
      </c>
    </row>
    <row r="54" spans="1:19" x14ac:dyDescent="0.3">
      <c r="A54" s="165">
        <v>1</v>
      </c>
      <c r="C54" s="24" t="s">
        <v>225</v>
      </c>
      <c r="E54" s="166">
        <v>34060</v>
      </c>
      <c r="G54" s="24">
        <v>1060000</v>
      </c>
      <c r="I54" s="24">
        <v>628193</v>
      </c>
      <c r="K54" s="24">
        <f t="shared" ref="K54:K68" si="8">IF(G54=I54,0,IF((I54+(G54/Q54))&gt;=G54,G54-I54,ROUND(G54/Q54,2)))+0.02-0.02</f>
        <v>21200</v>
      </c>
      <c r="M54" s="24">
        <f t="shared" ref="M54:M70" si="9">IF($G54=$I54,0,IF(($I54+($G54/S54))&gt;=$G54,$G54-$I54,ROUND($G54/S54,2)))</f>
        <v>16960</v>
      </c>
      <c r="O54" s="24">
        <f t="shared" ref="O54:O70" si="10">M54-K54</f>
        <v>-4240</v>
      </c>
      <c r="Q54" s="24">
        <v>50</v>
      </c>
      <c r="S54" s="24">
        <v>62.5</v>
      </c>
    </row>
    <row r="55" spans="1:19" x14ac:dyDescent="0.3">
      <c r="A55" s="165">
        <v>14</v>
      </c>
      <c r="C55" s="24" t="s">
        <v>225</v>
      </c>
      <c r="E55" s="166">
        <v>35247</v>
      </c>
      <c r="G55" s="24">
        <v>2047065</v>
      </c>
      <c r="I55" s="24">
        <v>1044003.5</v>
      </c>
      <c r="K55" s="24">
        <f t="shared" si="8"/>
        <v>40941.300000000003</v>
      </c>
      <c r="M55" s="24">
        <f t="shared" si="9"/>
        <v>32753.040000000001</v>
      </c>
      <c r="O55" s="24">
        <f t="shared" si="10"/>
        <v>-8188.260000000002</v>
      </c>
      <c r="Q55" s="24">
        <v>50</v>
      </c>
      <c r="S55" s="24">
        <v>62.5</v>
      </c>
    </row>
    <row r="56" spans="1:19" x14ac:dyDescent="0.3">
      <c r="A56" s="165">
        <v>15</v>
      </c>
      <c r="C56" s="24" t="s">
        <v>226</v>
      </c>
      <c r="E56" s="166">
        <v>36497</v>
      </c>
      <c r="G56" s="24">
        <v>285223</v>
      </c>
      <c r="I56" s="24">
        <v>125973.3</v>
      </c>
      <c r="K56" s="24">
        <f t="shared" si="8"/>
        <v>5704.46</v>
      </c>
      <c r="M56" s="24">
        <f t="shared" si="9"/>
        <v>4563.57</v>
      </c>
      <c r="O56" s="24">
        <f t="shared" si="10"/>
        <v>-1140.8900000000003</v>
      </c>
      <c r="Q56" s="24">
        <v>50</v>
      </c>
      <c r="S56" s="24">
        <v>62.5</v>
      </c>
    </row>
    <row r="57" spans="1:19" x14ac:dyDescent="0.3">
      <c r="A57" s="165">
        <v>16</v>
      </c>
      <c r="C57" s="24" t="s">
        <v>227</v>
      </c>
      <c r="E57" s="166">
        <v>36812</v>
      </c>
      <c r="G57" s="24">
        <v>83203</v>
      </c>
      <c r="I57" s="24">
        <v>35292.300000000003</v>
      </c>
      <c r="K57" s="24">
        <f t="shared" si="8"/>
        <v>1664.06</v>
      </c>
      <c r="M57" s="24">
        <f t="shared" si="9"/>
        <v>1331.25</v>
      </c>
      <c r="O57" s="24">
        <f t="shared" si="10"/>
        <v>-332.80999999999995</v>
      </c>
      <c r="Q57" s="24">
        <v>50</v>
      </c>
      <c r="S57" s="24">
        <v>62.5</v>
      </c>
    </row>
    <row r="58" spans="1:19" x14ac:dyDescent="0.3">
      <c r="A58" s="165">
        <v>17</v>
      </c>
      <c r="C58" s="24" t="s">
        <v>228</v>
      </c>
      <c r="E58" s="166">
        <v>36160</v>
      </c>
      <c r="G58" s="24">
        <v>18000</v>
      </c>
      <c r="I58" s="24">
        <v>18000</v>
      </c>
      <c r="K58" s="24">
        <f t="shared" si="8"/>
        <v>0</v>
      </c>
      <c r="M58" s="24">
        <f t="shared" si="9"/>
        <v>0</v>
      </c>
      <c r="O58" s="24">
        <f t="shared" si="10"/>
        <v>0</v>
      </c>
      <c r="Q58" s="24">
        <v>20</v>
      </c>
      <c r="S58" s="24">
        <v>62.5</v>
      </c>
    </row>
    <row r="59" spans="1:19" x14ac:dyDescent="0.3">
      <c r="A59" s="165">
        <v>18</v>
      </c>
      <c r="C59" s="24" t="s">
        <v>229</v>
      </c>
      <c r="E59" s="166">
        <v>37595</v>
      </c>
      <c r="G59" s="24">
        <v>1709559</v>
      </c>
      <c r="I59" s="24">
        <v>652161.9</v>
      </c>
      <c r="K59" s="24">
        <f t="shared" si="8"/>
        <v>34191.18</v>
      </c>
      <c r="M59" s="24">
        <f t="shared" si="9"/>
        <v>27352.94</v>
      </c>
      <c r="O59" s="24">
        <f t="shared" si="10"/>
        <v>-6838.2400000000016</v>
      </c>
      <c r="Q59" s="24">
        <v>50</v>
      </c>
      <c r="S59" s="24">
        <v>62.5</v>
      </c>
    </row>
    <row r="60" spans="1:19" x14ac:dyDescent="0.3">
      <c r="A60" s="165">
        <v>19</v>
      </c>
      <c r="C60" s="24" t="s">
        <v>230</v>
      </c>
      <c r="E60" s="166">
        <v>37595</v>
      </c>
      <c r="G60" s="24">
        <v>993078</v>
      </c>
      <c r="I60" s="24">
        <v>378838.8</v>
      </c>
      <c r="K60" s="24">
        <f t="shared" si="8"/>
        <v>19861.560000000001</v>
      </c>
      <c r="M60" s="24">
        <f t="shared" si="9"/>
        <v>15889.25</v>
      </c>
      <c r="O60" s="24">
        <f t="shared" si="10"/>
        <v>-3972.3100000000013</v>
      </c>
      <c r="Q60" s="24">
        <v>50</v>
      </c>
      <c r="S60" s="24">
        <v>62.5</v>
      </c>
    </row>
    <row r="61" spans="1:19" x14ac:dyDescent="0.3">
      <c r="A61" s="165">
        <v>20</v>
      </c>
      <c r="C61" s="24" t="s">
        <v>231</v>
      </c>
      <c r="E61" s="166">
        <v>37622</v>
      </c>
      <c r="G61" s="24">
        <v>1722021</v>
      </c>
      <c r="I61" s="24">
        <v>622853.1</v>
      </c>
      <c r="K61" s="24">
        <f t="shared" si="8"/>
        <v>34440.42</v>
      </c>
      <c r="M61" s="24">
        <f t="shared" si="9"/>
        <v>27552.34</v>
      </c>
      <c r="O61" s="24">
        <f t="shared" si="10"/>
        <v>-6888.0799999999981</v>
      </c>
      <c r="Q61" s="24">
        <v>50</v>
      </c>
      <c r="S61" s="24">
        <v>62.5</v>
      </c>
    </row>
    <row r="62" spans="1:19" x14ac:dyDescent="0.3">
      <c r="A62" s="165">
        <v>21</v>
      </c>
      <c r="C62" s="24" t="s">
        <v>232</v>
      </c>
      <c r="E62" s="166">
        <v>37987</v>
      </c>
      <c r="G62" s="24">
        <v>3000</v>
      </c>
      <c r="I62" s="24">
        <v>3000</v>
      </c>
      <c r="K62" s="24">
        <f t="shared" si="8"/>
        <v>0</v>
      </c>
      <c r="M62" s="24">
        <f t="shared" si="9"/>
        <v>0</v>
      </c>
      <c r="O62" s="24">
        <f t="shared" si="10"/>
        <v>0</v>
      </c>
      <c r="Q62" s="24">
        <v>5</v>
      </c>
      <c r="S62" s="24">
        <v>62.5</v>
      </c>
    </row>
    <row r="63" spans="1:19" x14ac:dyDescent="0.3">
      <c r="A63" s="165">
        <v>22</v>
      </c>
      <c r="C63" s="24" t="s">
        <v>233</v>
      </c>
      <c r="E63" s="166">
        <v>38718</v>
      </c>
      <c r="G63" s="24">
        <v>4228030</v>
      </c>
      <c r="I63" s="24">
        <v>1279298</v>
      </c>
      <c r="K63" s="24">
        <f t="shared" si="8"/>
        <v>84560.6</v>
      </c>
      <c r="M63" s="24">
        <f t="shared" si="9"/>
        <v>67648.479999999996</v>
      </c>
      <c r="O63" s="24">
        <f t="shared" si="10"/>
        <v>-16912.12000000001</v>
      </c>
      <c r="Q63" s="24">
        <v>50</v>
      </c>
      <c r="S63" s="24">
        <v>62.5</v>
      </c>
    </row>
    <row r="64" spans="1:19" x14ac:dyDescent="0.3">
      <c r="A64" s="165">
        <v>23</v>
      </c>
      <c r="C64" s="24" t="s">
        <v>234</v>
      </c>
      <c r="E64" s="166">
        <v>368501</v>
      </c>
      <c r="G64" s="24">
        <v>4073608</v>
      </c>
      <c r="I64" s="24">
        <v>1127476.8</v>
      </c>
      <c r="K64" s="24">
        <f t="shared" si="8"/>
        <v>81472.160000000003</v>
      </c>
      <c r="M64" s="24">
        <f t="shared" si="9"/>
        <v>65177.73</v>
      </c>
      <c r="O64" s="24">
        <f t="shared" si="10"/>
        <v>-16294.43</v>
      </c>
      <c r="Q64" s="24">
        <v>50</v>
      </c>
      <c r="S64" s="24">
        <v>62.5</v>
      </c>
    </row>
    <row r="65" spans="1:19" x14ac:dyDescent="0.3">
      <c r="A65" s="165">
        <v>24</v>
      </c>
      <c r="C65" s="24" t="s">
        <v>235</v>
      </c>
      <c r="E65" s="166">
        <v>40371</v>
      </c>
      <c r="G65" s="24">
        <v>2632374</v>
      </c>
      <c r="I65" s="24">
        <v>604075.4</v>
      </c>
      <c r="K65" s="24">
        <f t="shared" si="8"/>
        <v>52647.48</v>
      </c>
      <c r="M65" s="24">
        <f t="shared" si="9"/>
        <v>42117.98</v>
      </c>
      <c r="O65" s="24">
        <f t="shared" si="10"/>
        <v>-10529.5</v>
      </c>
      <c r="Q65" s="24">
        <v>50</v>
      </c>
      <c r="S65" s="24">
        <v>62.5</v>
      </c>
    </row>
    <row r="66" spans="1:19" x14ac:dyDescent="0.3">
      <c r="A66" s="165">
        <v>25</v>
      </c>
      <c r="C66" s="24" t="s">
        <v>236</v>
      </c>
      <c r="E66" s="166">
        <v>40319</v>
      </c>
      <c r="G66" s="24">
        <v>1317000</v>
      </c>
      <c r="I66" s="24">
        <v>305977</v>
      </c>
      <c r="K66" s="24">
        <f t="shared" si="8"/>
        <v>26340</v>
      </c>
      <c r="M66" s="24">
        <f t="shared" si="9"/>
        <v>21072</v>
      </c>
      <c r="O66" s="24">
        <f t="shared" si="10"/>
        <v>-5268</v>
      </c>
      <c r="Q66" s="24">
        <v>50</v>
      </c>
      <c r="S66" s="24">
        <v>62.5</v>
      </c>
    </row>
    <row r="67" spans="1:19" x14ac:dyDescent="0.3">
      <c r="A67" s="165">
        <v>26</v>
      </c>
      <c r="C67" s="24" t="s">
        <v>237</v>
      </c>
      <c r="E67" s="166">
        <v>42247</v>
      </c>
      <c r="G67" s="24">
        <v>1623704</v>
      </c>
      <c r="I67" s="24">
        <v>205669.4</v>
      </c>
      <c r="K67" s="24">
        <f t="shared" si="8"/>
        <v>32474.080000000002</v>
      </c>
      <c r="M67" s="24">
        <f t="shared" si="9"/>
        <v>25979.26</v>
      </c>
      <c r="O67" s="24">
        <f t="shared" si="10"/>
        <v>-6494.8200000000033</v>
      </c>
      <c r="Q67" s="24">
        <v>50</v>
      </c>
      <c r="S67" s="24">
        <v>62.5</v>
      </c>
    </row>
    <row r="68" spans="1:19" x14ac:dyDescent="0.3">
      <c r="A68" s="165">
        <v>29</v>
      </c>
      <c r="C68" s="24" t="s">
        <v>238</v>
      </c>
      <c r="E68" s="166">
        <v>43350</v>
      </c>
      <c r="G68" s="24">
        <v>729990.84</v>
      </c>
      <c r="I68" s="24">
        <v>48666.07</v>
      </c>
      <c r="K68" s="24">
        <f t="shared" si="8"/>
        <v>14599.82</v>
      </c>
      <c r="M68" s="24">
        <f t="shared" si="9"/>
        <v>11679.85</v>
      </c>
      <c r="O68" s="24">
        <f t="shared" si="10"/>
        <v>-2919.9699999999993</v>
      </c>
      <c r="Q68" s="24">
        <v>50</v>
      </c>
      <c r="S68" s="24">
        <v>62.5</v>
      </c>
    </row>
    <row r="69" spans="1:19" x14ac:dyDescent="0.3">
      <c r="A69" s="165">
        <v>51</v>
      </c>
      <c r="C69" s="24" t="s">
        <v>239</v>
      </c>
      <c r="E69" s="166">
        <v>44651</v>
      </c>
      <c r="G69" s="24">
        <v>81160</v>
      </c>
      <c r="I69" s="24">
        <v>0</v>
      </c>
      <c r="K69" s="24">
        <v>973.92</v>
      </c>
      <c r="M69" s="24">
        <f t="shared" si="9"/>
        <v>1298.56</v>
      </c>
      <c r="O69" s="24">
        <f t="shared" si="10"/>
        <v>324.64</v>
      </c>
      <c r="Q69" s="24">
        <v>62.5</v>
      </c>
      <c r="S69" s="24">
        <v>62.5</v>
      </c>
    </row>
    <row r="70" spans="1:19" x14ac:dyDescent="0.3">
      <c r="A70" s="165">
        <v>52</v>
      </c>
      <c r="C70" s="24" t="s">
        <v>240</v>
      </c>
      <c r="E70" s="166">
        <v>44651</v>
      </c>
      <c r="G70" s="24">
        <v>953292.12</v>
      </c>
      <c r="I70" s="24">
        <v>0</v>
      </c>
      <c r="K70" s="24">
        <v>11439.51</v>
      </c>
      <c r="M70" s="24">
        <f t="shared" si="9"/>
        <v>15252.67</v>
      </c>
      <c r="O70" s="24">
        <f t="shared" si="10"/>
        <v>3813.16</v>
      </c>
      <c r="Q70" s="24">
        <v>62.5</v>
      </c>
      <c r="S70" s="24">
        <v>62.5</v>
      </c>
    </row>
    <row r="71" spans="1:19" x14ac:dyDescent="0.3">
      <c r="E71" s="170" t="s">
        <v>225</v>
      </c>
      <c r="G71" s="169">
        <f>SUM(G54:G70)</f>
        <v>23560307.960000001</v>
      </c>
      <c r="I71" s="169">
        <f>SUM(I54:I70)</f>
        <v>7079478.5700000012</v>
      </c>
      <c r="K71" s="169">
        <f>SUM(K54:K70)</f>
        <v>462510.55</v>
      </c>
      <c r="M71" s="169">
        <f>SUM(M54:M70)</f>
        <v>376628.92</v>
      </c>
      <c r="O71" s="169">
        <f>SUM(O54:O70)</f>
        <v>-85881.630000000019</v>
      </c>
    </row>
    <row r="73" spans="1:19" x14ac:dyDescent="0.3">
      <c r="A73" s="164" t="s">
        <v>241</v>
      </c>
    </row>
    <row r="74" spans="1:19" x14ac:dyDescent="0.3">
      <c r="A74" s="165">
        <v>47</v>
      </c>
      <c r="C74" s="24" t="s">
        <v>242</v>
      </c>
      <c r="E74" s="166">
        <v>44651</v>
      </c>
      <c r="G74" s="24">
        <v>30480</v>
      </c>
      <c r="I74" s="24">
        <v>0</v>
      </c>
      <c r="K74" s="24">
        <v>508</v>
      </c>
      <c r="M74" s="24">
        <f>IF($G74=$I74,0,IF(($I74+($G74/S74))&gt;=$G74,$G74-$I74,ROUND($G74/S74,2)))</f>
        <v>677.33</v>
      </c>
      <c r="O74" s="24">
        <f t="shared" ref="O74:O75" si="11">M74-K74</f>
        <v>169.33000000000004</v>
      </c>
      <c r="Q74" s="24">
        <v>45</v>
      </c>
      <c r="S74" s="24">
        <v>45</v>
      </c>
    </row>
    <row r="75" spans="1:19" x14ac:dyDescent="0.3">
      <c r="A75" s="165">
        <v>53</v>
      </c>
      <c r="C75" s="24" t="s">
        <v>243</v>
      </c>
      <c r="E75" s="166">
        <v>44651</v>
      </c>
      <c r="G75" s="24">
        <v>10160</v>
      </c>
      <c r="I75" s="24">
        <v>0</v>
      </c>
      <c r="K75" s="24">
        <v>169.33</v>
      </c>
      <c r="M75" s="24">
        <f>IF($G75=$I75,0,IF(($I75+($G75/S75))&gt;=$G75,$G75-$I75,ROUND($G75/S75,2)))</f>
        <v>225.78</v>
      </c>
      <c r="O75" s="24">
        <f t="shared" si="11"/>
        <v>56.449999999999989</v>
      </c>
      <c r="Q75" s="24">
        <v>45</v>
      </c>
      <c r="S75" s="24">
        <v>45</v>
      </c>
    </row>
    <row r="76" spans="1:19" x14ac:dyDescent="0.3">
      <c r="E76" s="170" t="s">
        <v>242</v>
      </c>
      <c r="G76" s="169">
        <f>SUM(G74:G75)</f>
        <v>40640</v>
      </c>
      <c r="I76" s="169">
        <f>SUM(I74:I75)</f>
        <v>0</v>
      </c>
      <c r="K76" s="169">
        <f>SUM(K74:K75)</f>
        <v>677.33</v>
      </c>
      <c r="M76" s="169">
        <f>SUM(M74:M75)</f>
        <v>903.11</v>
      </c>
      <c r="O76" s="169">
        <f>SUM(O74:O75)</f>
        <v>225.78000000000003</v>
      </c>
    </row>
    <row r="77" spans="1:19" x14ac:dyDescent="0.3">
      <c r="A77" s="164" t="s">
        <v>354</v>
      </c>
    </row>
    <row r="78" spans="1:19" x14ac:dyDescent="0.3">
      <c r="C78" s="24" t="s">
        <v>355</v>
      </c>
      <c r="E78" s="326" t="s">
        <v>356</v>
      </c>
      <c r="G78" s="292">
        <f>Adj!T9</f>
        <v>109350</v>
      </c>
      <c r="I78" s="292">
        <v>0</v>
      </c>
      <c r="K78" s="292">
        <v>0</v>
      </c>
      <c r="M78" s="292">
        <f>IF($G78=$I78,0,IF(($I78+($G78/S78))&gt;=$G78,$G78-$I78,ROUND($G78/S78,2)))</f>
        <v>2733.75</v>
      </c>
      <c r="O78" s="292">
        <f t="shared" ref="O78" si="12">M78-K78</f>
        <v>2733.75</v>
      </c>
      <c r="Q78" s="24">
        <v>0</v>
      </c>
      <c r="S78" s="74">
        <v>40</v>
      </c>
    </row>
    <row r="80" spans="1:19" ht="14.5" thickBot="1" x14ac:dyDescent="0.35">
      <c r="E80" s="168" t="s">
        <v>264</v>
      </c>
      <c r="G80" s="171">
        <f>SUM(G9,G23,G28,G32,G36,G51,G71,G76,G78)</f>
        <v>24564031.050000001</v>
      </c>
      <c r="I80" s="171">
        <f>SUM(I9,I23,I28,I32,I36,I51,I71,I76,I78)</f>
        <v>7531392.2100000009</v>
      </c>
      <c r="K80" s="171">
        <f>SUM(K9,K23,K28,K32,K36,K51,K71,K76,K78)</f>
        <v>519890.92</v>
      </c>
      <c r="M80" s="171">
        <f>SUM(M9,M23,M28,M32,M36,M51,M71,M76,M78)</f>
        <v>431398.12999999995</v>
      </c>
      <c r="O80" s="171">
        <f>SUM(O9,O23,O28,O32,O36,O51,O71,O76,O78)</f>
        <v>-88492.790000000023</v>
      </c>
    </row>
    <row r="81" spans="7:11" ht="14.5" thickTop="1" x14ac:dyDescent="0.3"/>
    <row r="83" spans="7:11" x14ac:dyDescent="0.3">
      <c r="G83" s="24">
        <v>24454681.050000001</v>
      </c>
      <c r="K83" s="24" t="e">
        <f>#REF!</f>
        <v>#REF!</v>
      </c>
    </row>
    <row r="85" spans="7:11" x14ac:dyDescent="0.3">
      <c r="G85" s="24">
        <f>G83-G80</f>
        <v>-109350</v>
      </c>
    </row>
  </sheetData>
  <mergeCells count="3">
    <mergeCell ref="A1:S1"/>
    <mergeCell ref="A2:S2"/>
    <mergeCell ref="K4:O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4"/>
  <sheetViews>
    <sheetView topLeftCell="A3" workbookViewId="0">
      <selection activeCell="J17" sqref="J17"/>
    </sheetView>
  </sheetViews>
  <sheetFormatPr defaultColWidth="8.84375" defaultRowHeight="14" x14ac:dyDescent="0.3"/>
  <cols>
    <col min="1" max="1" width="1.69140625" style="28" customWidth="1"/>
    <col min="2" max="2" width="18.07421875" style="28" customWidth="1"/>
    <col min="3" max="3" width="1.3046875" style="28" customWidth="1"/>
    <col min="4" max="4" width="13" style="28" customWidth="1"/>
    <col min="5" max="5" width="1.765625" style="28" customWidth="1"/>
    <col min="6" max="6" width="9.84375" style="28" customWidth="1"/>
    <col min="7" max="7" width="1.765625" style="28" customWidth="1"/>
    <col min="8" max="8" width="9.84375" style="28" customWidth="1"/>
    <col min="9" max="9" width="1.765625" style="28" customWidth="1"/>
    <col min="10" max="10" width="9.84375" style="28" customWidth="1"/>
    <col min="11" max="11" width="1.3046875" style="28" customWidth="1"/>
    <col min="12" max="12" width="9.84375" style="28" customWidth="1"/>
    <col min="13" max="13" width="1.3046875" style="28" customWidth="1"/>
    <col min="14" max="14" width="9.84375" style="28" customWidth="1"/>
    <col min="15" max="15" width="1.3046875" style="28" customWidth="1"/>
    <col min="16" max="16" width="9.84375" style="28" customWidth="1"/>
    <col min="17" max="17" width="1.3046875" style="28" customWidth="1"/>
    <col min="18" max="18" width="9.84375" style="28" customWidth="1"/>
    <col min="19" max="19" width="1.3046875" style="28" customWidth="1"/>
    <col min="20" max="20" width="9.84375" style="28" customWidth="1"/>
    <col min="21" max="21" width="1.765625" style="28" customWidth="1"/>
    <col min="22" max="22" width="9.84375" style="28" customWidth="1"/>
    <col min="23" max="23" width="0.765625" style="28" customWidth="1"/>
    <col min="24" max="24" width="9.84375" style="28" customWidth="1"/>
    <col min="25" max="25" width="1.765625" style="28" customWidth="1"/>
    <col min="26" max="27" width="8.84375" style="28"/>
    <col min="28" max="28" width="9" style="28" bestFit="1" customWidth="1"/>
    <col min="29" max="16384" width="8.84375" style="28"/>
  </cols>
  <sheetData>
    <row r="1" spans="1:26" ht="15.5" x14ac:dyDescent="0.35">
      <c r="A1" s="27"/>
    </row>
    <row r="2" spans="1:26" ht="15.5" x14ac:dyDescent="0.35">
      <c r="A2" s="66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30"/>
    </row>
    <row r="3" spans="1:26" ht="18" x14ac:dyDescent="0.4">
      <c r="A3" s="67"/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31"/>
    </row>
    <row r="4" spans="1:26" ht="18" x14ac:dyDescent="0.4">
      <c r="A4" s="67"/>
      <c r="B4" s="421" t="s">
        <v>27</v>
      </c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  <c r="R4" s="421"/>
      <c r="S4" s="421"/>
      <c r="T4" s="421"/>
      <c r="U4" s="421"/>
      <c r="V4" s="421"/>
      <c r="W4" s="421"/>
      <c r="X4" s="421"/>
      <c r="Y4" s="31"/>
    </row>
    <row r="5" spans="1:26" ht="18" x14ac:dyDescent="0.35">
      <c r="A5" s="67"/>
      <c r="B5" s="422" t="str">
        <f>Adj!B1</f>
        <v>Morgan County Water District</v>
      </c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  <c r="V5" s="422"/>
      <c r="W5" s="422"/>
      <c r="X5" s="422"/>
      <c r="Y5" s="31"/>
      <c r="Z5" s="32"/>
    </row>
    <row r="6" spans="1:26" ht="15.5" x14ac:dyDescent="0.35">
      <c r="A6" s="67"/>
      <c r="B6" s="423" t="s">
        <v>158</v>
      </c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3"/>
      <c r="Y6" s="31"/>
    </row>
    <row r="7" spans="1:26" ht="15.5" x14ac:dyDescent="0.35">
      <c r="A7" s="67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4"/>
      <c r="X7" s="34"/>
      <c r="Y7" s="31"/>
    </row>
    <row r="8" spans="1:26" ht="15.5" x14ac:dyDescent="0.35">
      <c r="A8" s="67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4"/>
      <c r="X8" s="34"/>
      <c r="Y8" s="31"/>
    </row>
    <row r="9" spans="1:26" ht="15.75" customHeight="1" x14ac:dyDescent="0.35">
      <c r="A9" s="67"/>
      <c r="B9" s="34"/>
      <c r="C9" s="34"/>
      <c r="D9" s="424" t="s">
        <v>178</v>
      </c>
      <c r="E9" s="424"/>
      <c r="F9" s="424"/>
      <c r="G9" s="34"/>
      <c r="H9" s="424" t="s">
        <v>179</v>
      </c>
      <c r="I9" s="424"/>
      <c r="J9" s="424"/>
      <c r="K9" s="34"/>
      <c r="L9" s="424" t="s">
        <v>180</v>
      </c>
      <c r="M9" s="424"/>
      <c r="N9" s="424"/>
      <c r="O9" s="34"/>
      <c r="P9" s="424" t="s">
        <v>181</v>
      </c>
      <c r="Q9" s="424"/>
      <c r="R9" s="424"/>
      <c r="S9" s="34"/>
      <c r="T9" s="424" t="s">
        <v>182</v>
      </c>
      <c r="U9" s="424"/>
      <c r="V9" s="424"/>
      <c r="W9" s="34"/>
      <c r="X9" s="40" t="s">
        <v>183</v>
      </c>
      <c r="Y9" s="31"/>
    </row>
    <row r="10" spans="1:26" ht="15.5" x14ac:dyDescent="0.35">
      <c r="A10" s="67"/>
      <c r="B10" s="43" t="s">
        <v>56</v>
      </c>
      <c r="C10" s="34"/>
      <c r="D10" s="43" t="s">
        <v>28</v>
      </c>
      <c r="E10" s="34"/>
      <c r="F10" s="160" t="s">
        <v>29</v>
      </c>
      <c r="G10" s="34"/>
      <c r="H10" s="43" t="s">
        <v>28</v>
      </c>
      <c r="I10" s="34"/>
      <c r="J10" s="160" t="s">
        <v>29</v>
      </c>
      <c r="K10" s="34"/>
      <c r="L10" s="43" t="s">
        <v>28</v>
      </c>
      <c r="M10" s="34"/>
      <c r="N10" s="160" t="s">
        <v>29</v>
      </c>
      <c r="O10" s="34"/>
      <c r="P10" s="43" t="s">
        <v>28</v>
      </c>
      <c r="Q10" s="34"/>
      <c r="R10" s="160" t="s">
        <v>29</v>
      </c>
      <c r="S10" s="34"/>
      <c r="T10" s="43" t="s">
        <v>28</v>
      </c>
      <c r="U10" s="34"/>
      <c r="V10" s="160" t="s">
        <v>29</v>
      </c>
      <c r="W10" s="34"/>
      <c r="X10" s="43" t="s">
        <v>138</v>
      </c>
      <c r="Y10" s="31"/>
    </row>
    <row r="11" spans="1:26" ht="15.5" x14ac:dyDescent="0.35">
      <c r="A11" s="67"/>
      <c r="B11" s="36" t="s">
        <v>184</v>
      </c>
      <c r="C11" s="34"/>
      <c r="D11" s="37">
        <f>'Amt Schedules'!C9</f>
        <v>9000</v>
      </c>
      <c r="E11" s="37"/>
      <c r="F11" s="37">
        <f>'Amt Schedules'!E9</f>
        <v>6435</v>
      </c>
      <c r="G11" s="37"/>
      <c r="H11" s="37">
        <f>'Amt Schedules'!C10</f>
        <v>9000</v>
      </c>
      <c r="I11" s="37"/>
      <c r="J11" s="37">
        <f>'Amt Schedules'!E10</f>
        <v>6143</v>
      </c>
      <c r="K11" s="37"/>
      <c r="L11" s="37">
        <f>'Amt Schedules'!C11</f>
        <v>9500</v>
      </c>
      <c r="M11" s="37"/>
      <c r="N11" s="37">
        <f>'Amt Schedules'!E11</f>
        <v>5850</v>
      </c>
      <c r="O11" s="37"/>
      <c r="P11" s="37">
        <f>'Amt Schedules'!C12</f>
        <v>10000</v>
      </c>
      <c r="Q11" s="37"/>
      <c r="R11" s="37">
        <f>'Amt Schedules'!E12</f>
        <v>5541</v>
      </c>
      <c r="S11" s="37"/>
      <c r="T11" s="37">
        <f>'Amt Schedules'!C13</f>
        <v>10000</v>
      </c>
      <c r="U11" s="37"/>
      <c r="V11" s="37">
        <f>'Amt Schedules'!E13</f>
        <v>5216</v>
      </c>
      <c r="W11" s="34"/>
      <c r="X11" s="37">
        <v>76685</v>
      </c>
      <c r="Y11" s="31"/>
    </row>
    <row r="12" spans="1:26" ht="15.5" x14ac:dyDescent="0.35">
      <c r="A12" s="67"/>
      <c r="B12" s="36" t="s">
        <v>185</v>
      </c>
      <c r="C12" s="34"/>
      <c r="D12" s="38">
        <f>'Amt Schedules'!K9</f>
        <v>22000</v>
      </c>
      <c r="E12" s="38"/>
      <c r="F12" s="38">
        <f>'Amt Schedules'!M9</f>
        <v>30979</v>
      </c>
      <c r="G12" s="38"/>
      <c r="H12" s="38">
        <f>'Amt Schedules'!K10</f>
        <v>22000</v>
      </c>
      <c r="I12" s="38"/>
      <c r="J12" s="38">
        <f>'Amt Schedules'!M10</f>
        <v>30071</v>
      </c>
      <c r="K12" s="38"/>
      <c r="L12" s="38">
        <f>'Amt Schedules'!K11</f>
        <v>23000</v>
      </c>
      <c r="M12" s="38"/>
      <c r="N12" s="38">
        <f>'Amt Schedules'!M11</f>
        <v>29164</v>
      </c>
      <c r="O12" s="38"/>
      <c r="P12" s="38">
        <f>'Amt Schedules'!K12</f>
        <v>24000</v>
      </c>
      <c r="Q12" s="38"/>
      <c r="R12" s="38">
        <f>'Amt Schedules'!M12</f>
        <v>28215</v>
      </c>
      <c r="S12" s="38"/>
      <c r="T12" s="38">
        <f>'Amt Schedules'!K13</f>
        <v>25000</v>
      </c>
      <c r="U12" s="38"/>
      <c r="V12" s="38">
        <f>'Amt Schedules'!M13</f>
        <v>27225</v>
      </c>
      <c r="W12" s="34"/>
      <c r="X12" s="34">
        <v>261654</v>
      </c>
      <c r="Y12" s="31"/>
    </row>
    <row r="13" spans="1:26" ht="15.5" x14ac:dyDescent="0.35">
      <c r="A13" s="67"/>
      <c r="B13" s="36" t="s">
        <v>186</v>
      </c>
      <c r="C13" s="34"/>
      <c r="D13" s="38">
        <f>'Amt Schedules'!S9</f>
        <v>27680</v>
      </c>
      <c r="E13" s="38"/>
      <c r="F13" s="38">
        <f>'Amt Schedules'!U9</f>
        <v>48333</v>
      </c>
      <c r="G13" s="38"/>
      <c r="H13" s="38">
        <f>'Amt Schedules'!S10</f>
        <v>28820</v>
      </c>
      <c r="I13" s="38"/>
      <c r="J13" s="38">
        <f>'Amt Schedules'!U10</f>
        <v>47191</v>
      </c>
      <c r="K13" s="38"/>
      <c r="L13" s="38">
        <f>'Amt Schedules'!S10</f>
        <v>28820</v>
      </c>
      <c r="M13" s="38"/>
      <c r="N13" s="38">
        <f>'Amt Schedules'!U11</f>
        <v>46002</v>
      </c>
      <c r="O13" s="38"/>
      <c r="P13" s="38">
        <f>'Amt Schedules'!S12</f>
        <v>31250</v>
      </c>
      <c r="Q13" s="38"/>
      <c r="R13" s="38">
        <f>'Amt Schedules'!U12</f>
        <v>44764</v>
      </c>
      <c r="S13" s="38"/>
      <c r="T13" s="38">
        <f>'Amt Schedules'!S13</f>
        <v>32540</v>
      </c>
      <c r="U13" s="38"/>
      <c r="V13" s="38">
        <f>'Amt Schedules'!U13</f>
        <v>43475</v>
      </c>
      <c r="W13" s="34"/>
      <c r="X13" s="34">
        <v>380065</v>
      </c>
      <c r="Y13" s="31"/>
    </row>
    <row r="14" spans="1:26" ht="15.5" x14ac:dyDescent="0.35">
      <c r="A14" s="67"/>
      <c r="B14" s="36" t="s">
        <v>187</v>
      </c>
      <c r="C14" s="34"/>
      <c r="D14" s="38">
        <f>'Amt Schedules'!AA9</f>
        <v>6500</v>
      </c>
      <c r="E14" s="38"/>
      <c r="F14" s="38">
        <f>'Amt Schedules'!AC9</f>
        <v>3361</v>
      </c>
      <c r="G14" s="38"/>
      <c r="H14" s="38">
        <f>'Amt Schedules'!AA10</f>
        <v>6500</v>
      </c>
      <c r="I14" s="38"/>
      <c r="J14" s="38">
        <f>'Amt Schedules'!AC10</f>
        <v>3288</v>
      </c>
      <c r="K14" s="38"/>
      <c r="L14" s="38">
        <f>'Amt Schedules'!AA11</f>
        <v>6500</v>
      </c>
      <c r="M14" s="38"/>
      <c r="N14" s="38">
        <f>'Amt Schedules'!AC11</f>
        <v>3215</v>
      </c>
      <c r="O14" s="38"/>
      <c r="P14" s="38">
        <f>'Amt Schedules'!AA12</f>
        <v>6500</v>
      </c>
      <c r="Q14" s="38"/>
      <c r="R14" s="38">
        <f>'Amt Schedules'!AC12</f>
        <v>3142</v>
      </c>
      <c r="S14" s="38"/>
      <c r="T14" s="38">
        <f>'Amt Schedules'!AA13</f>
        <v>6500</v>
      </c>
      <c r="U14" s="38"/>
      <c r="V14" s="38">
        <f>'Amt Schedules'!AC13</f>
        <v>3068</v>
      </c>
      <c r="W14" s="34"/>
      <c r="X14" s="34">
        <v>48574</v>
      </c>
      <c r="Y14" s="31"/>
    </row>
    <row r="15" spans="1:26" ht="15.5" x14ac:dyDescent="0.35">
      <c r="A15" s="67"/>
      <c r="B15" s="36" t="s">
        <v>188</v>
      </c>
      <c r="C15" s="34"/>
      <c r="D15" s="44">
        <f>'Amt Schedules'!AI9</f>
        <v>55000</v>
      </c>
      <c r="E15" s="38"/>
      <c r="F15" s="44">
        <f>'Amt Schedules'!AK9</f>
        <v>40062</v>
      </c>
      <c r="G15" s="38"/>
      <c r="H15" s="44">
        <f>'Amt Schedules'!AI10</f>
        <v>60000</v>
      </c>
      <c r="I15" s="38"/>
      <c r="J15" s="44">
        <f>'Amt Schedules'!AK10</f>
        <v>37762</v>
      </c>
      <c r="K15" s="38"/>
      <c r="L15" s="44">
        <f>'Amt Schedules'!AI11</f>
        <v>60000</v>
      </c>
      <c r="M15" s="38"/>
      <c r="N15" s="44">
        <f>'Amt Schedules'!AK11</f>
        <v>35062</v>
      </c>
      <c r="O15" s="38"/>
      <c r="P15" s="44">
        <f>'Amt Schedules'!AI12</f>
        <v>65000</v>
      </c>
      <c r="Q15" s="38"/>
      <c r="R15" s="44">
        <f>'Amt Schedules'!AK12</f>
        <v>32262</v>
      </c>
      <c r="S15" s="38"/>
      <c r="T15" s="44">
        <f>'Amt Schedules'!AI13</f>
        <v>65000</v>
      </c>
      <c r="U15" s="38"/>
      <c r="V15" s="44">
        <f>'Amt Schedules'!AK13</f>
        <v>29662</v>
      </c>
      <c r="W15" s="34"/>
      <c r="X15" s="42">
        <v>479810</v>
      </c>
      <c r="Y15" s="31"/>
    </row>
    <row r="16" spans="1:26" ht="16" thickBot="1" x14ac:dyDescent="0.4">
      <c r="A16" s="67"/>
      <c r="B16" s="35" t="s">
        <v>189</v>
      </c>
      <c r="C16" s="34"/>
      <c r="D16" s="161">
        <f>SUM(D11:D15)</f>
        <v>120180</v>
      </c>
      <c r="E16" s="40"/>
      <c r="F16" s="161">
        <f>SUM(F11:F15)</f>
        <v>129170</v>
      </c>
      <c r="G16" s="40"/>
      <c r="H16" s="161">
        <f>SUM(H11:H15)</f>
        <v>126320</v>
      </c>
      <c r="I16" s="40"/>
      <c r="J16" s="161">
        <f>SUM(J11:J15)</f>
        <v>124455</v>
      </c>
      <c r="K16" s="40"/>
      <c r="L16" s="161">
        <f>SUM(L11:L15)</f>
        <v>127820</v>
      </c>
      <c r="M16" s="40"/>
      <c r="N16" s="161">
        <f>SUM(N11:N15)</f>
        <v>119293</v>
      </c>
      <c r="O16" s="40"/>
      <c r="P16" s="161">
        <f>SUM(P11:P15)</f>
        <v>136750</v>
      </c>
      <c r="Q16" s="40"/>
      <c r="R16" s="161">
        <f>SUM(R11:R15)</f>
        <v>113924</v>
      </c>
      <c r="S16" s="40"/>
      <c r="T16" s="161">
        <f>SUM(T11:T15)</f>
        <v>139040</v>
      </c>
      <c r="U16" s="40"/>
      <c r="V16" s="161">
        <f>SUM(V11:V15)</f>
        <v>108646</v>
      </c>
      <c r="W16" s="34"/>
      <c r="X16" s="161">
        <f>SUM(X11:X15)</f>
        <v>1246788</v>
      </c>
      <c r="Y16" s="31"/>
    </row>
    <row r="17" spans="1:25" ht="16" thickTop="1" x14ac:dyDescent="0.35">
      <c r="A17" s="67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4"/>
      <c r="X17" s="39"/>
      <c r="Y17" s="31"/>
    </row>
    <row r="18" spans="1:25" ht="16" thickBot="1" x14ac:dyDescent="0.4">
      <c r="A18" s="67"/>
      <c r="B18" s="35" t="s">
        <v>137</v>
      </c>
      <c r="C18" s="35"/>
      <c r="D18" s="162">
        <f>ROUND(D16/5,0)</f>
        <v>24036</v>
      </c>
      <c r="E18" s="39"/>
      <c r="F18" s="162">
        <f>ROUND(F16/5,0)</f>
        <v>25834</v>
      </c>
      <c r="G18" s="39"/>
      <c r="H18" s="162">
        <f>ROUND(H16/5,0)</f>
        <v>25264</v>
      </c>
      <c r="I18" s="39"/>
      <c r="J18" s="162">
        <f>ROUND(J16/5,0)</f>
        <v>24891</v>
      </c>
      <c r="K18" s="39"/>
      <c r="L18" s="162">
        <f>ROUND(L16/5,0)</f>
        <v>25564</v>
      </c>
      <c r="M18" s="39"/>
      <c r="N18" s="162">
        <f>ROUND(N16/5,0)</f>
        <v>23859</v>
      </c>
      <c r="O18" s="39"/>
      <c r="P18" s="162">
        <f>ROUND(P16/5,0)</f>
        <v>27350</v>
      </c>
      <c r="Q18" s="39"/>
      <c r="R18" s="162">
        <f>ROUND(R16/5,0)</f>
        <v>22785</v>
      </c>
      <c r="S18" s="39"/>
      <c r="T18" s="162">
        <f>ROUND(T16/5,0)</f>
        <v>27808</v>
      </c>
      <c r="U18" s="39"/>
      <c r="V18" s="162">
        <f>ROUND(V16/5,0)</f>
        <v>21729</v>
      </c>
      <c r="W18" s="34"/>
      <c r="X18" s="162">
        <f>ROUND(X16/5,0)</f>
        <v>249358</v>
      </c>
      <c r="Y18" s="31"/>
    </row>
    <row r="19" spans="1:25" ht="16" thickTop="1" x14ac:dyDescent="0.35">
      <c r="A19" s="68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69"/>
    </row>
    <row r="20" spans="1:25" ht="15.5" x14ac:dyDescent="0.35">
      <c r="A20" s="27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</row>
    <row r="21" spans="1:25" ht="15.5" x14ac:dyDescent="0.35">
      <c r="A21" s="27"/>
      <c r="B21" s="35" t="s">
        <v>190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7">
        <f>SUM(D18,H18,L18,P18,T18)</f>
        <v>130022</v>
      </c>
    </row>
    <row r="22" spans="1:25" ht="15.5" x14ac:dyDescent="0.35">
      <c r="A22" s="27"/>
      <c r="B22" s="35" t="s">
        <v>191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34"/>
      <c r="X22" s="42">
        <f>SUM(F18,J18,N18,R18,V18)</f>
        <v>119098</v>
      </c>
    </row>
    <row r="23" spans="1:25" ht="16" thickBot="1" x14ac:dyDescent="0.4">
      <c r="A23" s="27"/>
      <c r="B23" s="41" t="s">
        <v>57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X23" s="161">
        <f>SUM(X21:X22)</f>
        <v>249120</v>
      </c>
    </row>
    <row r="24" spans="1:25" ht="14.5" thickTop="1" x14ac:dyDescent="0.3"/>
  </sheetData>
  <mergeCells count="9">
    <mergeCell ref="B3:X3"/>
    <mergeCell ref="B4:X4"/>
    <mergeCell ref="B5:X5"/>
    <mergeCell ref="B6:X6"/>
    <mergeCell ref="D9:F9"/>
    <mergeCell ref="H9:J9"/>
    <mergeCell ref="L9:N9"/>
    <mergeCell ref="P9:R9"/>
    <mergeCell ref="T9:V9"/>
  </mergeCells>
  <printOptions horizontalCentered="1"/>
  <pageMargins left="0.6" right="0.5" top="1.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FEB6C-E0D4-4131-A92E-F40B0DC8710B}">
  <dimension ref="A1:AM48"/>
  <sheetViews>
    <sheetView workbookViewId="0">
      <selection activeCell="I4" sqref="I4:O4"/>
    </sheetView>
  </sheetViews>
  <sheetFormatPr defaultColWidth="9.84375" defaultRowHeight="15.5" x14ac:dyDescent="0.35"/>
  <cols>
    <col min="1" max="1" width="11.4609375" style="277" customWidth="1"/>
    <col min="2" max="2" width="1.3046875" style="278" customWidth="1"/>
    <col min="3" max="3" width="11.4609375" style="278" customWidth="1"/>
    <col min="4" max="4" width="1.3046875" style="278" customWidth="1"/>
    <col min="5" max="5" width="11.4609375" style="278" customWidth="1"/>
    <col min="6" max="6" width="1.3046875" style="278" customWidth="1"/>
    <col min="7" max="7" width="11.4609375" style="278" customWidth="1"/>
    <col min="8" max="8" width="5.765625" style="278" customWidth="1"/>
    <col min="9" max="9" width="11.4609375" style="277" customWidth="1"/>
    <col min="10" max="10" width="1.3046875" style="278" customWidth="1"/>
    <col min="11" max="11" width="11.4609375" style="278" customWidth="1"/>
    <col min="12" max="12" width="1.3046875" style="278" customWidth="1"/>
    <col min="13" max="13" width="11.4609375" style="278" customWidth="1"/>
    <col min="14" max="14" width="1.3046875" style="278" customWidth="1"/>
    <col min="15" max="15" width="11.4609375" style="278" customWidth="1"/>
    <col min="16" max="16" width="5.765625" style="278" customWidth="1"/>
    <col min="17" max="17" width="11.4609375" style="277" customWidth="1"/>
    <col min="18" max="18" width="1.3046875" style="278" customWidth="1"/>
    <col min="19" max="19" width="11.4609375" style="278" customWidth="1"/>
    <col min="20" max="20" width="1.3046875" style="278" customWidth="1"/>
    <col min="21" max="21" width="11.4609375" style="278" customWidth="1"/>
    <col min="22" max="22" width="1.3046875" style="278" customWidth="1"/>
    <col min="23" max="23" width="11.4609375" style="278" customWidth="1"/>
    <col min="24" max="24" width="5.765625" style="278" customWidth="1"/>
    <col min="25" max="25" width="11.4609375" style="277" customWidth="1"/>
    <col min="26" max="26" width="1.3046875" style="278" customWidth="1"/>
    <col min="27" max="27" width="11.4609375" style="278" customWidth="1"/>
    <col min="28" max="28" width="1.3046875" style="278" customWidth="1"/>
    <col min="29" max="29" width="11.4609375" style="278" customWidth="1"/>
    <col min="30" max="30" width="1.3046875" style="278" customWidth="1"/>
    <col min="31" max="31" width="11.4609375" style="278" customWidth="1"/>
    <col min="32" max="32" width="5.765625" style="278" customWidth="1"/>
    <col min="33" max="33" width="11.4609375" style="277" customWidth="1"/>
    <col min="34" max="34" width="1.3046875" style="278" customWidth="1"/>
    <col min="35" max="35" width="11.4609375" style="278" customWidth="1"/>
    <col min="36" max="36" width="1.3046875" style="278" customWidth="1"/>
    <col min="37" max="37" width="11.4609375" style="278" customWidth="1"/>
    <col min="38" max="38" width="1.3046875" style="278" customWidth="1"/>
    <col min="39" max="39" width="11.4609375" style="278" customWidth="1"/>
    <col min="40" max="16384" width="9.84375" style="278"/>
  </cols>
  <sheetData>
    <row r="1" spans="1:39" ht="20" x14ac:dyDescent="0.4">
      <c r="A1" s="425" t="s">
        <v>324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425"/>
      <c r="AA1" s="425"/>
      <c r="AB1" s="425"/>
      <c r="AC1" s="425"/>
      <c r="AD1" s="425"/>
      <c r="AE1" s="425"/>
      <c r="AF1" s="425"/>
      <c r="AG1" s="425"/>
      <c r="AH1" s="425"/>
      <c r="AI1" s="425"/>
      <c r="AJ1" s="425"/>
      <c r="AK1" s="425"/>
      <c r="AL1" s="425"/>
      <c r="AM1" s="425"/>
    </row>
    <row r="2" spans="1:39" ht="20" x14ac:dyDescent="0.4">
      <c r="A2" s="425" t="s">
        <v>325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</row>
    <row r="5" spans="1:39" x14ac:dyDescent="0.35">
      <c r="A5" s="426" t="s">
        <v>318</v>
      </c>
      <c r="B5" s="426"/>
      <c r="C5" s="426"/>
      <c r="D5" s="426"/>
      <c r="E5" s="426"/>
      <c r="F5" s="426"/>
      <c r="G5" s="426"/>
      <c r="I5" s="426" t="s">
        <v>320</v>
      </c>
      <c r="J5" s="426"/>
      <c r="K5" s="426"/>
      <c r="L5" s="426"/>
      <c r="M5" s="426"/>
      <c r="N5" s="426"/>
      <c r="O5" s="426"/>
      <c r="Q5" s="427" t="s">
        <v>321</v>
      </c>
      <c r="R5" s="427"/>
      <c r="S5" s="427"/>
      <c r="T5" s="427"/>
      <c r="U5" s="427"/>
      <c r="V5" s="427"/>
      <c r="W5" s="427"/>
      <c r="Y5" s="426" t="s">
        <v>322</v>
      </c>
      <c r="Z5" s="426"/>
      <c r="AA5" s="426"/>
      <c r="AB5" s="426"/>
      <c r="AC5" s="426"/>
      <c r="AD5" s="426"/>
      <c r="AE5" s="426"/>
      <c r="AG5" s="426" t="s">
        <v>323</v>
      </c>
      <c r="AH5" s="426"/>
      <c r="AI5" s="426"/>
      <c r="AJ5" s="426"/>
      <c r="AK5" s="426"/>
      <c r="AL5" s="426"/>
      <c r="AM5" s="426"/>
    </row>
    <row r="6" spans="1:39" x14ac:dyDescent="0.35">
      <c r="A6" s="279"/>
      <c r="C6" s="280"/>
      <c r="E6" s="280"/>
      <c r="G6" s="280" t="s">
        <v>317</v>
      </c>
      <c r="I6" s="279"/>
      <c r="K6" s="280"/>
      <c r="M6" s="280"/>
      <c r="O6" s="280" t="s">
        <v>317</v>
      </c>
      <c r="Q6" s="279"/>
      <c r="S6" s="280"/>
      <c r="U6" s="280"/>
      <c r="W6" s="280" t="s">
        <v>317</v>
      </c>
      <c r="Y6" s="279"/>
      <c r="AA6" s="280"/>
      <c r="AC6" s="280"/>
      <c r="AE6" s="280" t="s">
        <v>317</v>
      </c>
      <c r="AG6" s="279"/>
      <c r="AI6" s="280"/>
      <c r="AK6" s="280"/>
      <c r="AM6" s="280" t="s">
        <v>317</v>
      </c>
    </row>
    <row r="7" spans="1:39" x14ac:dyDescent="0.35">
      <c r="A7" s="281" t="s">
        <v>319</v>
      </c>
      <c r="C7" s="282" t="s">
        <v>28</v>
      </c>
      <c r="E7" s="282" t="s">
        <v>29</v>
      </c>
      <c r="G7" s="282" t="s">
        <v>255</v>
      </c>
      <c r="I7" s="281" t="s">
        <v>319</v>
      </c>
      <c r="K7" s="282" t="s">
        <v>28</v>
      </c>
      <c r="M7" s="282" t="s">
        <v>29</v>
      </c>
      <c r="O7" s="282" t="s">
        <v>255</v>
      </c>
      <c r="Q7" s="281" t="s">
        <v>319</v>
      </c>
      <c r="S7" s="282" t="s">
        <v>28</v>
      </c>
      <c r="U7" s="282" t="s">
        <v>29</v>
      </c>
      <c r="W7" s="282" t="s">
        <v>255</v>
      </c>
      <c r="Y7" s="281" t="s">
        <v>319</v>
      </c>
      <c r="AA7" s="282" t="s">
        <v>28</v>
      </c>
      <c r="AC7" s="282" t="s">
        <v>29</v>
      </c>
      <c r="AE7" s="282" t="s">
        <v>255</v>
      </c>
      <c r="AG7" s="281" t="s">
        <v>319</v>
      </c>
      <c r="AI7" s="282" t="s">
        <v>28</v>
      </c>
      <c r="AK7" s="282" t="s">
        <v>29</v>
      </c>
      <c r="AM7" s="282" t="s">
        <v>255</v>
      </c>
    </row>
    <row r="8" spans="1:39" x14ac:dyDescent="0.35">
      <c r="A8" s="279">
        <v>2023</v>
      </c>
      <c r="C8" s="278">
        <v>8500</v>
      </c>
      <c r="E8" s="278">
        <v>6711</v>
      </c>
      <c r="G8" s="278">
        <f>SUM(C8,E8)</f>
        <v>15211</v>
      </c>
      <c r="I8" s="279">
        <v>2023</v>
      </c>
      <c r="K8" s="278">
        <v>21000</v>
      </c>
      <c r="M8" s="278">
        <v>31845</v>
      </c>
      <c r="O8" s="278">
        <f>SUM(K8,M8)</f>
        <v>52845</v>
      </c>
      <c r="Q8" s="279">
        <v>2023</v>
      </c>
      <c r="S8" s="278">
        <v>26590</v>
      </c>
      <c r="U8" s="278">
        <v>49429</v>
      </c>
      <c r="W8" s="278">
        <f>SUM(S8,U8)</f>
        <v>76019</v>
      </c>
      <c r="Y8" s="279">
        <v>2023</v>
      </c>
      <c r="AA8" s="278">
        <v>6500</v>
      </c>
      <c r="AC8" s="278">
        <v>3434</v>
      </c>
      <c r="AE8" s="278">
        <f>SUM(AA8,AC8)</f>
        <v>9934</v>
      </c>
      <c r="AG8" s="279">
        <v>2023</v>
      </c>
      <c r="AI8" s="278">
        <v>55000</v>
      </c>
      <c r="AK8" s="278">
        <v>42537</v>
      </c>
      <c r="AM8" s="278">
        <f>SUM(AI8,AK8)</f>
        <v>97537</v>
      </c>
    </row>
    <row r="9" spans="1:39" x14ac:dyDescent="0.35">
      <c r="A9" s="279">
        <v>2024</v>
      </c>
      <c r="C9" s="278">
        <v>9000</v>
      </c>
      <c r="E9" s="278">
        <v>6435</v>
      </c>
      <c r="G9" s="278">
        <f t="shared" ref="G9:G24" si="0">SUM(C9,E9)</f>
        <v>15435</v>
      </c>
      <c r="I9" s="279">
        <v>2024</v>
      </c>
      <c r="K9" s="278">
        <v>22000</v>
      </c>
      <c r="M9" s="278">
        <v>30979</v>
      </c>
      <c r="O9" s="278">
        <f t="shared" ref="O9:O29" si="1">SUM(K9,M9)</f>
        <v>52979</v>
      </c>
      <c r="Q9" s="279">
        <v>2024</v>
      </c>
      <c r="S9" s="278">
        <v>27680</v>
      </c>
      <c r="U9" s="278">
        <v>48333</v>
      </c>
      <c r="W9" s="278">
        <f t="shared" ref="W9:W46" si="2">SUM(S9,U9)</f>
        <v>76013</v>
      </c>
      <c r="Y9" s="279">
        <v>2024</v>
      </c>
      <c r="AA9" s="278">
        <v>6500</v>
      </c>
      <c r="AC9" s="278">
        <v>3361</v>
      </c>
      <c r="AE9" s="278">
        <f>SUM(AA9,AC9)</f>
        <v>9861</v>
      </c>
      <c r="AG9" s="279">
        <v>2024</v>
      </c>
      <c r="AI9" s="278">
        <v>55000</v>
      </c>
      <c r="AK9" s="278">
        <v>40062</v>
      </c>
      <c r="AM9" s="278">
        <f t="shared" ref="AM9:AM46" si="3">SUM(AI9,AK9)</f>
        <v>95062</v>
      </c>
    </row>
    <row r="10" spans="1:39" x14ac:dyDescent="0.35">
      <c r="A10" s="279">
        <v>2025</v>
      </c>
      <c r="C10" s="278">
        <v>9000</v>
      </c>
      <c r="E10" s="278">
        <v>6143</v>
      </c>
      <c r="G10" s="278">
        <f t="shared" si="0"/>
        <v>15143</v>
      </c>
      <c r="I10" s="279">
        <v>2025</v>
      </c>
      <c r="K10" s="278">
        <v>22000</v>
      </c>
      <c r="M10" s="278">
        <v>30071</v>
      </c>
      <c r="O10" s="278">
        <f t="shared" si="1"/>
        <v>52071</v>
      </c>
      <c r="Q10" s="279">
        <v>2025</v>
      </c>
      <c r="S10" s="278">
        <v>28820</v>
      </c>
      <c r="U10" s="278">
        <v>47191</v>
      </c>
      <c r="W10" s="278">
        <f t="shared" si="2"/>
        <v>76011</v>
      </c>
      <c r="Y10" s="279">
        <v>2025</v>
      </c>
      <c r="AA10" s="278">
        <v>6500</v>
      </c>
      <c r="AC10" s="278">
        <v>3288</v>
      </c>
      <c r="AE10" s="278">
        <f t="shared" ref="AE10:AE46" si="4">SUM(AA10,AC10)</f>
        <v>9788</v>
      </c>
      <c r="AG10" s="279">
        <v>2025</v>
      </c>
      <c r="AI10" s="278">
        <v>60000</v>
      </c>
      <c r="AK10" s="278">
        <v>37762</v>
      </c>
      <c r="AM10" s="278">
        <f t="shared" si="3"/>
        <v>97762</v>
      </c>
    </row>
    <row r="11" spans="1:39" x14ac:dyDescent="0.35">
      <c r="A11" s="279">
        <v>2026</v>
      </c>
      <c r="C11" s="278">
        <v>9500</v>
      </c>
      <c r="E11" s="278">
        <v>5850</v>
      </c>
      <c r="G11" s="278">
        <f t="shared" si="0"/>
        <v>15350</v>
      </c>
      <c r="I11" s="279">
        <v>2026</v>
      </c>
      <c r="K11" s="278">
        <v>23000</v>
      </c>
      <c r="M11" s="278">
        <v>29164</v>
      </c>
      <c r="O11" s="278">
        <f t="shared" si="1"/>
        <v>52164</v>
      </c>
      <c r="Q11" s="279">
        <v>2026</v>
      </c>
      <c r="S11" s="278">
        <v>30010</v>
      </c>
      <c r="U11" s="278">
        <v>46002</v>
      </c>
      <c r="W11" s="278">
        <f t="shared" si="2"/>
        <v>76012</v>
      </c>
      <c r="Y11" s="279">
        <v>2026</v>
      </c>
      <c r="AA11" s="278">
        <v>6500</v>
      </c>
      <c r="AC11" s="278">
        <v>3215</v>
      </c>
      <c r="AE11" s="278">
        <f t="shared" si="4"/>
        <v>9715</v>
      </c>
      <c r="AG11" s="279">
        <v>2026</v>
      </c>
      <c r="AI11" s="278">
        <v>60000</v>
      </c>
      <c r="AK11" s="278">
        <v>35062</v>
      </c>
      <c r="AM11" s="278">
        <f t="shared" si="3"/>
        <v>95062</v>
      </c>
    </row>
    <row r="12" spans="1:39" x14ac:dyDescent="0.35">
      <c r="A12" s="279">
        <v>2027</v>
      </c>
      <c r="C12" s="278">
        <v>10000</v>
      </c>
      <c r="E12" s="278">
        <v>5541</v>
      </c>
      <c r="G12" s="278">
        <f t="shared" si="0"/>
        <v>15541</v>
      </c>
      <c r="I12" s="279">
        <v>2027</v>
      </c>
      <c r="K12" s="278">
        <v>24000</v>
      </c>
      <c r="M12" s="278">
        <v>28215</v>
      </c>
      <c r="O12" s="278">
        <f t="shared" si="1"/>
        <v>52215</v>
      </c>
      <c r="Q12" s="279">
        <v>2027</v>
      </c>
      <c r="S12" s="278">
        <v>31250</v>
      </c>
      <c r="U12" s="278">
        <v>44764</v>
      </c>
      <c r="W12" s="278">
        <f t="shared" si="2"/>
        <v>76014</v>
      </c>
      <c r="Y12" s="279">
        <v>2027</v>
      </c>
      <c r="AA12" s="278">
        <v>6500</v>
      </c>
      <c r="AC12" s="278">
        <v>3142</v>
      </c>
      <c r="AE12" s="278">
        <f t="shared" si="4"/>
        <v>9642</v>
      </c>
      <c r="AG12" s="279">
        <v>2027</v>
      </c>
      <c r="AI12" s="278">
        <v>65000</v>
      </c>
      <c r="AK12" s="278">
        <v>32262</v>
      </c>
      <c r="AM12" s="278">
        <f t="shared" si="3"/>
        <v>97262</v>
      </c>
    </row>
    <row r="13" spans="1:39" x14ac:dyDescent="0.35">
      <c r="A13" s="279">
        <v>2028</v>
      </c>
      <c r="C13" s="278">
        <v>10000</v>
      </c>
      <c r="E13" s="278">
        <v>5216</v>
      </c>
      <c r="G13" s="278">
        <f t="shared" si="0"/>
        <v>15216</v>
      </c>
      <c r="I13" s="279">
        <v>2028</v>
      </c>
      <c r="K13" s="278">
        <v>25000</v>
      </c>
      <c r="M13" s="278">
        <v>27225</v>
      </c>
      <c r="O13" s="278">
        <f t="shared" si="1"/>
        <v>52225</v>
      </c>
      <c r="Q13" s="279">
        <v>2028</v>
      </c>
      <c r="S13" s="278">
        <v>32540</v>
      </c>
      <c r="U13" s="278">
        <v>43475</v>
      </c>
      <c r="W13" s="278">
        <f t="shared" si="2"/>
        <v>76015</v>
      </c>
      <c r="Y13" s="279">
        <v>2028</v>
      </c>
      <c r="AA13" s="278">
        <v>6500</v>
      </c>
      <c r="AC13" s="278">
        <v>3068</v>
      </c>
      <c r="AE13" s="278">
        <f t="shared" si="4"/>
        <v>9568</v>
      </c>
      <c r="AG13" s="279">
        <v>2028</v>
      </c>
      <c r="AI13" s="278">
        <v>65000</v>
      </c>
      <c r="AK13" s="278">
        <v>29662</v>
      </c>
      <c r="AM13" s="278">
        <f t="shared" si="3"/>
        <v>94662</v>
      </c>
    </row>
    <row r="14" spans="1:39" x14ac:dyDescent="0.35">
      <c r="A14" s="279">
        <v>2029</v>
      </c>
      <c r="C14" s="278">
        <v>10500</v>
      </c>
      <c r="E14" s="278">
        <v>4891</v>
      </c>
      <c r="G14" s="278">
        <f t="shared" si="0"/>
        <v>15391</v>
      </c>
      <c r="I14" s="279">
        <v>2029</v>
      </c>
      <c r="K14" s="278">
        <v>26000</v>
      </c>
      <c r="M14" s="278">
        <v>26194</v>
      </c>
      <c r="O14" s="278">
        <f t="shared" si="1"/>
        <v>52194</v>
      </c>
      <c r="Q14" s="279">
        <v>2029</v>
      </c>
      <c r="S14" s="278">
        <v>33880</v>
      </c>
      <c r="U14" s="278">
        <v>42133</v>
      </c>
      <c r="W14" s="278">
        <f t="shared" si="2"/>
        <v>76013</v>
      </c>
      <c r="Y14" s="279">
        <v>2029</v>
      </c>
      <c r="AA14" s="278">
        <v>7000</v>
      </c>
      <c r="AC14" s="278">
        <v>2993</v>
      </c>
      <c r="AE14" s="278">
        <f t="shared" si="4"/>
        <v>9993</v>
      </c>
      <c r="AG14" s="279">
        <v>2029</v>
      </c>
      <c r="AI14" s="278">
        <v>65000</v>
      </c>
      <c r="AK14" s="278">
        <v>27062</v>
      </c>
      <c r="AM14" s="278">
        <f t="shared" si="3"/>
        <v>92062</v>
      </c>
    </row>
    <row r="15" spans="1:39" x14ac:dyDescent="0.35">
      <c r="A15" s="279">
        <v>2030</v>
      </c>
      <c r="C15" s="278">
        <v>11000</v>
      </c>
      <c r="E15" s="278">
        <v>4550</v>
      </c>
      <c r="G15" s="278">
        <f t="shared" si="0"/>
        <v>15550</v>
      </c>
      <c r="I15" s="279">
        <v>2030</v>
      </c>
      <c r="K15" s="278">
        <v>27000</v>
      </c>
      <c r="M15" s="278">
        <v>25121</v>
      </c>
      <c r="O15" s="278">
        <f t="shared" si="1"/>
        <v>52121</v>
      </c>
      <c r="Q15" s="279">
        <v>2030</v>
      </c>
      <c r="S15" s="278">
        <v>35280</v>
      </c>
      <c r="U15" s="278">
        <v>40735</v>
      </c>
      <c r="W15" s="278">
        <f t="shared" si="2"/>
        <v>76015</v>
      </c>
      <c r="Y15" s="279">
        <v>2030</v>
      </c>
      <c r="AA15" s="278">
        <v>7000</v>
      </c>
      <c r="AC15" s="278">
        <v>2914</v>
      </c>
      <c r="AE15" s="278">
        <f t="shared" si="4"/>
        <v>9914</v>
      </c>
      <c r="AG15" s="279">
        <v>2030</v>
      </c>
      <c r="AI15" s="278">
        <v>70000</v>
      </c>
      <c r="AK15" s="278">
        <v>24537</v>
      </c>
      <c r="AM15" s="278">
        <f t="shared" si="3"/>
        <v>94537</v>
      </c>
    </row>
    <row r="16" spans="1:39" x14ac:dyDescent="0.35">
      <c r="A16" s="279">
        <v>2031</v>
      </c>
      <c r="C16" s="278">
        <v>11000</v>
      </c>
      <c r="E16" s="278">
        <v>4193</v>
      </c>
      <c r="G16" s="278">
        <f t="shared" si="0"/>
        <v>15193</v>
      </c>
      <c r="I16" s="279">
        <v>2031</v>
      </c>
      <c r="K16" s="278">
        <v>29000</v>
      </c>
      <c r="M16" s="278">
        <v>24008</v>
      </c>
      <c r="O16" s="278">
        <f t="shared" si="1"/>
        <v>53008</v>
      </c>
      <c r="Q16" s="279">
        <v>2031</v>
      </c>
      <c r="S16" s="278">
        <v>36740</v>
      </c>
      <c r="U16" s="278">
        <v>39280</v>
      </c>
      <c r="W16" s="278">
        <f t="shared" si="2"/>
        <v>76020</v>
      </c>
      <c r="Y16" s="279">
        <v>2031</v>
      </c>
      <c r="AA16" s="278">
        <v>7000</v>
      </c>
      <c r="AC16" s="278">
        <v>2835</v>
      </c>
      <c r="AE16" s="278">
        <f t="shared" si="4"/>
        <v>9835</v>
      </c>
      <c r="AG16" s="279">
        <v>2031</v>
      </c>
      <c r="AI16" s="278">
        <v>70000</v>
      </c>
      <c r="AK16" s="278">
        <v>22087</v>
      </c>
      <c r="AM16" s="278">
        <f t="shared" si="3"/>
        <v>92087</v>
      </c>
    </row>
    <row r="17" spans="1:39" x14ac:dyDescent="0.35">
      <c r="A17" s="279">
        <v>2032</v>
      </c>
      <c r="C17" s="278">
        <v>11500</v>
      </c>
      <c r="E17" s="278">
        <v>3835</v>
      </c>
      <c r="G17" s="278">
        <f t="shared" si="0"/>
        <v>15335</v>
      </c>
      <c r="I17" s="279">
        <v>2032</v>
      </c>
      <c r="K17" s="278">
        <v>30000</v>
      </c>
      <c r="M17" s="278">
        <v>22811</v>
      </c>
      <c r="O17" s="278">
        <f t="shared" si="1"/>
        <v>52811</v>
      </c>
      <c r="Q17" s="279">
        <v>2032</v>
      </c>
      <c r="S17" s="278">
        <v>38250</v>
      </c>
      <c r="U17" s="278">
        <v>37764</v>
      </c>
      <c r="W17" s="278">
        <f t="shared" si="2"/>
        <v>76014</v>
      </c>
      <c r="Y17" s="279">
        <v>2032</v>
      </c>
      <c r="AA17" s="278">
        <v>7000</v>
      </c>
      <c r="AC17" s="278">
        <v>2756</v>
      </c>
      <c r="AE17" s="278">
        <f t="shared" si="4"/>
        <v>9756</v>
      </c>
      <c r="AG17" s="279">
        <v>2032</v>
      </c>
      <c r="AI17" s="278">
        <v>75000</v>
      </c>
      <c r="AK17" s="278">
        <v>19550</v>
      </c>
      <c r="AM17" s="278">
        <f t="shared" si="3"/>
        <v>94550</v>
      </c>
    </row>
    <row r="18" spans="1:39" x14ac:dyDescent="0.35">
      <c r="A18" s="279">
        <v>2033</v>
      </c>
      <c r="C18" s="278">
        <v>12000</v>
      </c>
      <c r="E18" s="278">
        <v>3461</v>
      </c>
      <c r="G18" s="278">
        <f t="shared" si="0"/>
        <v>15461</v>
      </c>
      <c r="I18" s="279">
        <v>2033</v>
      </c>
      <c r="K18" s="278">
        <v>31000</v>
      </c>
      <c r="M18" s="278">
        <v>21574</v>
      </c>
      <c r="O18" s="278">
        <f t="shared" si="1"/>
        <v>52574</v>
      </c>
      <c r="Q18" s="279">
        <v>2033</v>
      </c>
      <c r="S18" s="278">
        <v>39830</v>
      </c>
      <c r="U18" s="278">
        <v>36187</v>
      </c>
      <c r="W18" s="278">
        <f t="shared" si="2"/>
        <v>76017</v>
      </c>
      <c r="Y18" s="279">
        <v>2033</v>
      </c>
      <c r="AA18" s="278">
        <v>7000</v>
      </c>
      <c r="AC18" s="278">
        <v>2677</v>
      </c>
      <c r="AE18" s="278">
        <f t="shared" si="4"/>
        <v>9677</v>
      </c>
      <c r="AG18" s="279">
        <v>2033</v>
      </c>
      <c r="AI18" s="278">
        <v>55000</v>
      </c>
      <c r="AK18" s="278">
        <v>17207</v>
      </c>
      <c r="AM18" s="278">
        <f t="shared" si="3"/>
        <v>72207</v>
      </c>
    </row>
    <row r="19" spans="1:39" x14ac:dyDescent="0.35">
      <c r="A19" s="279">
        <v>2034</v>
      </c>
      <c r="C19" s="278">
        <v>12000</v>
      </c>
      <c r="E19" s="278">
        <v>3071</v>
      </c>
      <c r="G19" s="278">
        <f t="shared" si="0"/>
        <v>15071</v>
      </c>
      <c r="I19" s="279">
        <v>2034</v>
      </c>
      <c r="K19" s="278">
        <v>32000</v>
      </c>
      <c r="M19" s="278">
        <v>20295</v>
      </c>
      <c r="O19" s="278">
        <f t="shared" si="1"/>
        <v>52295</v>
      </c>
      <c r="Q19" s="279">
        <v>2034</v>
      </c>
      <c r="S19" s="278">
        <v>41470</v>
      </c>
      <c r="U19" s="278">
        <v>34544</v>
      </c>
      <c r="W19" s="278">
        <f t="shared" si="2"/>
        <v>76014</v>
      </c>
      <c r="Y19" s="279">
        <v>2034</v>
      </c>
      <c r="AA19" s="278">
        <v>7000</v>
      </c>
      <c r="AC19" s="278">
        <v>2599</v>
      </c>
      <c r="AE19" s="278">
        <f t="shared" si="4"/>
        <v>9599</v>
      </c>
      <c r="AG19" s="279">
        <v>2034</v>
      </c>
      <c r="AI19" s="278">
        <v>60000</v>
      </c>
      <c r="AK19" s="278">
        <v>15051</v>
      </c>
      <c r="AM19" s="278">
        <f t="shared" si="3"/>
        <v>75051</v>
      </c>
    </row>
    <row r="20" spans="1:39" x14ac:dyDescent="0.35">
      <c r="A20" s="279">
        <v>2035</v>
      </c>
      <c r="C20" s="278">
        <v>13000</v>
      </c>
      <c r="E20" s="278">
        <v>2681</v>
      </c>
      <c r="G20" s="278">
        <f t="shared" si="0"/>
        <v>15681</v>
      </c>
      <c r="I20" s="279">
        <v>2035</v>
      </c>
      <c r="K20" s="278">
        <v>34000</v>
      </c>
      <c r="M20" s="278">
        <v>18975</v>
      </c>
      <c r="O20" s="278">
        <f t="shared" si="1"/>
        <v>52975</v>
      </c>
      <c r="Q20" s="279">
        <v>2035</v>
      </c>
      <c r="S20" s="278">
        <v>43180</v>
      </c>
      <c r="U20" s="278">
        <v>32833</v>
      </c>
      <c r="W20" s="278">
        <f t="shared" si="2"/>
        <v>76013</v>
      </c>
      <c r="Y20" s="279">
        <v>2035</v>
      </c>
      <c r="AA20" s="278">
        <v>7500</v>
      </c>
      <c r="AC20" s="278">
        <v>2517</v>
      </c>
      <c r="AE20" s="278">
        <f t="shared" si="4"/>
        <v>10017</v>
      </c>
      <c r="AG20" s="279">
        <v>2035</v>
      </c>
      <c r="AI20" s="278">
        <v>40000</v>
      </c>
      <c r="AK20" s="278">
        <v>13176</v>
      </c>
      <c r="AM20" s="278">
        <f t="shared" si="3"/>
        <v>53176</v>
      </c>
    </row>
    <row r="21" spans="1:39" x14ac:dyDescent="0.35">
      <c r="A21" s="279">
        <v>2036</v>
      </c>
      <c r="C21" s="278">
        <v>13000</v>
      </c>
      <c r="E21" s="278">
        <v>2259</v>
      </c>
      <c r="G21" s="278">
        <f t="shared" si="0"/>
        <v>15259</v>
      </c>
      <c r="I21" s="279">
        <v>2036</v>
      </c>
      <c r="K21" s="278">
        <v>35000</v>
      </c>
      <c r="M21" s="278">
        <v>17573</v>
      </c>
      <c r="O21" s="278">
        <f t="shared" si="1"/>
        <v>52573</v>
      </c>
      <c r="Q21" s="279">
        <v>2036</v>
      </c>
      <c r="S21" s="278">
        <v>44960</v>
      </c>
      <c r="U21" s="278">
        <v>31052</v>
      </c>
      <c r="W21" s="278">
        <f t="shared" si="2"/>
        <v>76012</v>
      </c>
      <c r="Y21" s="279">
        <v>2036</v>
      </c>
      <c r="AA21" s="278">
        <v>7500</v>
      </c>
      <c r="AC21" s="278">
        <v>2432</v>
      </c>
      <c r="AE21" s="278">
        <f t="shared" si="4"/>
        <v>9932</v>
      </c>
      <c r="AG21" s="279">
        <v>2036</v>
      </c>
      <c r="AI21" s="278">
        <v>45000</v>
      </c>
      <c r="AK21" s="278">
        <v>11582</v>
      </c>
      <c r="AM21" s="278">
        <f t="shared" si="3"/>
        <v>56582</v>
      </c>
    </row>
    <row r="22" spans="1:39" x14ac:dyDescent="0.35">
      <c r="A22" s="279">
        <v>2037</v>
      </c>
      <c r="C22" s="278">
        <v>13500</v>
      </c>
      <c r="E22" s="278">
        <v>1836</v>
      </c>
      <c r="G22" s="278">
        <f t="shared" si="0"/>
        <v>15336</v>
      </c>
      <c r="I22" s="279">
        <v>2037</v>
      </c>
      <c r="K22" s="278">
        <v>36000</v>
      </c>
      <c r="M22" s="278">
        <v>16129</v>
      </c>
      <c r="O22" s="278">
        <f t="shared" si="1"/>
        <v>52129</v>
      </c>
      <c r="Q22" s="279">
        <v>2037</v>
      </c>
      <c r="S22" s="278">
        <v>46820</v>
      </c>
      <c r="U22" s="278">
        <v>29197</v>
      </c>
      <c r="W22" s="278">
        <f t="shared" si="2"/>
        <v>76017</v>
      </c>
      <c r="Y22" s="279">
        <v>2037</v>
      </c>
      <c r="AA22" s="278">
        <v>7500</v>
      </c>
      <c r="AC22" s="278">
        <v>2348</v>
      </c>
      <c r="AE22" s="278">
        <f t="shared" si="4"/>
        <v>9848</v>
      </c>
      <c r="AG22" s="279">
        <v>2037</v>
      </c>
      <c r="AI22" s="278">
        <v>45000</v>
      </c>
      <c r="AK22" s="278">
        <v>9894</v>
      </c>
      <c r="AM22" s="278">
        <f t="shared" si="3"/>
        <v>54894</v>
      </c>
    </row>
    <row r="23" spans="1:39" x14ac:dyDescent="0.35">
      <c r="A23" s="279">
        <v>2038</v>
      </c>
      <c r="C23" s="278">
        <v>14000</v>
      </c>
      <c r="E23" s="278">
        <v>1398</v>
      </c>
      <c r="G23" s="278">
        <f t="shared" si="0"/>
        <v>15398</v>
      </c>
      <c r="I23" s="279">
        <v>2038</v>
      </c>
      <c r="K23" s="278">
        <v>38000</v>
      </c>
      <c r="M23" s="278">
        <v>14644</v>
      </c>
      <c r="O23" s="278">
        <f t="shared" si="1"/>
        <v>52644</v>
      </c>
      <c r="Q23" s="279">
        <v>2038</v>
      </c>
      <c r="S23" s="278">
        <v>48750</v>
      </c>
      <c r="U23" s="278">
        <v>27266</v>
      </c>
      <c r="W23" s="278">
        <f t="shared" si="2"/>
        <v>76016</v>
      </c>
      <c r="Y23" s="279">
        <v>2038</v>
      </c>
      <c r="AA23" s="278">
        <v>7500</v>
      </c>
      <c r="AC23" s="278">
        <v>2264</v>
      </c>
      <c r="AE23" s="278">
        <f t="shared" si="4"/>
        <v>9764</v>
      </c>
      <c r="AG23" s="279">
        <v>2038</v>
      </c>
      <c r="AI23" s="278">
        <v>45000</v>
      </c>
      <c r="AK23" s="278">
        <v>8150</v>
      </c>
      <c r="AM23" s="278">
        <f t="shared" si="3"/>
        <v>53150</v>
      </c>
    </row>
    <row r="24" spans="1:39" x14ac:dyDescent="0.35">
      <c r="A24" s="279">
        <v>2039</v>
      </c>
      <c r="C24" s="278">
        <v>14500</v>
      </c>
      <c r="E24" s="278">
        <v>943</v>
      </c>
      <c r="G24" s="278">
        <f t="shared" si="0"/>
        <v>15443</v>
      </c>
      <c r="I24" s="279">
        <v>2039</v>
      </c>
      <c r="K24" s="278">
        <v>39000</v>
      </c>
      <c r="M24" s="278">
        <v>13076</v>
      </c>
      <c r="O24" s="278">
        <f t="shared" si="1"/>
        <v>52076</v>
      </c>
      <c r="Q24" s="279">
        <v>2039</v>
      </c>
      <c r="S24" s="278">
        <v>50760</v>
      </c>
      <c r="U24" s="278">
        <v>25255</v>
      </c>
      <c r="W24" s="278">
        <f t="shared" si="2"/>
        <v>76015</v>
      </c>
      <c r="Y24" s="279">
        <v>2039</v>
      </c>
      <c r="AA24" s="278">
        <v>7500</v>
      </c>
      <c r="AC24" s="278">
        <v>2180</v>
      </c>
      <c r="AE24" s="278">
        <f t="shared" si="4"/>
        <v>9680</v>
      </c>
      <c r="AG24" s="279">
        <v>2039</v>
      </c>
      <c r="AI24" s="278">
        <v>45000</v>
      </c>
      <c r="AK24" s="278">
        <v>6350</v>
      </c>
      <c r="AM24" s="278">
        <f t="shared" si="3"/>
        <v>51350</v>
      </c>
    </row>
    <row r="25" spans="1:39" x14ac:dyDescent="0.35">
      <c r="A25" s="279">
        <v>2040</v>
      </c>
      <c r="C25" s="278">
        <v>14500</v>
      </c>
      <c r="E25" s="278">
        <v>471</v>
      </c>
      <c r="G25" s="278">
        <f>SUM(C25,E25)</f>
        <v>14971</v>
      </c>
      <c r="I25" s="279">
        <v>2040</v>
      </c>
      <c r="K25" s="278">
        <v>41000</v>
      </c>
      <c r="M25" s="278">
        <v>11468</v>
      </c>
      <c r="O25" s="278">
        <f t="shared" si="1"/>
        <v>52468</v>
      </c>
      <c r="Q25" s="279">
        <v>2040</v>
      </c>
      <c r="S25" s="278">
        <v>52850</v>
      </c>
      <c r="U25" s="278">
        <v>23161</v>
      </c>
      <c r="W25" s="278">
        <f t="shared" si="2"/>
        <v>76011</v>
      </c>
      <c r="Y25" s="279">
        <v>2040</v>
      </c>
      <c r="AA25" s="278">
        <v>7500</v>
      </c>
      <c r="AC25" s="278">
        <v>2095</v>
      </c>
      <c r="AE25" s="278">
        <f t="shared" si="4"/>
        <v>9595</v>
      </c>
      <c r="AG25" s="279">
        <v>2040</v>
      </c>
      <c r="AI25" s="278">
        <v>45000</v>
      </c>
      <c r="AK25" s="278">
        <v>4550</v>
      </c>
      <c r="AM25" s="278">
        <f t="shared" si="3"/>
        <v>49550</v>
      </c>
    </row>
    <row r="26" spans="1:39" x14ac:dyDescent="0.35">
      <c r="A26" s="279">
        <v>2041</v>
      </c>
      <c r="C26" s="278">
        <v>0</v>
      </c>
      <c r="E26" s="278">
        <v>0</v>
      </c>
      <c r="G26" s="278">
        <f>SUM(C26,E26)</f>
        <v>0</v>
      </c>
      <c r="I26" s="279">
        <v>2041</v>
      </c>
      <c r="K26" s="278">
        <v>43000</v>
      </c>
      <c r="M26" s="278">
        <v>9776</v>
      </c>
      <c r="O26" s="278">
        <f t="shared" si="1"/>
        <v>52776</v>
      </c>
      <c r="Q26" s="279">
        <v>2041</v>
      </c>
      <c r="S26" s="278">
        <v>55030</v>
      </c>
      <c r="U26" s="278">
        <v>20981</v>
      </c>
      <c r="W26" s="278">
        <f t="shared" si="2"/>
        <v>76011</v>
      </c>
      <c r="Y26" s="279">
        <v>2041</v>
      </c>
      <c r="AA26" s="278">
        <v>8000</v>
      </c>
      <c r="AC26" s="278">
        <v>2008</v>
      </c>
      <c r="AE26" s="278">
        <f t="shared" si="4"/>
        <v>10008</v>
      </c>
      <c r="AG26" s="279">
        <v>2041</v>
      </c>
      <c r="AI26" s="278">
        <v>50000</v>
      </c>
      <c r="AK26" s="278">
        <v>2650</v>
      </c>
      <c r="AM26" s="278">
        <f t="shared" si="3"/>
        <v>52650</v>
      </c>
    </row>
    <row r="27" spans="1:39" x14ac:dyDescent="0.35">
      <c r="A27" s="279">
        <v>2042</v>
      </c>
      <c r="C27" s="278">
        <v>0</v>
      </c>
      <c r="E27" s="278">
        <v>0</v>
      </c>
      <c r="G27" s="278">
        <f t="shared" ref="G27:G46" si="5">SUM(C27,E27)</f>
        <v>0</v>
      </c>
      <c r="I27" s="279">
        <v>2042</v>
      </c>
      <c r="K27" s="278">
        <v>45000</v>
      </c>
      <c r="M27" s="278">
        <v>8003</v>
      </c>
      <c r="O27" s="278">
        <f t="shared" si="1"/>
        <v>53003</v>
      </c>
      <c r="Q27" s="279">
        <v>2042</v>
      </c>
      <c r="S27" s="278">
        <v>57300</v>
      </c>
      <c r="U27" s="278">
        <v>18711</v>
      </c>
      <c r="W27" s="278">
        <f t="shared" si="2"/>
        <v>76011</v>
      </c>
      <c r="Y27" s="279">
        <v>2042</v>
      </c>
      <c r="AA27" s="278">
        <v>8000</v>
      </c>
      <c r="AC27" s="278">
        <v>1919</v>
      </c>
      <c r="AE27" s="278">
        <f t="shared" si="4"/>
        <v>9919</v>
      </c>
      <c r="AG27" s="279">
        <v>2042</v>
      </c>
      <c r="AI27" s="278">
        <v>30000</v>
      </c>
      <c r="AK27" s="278">
        <v>600</v>
      </c>
      <c r="AM27" s="278">
        <f t="shared" si="3"/>
        <v>30600</v>
      </c>
    </row>
    <row r="28" spans="1:39" x14ac:dyDescent="0.35">
      <c r="A28" s="279">
        <v>2043</v>
      </c>
      <c r="C28" s="278">
        <v>0</v>
      </c>
      <c r="E28" s="278">
        <v>0</v>
      </c>
      <c r="G28" s="278">
        <f t="shared" si="5"/>
        <v>0</v>
      </c>
      <c r="I28" s="279">
        <v>2043</v>
      </c>
      <c r="K28" s="278">
        <v>46000</v>
      </c>
      <c r="M28" s="278">
        <v>6146</v>
      </c>
      <c r="O28" s="278">
        <f t="shared" si="1"/>
        <v>52146</v>
      </c>
      <c r="Q28" s="279">
        <v>2043</v>
      </c>
      <c r="S28" s="278">
        <v>59670</v>
      </c>
      <c r="U28" s="278">
        <v>16347</v>
      </c>
      <c r="W28" s="278">
        <f t="shared" si="2"/>
        <v>76017</v>
      </c>
      <c r="Y28" s="279">
        <v>2043</v>
      </c>
      <c r="AA28" s="278">
        <v>8000</v>
      </c>
      <c r="AC28" s="278">
        <v>1829</v>
      </c>
      <c r="AE28" s="278">
        <f t="shared" si="4"/>
        <v>9829</v>
      </c>
      <c r="AG28" s="279">
        <v>2043</v>
      </c>
      <c r="AI28" s="278">
        <v>0</v>
      </c>
      <c r="AK28" s="278">
        <v>0</v>
      </c>
      <c r="AM28" s="278">
        <f t="shared" si="3"/>
        <v>0</v>
      </c>
    </row>
    <row r="29" spans="1:39" x14ac:dyDescent="0.35">
      <c r="A29" s="279">
        <v>2044</v>
      </c>
      <c r="C29" s="278">
        <v>0</v>
      </c>
      <c r="E29" s="278">
        <v>0</v>
      </c>
      <c r="G29" s="278">
        <f t="shared" si="5"/>
        <v>0</v>
      </c>
      <c r="I29" s="279">
        <v>2044</v>
      </c>
      <c r="K29" s="278">
        <v>48000</v>
      </c>
      <c r="M29" s="278">
        <v>4249</v>
      </c>
      <c r="O29" s="278">
        <f t="shared" si="1"/>
        <v>52249</v>
      </c>
      <c r="Q29" s="279">
        <v>2044</v>
      </c>
      <c r="S29" s="278">
        <v>62130</v>
      </c>
      <c r="U29" s="278">
        <v>13886</v>
      </c>
      <c r="W29" s="278">
        <f t="shared" si="2"/>
        <v>76016</v>
      </c>
      <c r="Y29" s="279">
        <v>2044</v>
      </c>
      <c r="AA29" s="278">
        <v>8000</v>
      </c>
      <c r="AC29" s="278">
        <v>1738</v>
      </c>
      <c r="AE29" s="278">
        <f t="shared" si="4"/>
        <v>9738</v>
      </c>
      <c r="AG29" s="279">
        <v>2044</v>
      </c>
      <c r="AI29" s="278">
        <v>0</v>
      </c>
      <c r="AK29" s="278">
        <v>0</v>
      </c>
      <c r="AM29" s="278">
        <f t="shared" si="3"/>
        <v>0</v>
      </c>
    </row>
    <row r="30" spans="1:39" x14ac:dyDescent="0.35">
      <c r="A30" s="279">
        <v>2045</v>
      </c>
      <c r="C30" s="278">
        <v>0</v>
      </c>
      <c r="E30" s="278">
        <v>0</v>
      </c>
      <c r="G30" s="278">
        <f t="shared" si="5"/>
        <v>0</v>
      </c>
      <c r="I30" s="279">
        <v>2045</v>
      </c>
      <c r="K30" s="278">
        <v>55000</v>
      </c>
      <c r="M30" s="278">
        <v>2269</v>
      </c>
      <c r="O30" s="278">
        <f>SUM(K30,M30)</f>
        <v>57269</v>
      </c>
      <c r="Q30" s="279">
        <v>2045</v>
      </c>
      <c r="S30" s="278">
        <v>64690</v>
      </c>
      <c r="U30" s="278">
        <v>11323</v>
      </c>
      <c r="W30" s="278">
        <f t="shared" si="2"/>
        <v>76013</v>
      </c>
      <c r="Y30" s="279">
        <v>2045</v>
      </c>
      <c r="AA30" s="278">
        <v>8000</v>
      </c>
      <c r="AC30" s="278">
        <v>1647</v>
      </c>
      <c r="AE30" s="278">
        <f t="shared" si="4"/>
        <v>9647</v>
      </c>
      <c r="AG30" s="279">
        <v>2045</v>
      </c>
      <c r="AI30" s="278">
        <v>0</v>
      </c>
      <c r="AK30" s="278">
        <v>0</v>
      </c>
      <c r="AM30" s="278">
        <f t="shared" si="3"/>
        <v>0</v>
      </c>
    </row>
    <row r="31" spans="1:39" x14ac:dyDescent="0.35">
      <c r="A31" s="279">
        <v>2046</v>
      </c>
      <c r="C31" s="278">
        <v>0</v>
      </c>
      <c r="E31" s="278">
        <v>0</v>
      </c>
      <c r="G31" s="278">
        <f t="shared" si="5"/>
        <v>0</v>
      </c>
      <c r="I31" s="279">
        <v>2046</v>
      </c>
      <c r="K31" s="278">
        <v>0</v>
      </c>
      <c r="M31" s="278">
        <v>0</v>
      </c>
      <c r="O31" s="278">
        <f t="shared" ref="O31:O46" si="6">SUM(K31,M31)</f>
        <v>0</v>
      </c>
      <c r="Q31" s="279">
        <v>2046</v>
      </c>
      <c r="S31" s="278">
        <v>67360</v>
      </c>
      <c r="U31" s="278">
        <v>8655</v>
      </c>
      <c r="W31" s="278">
        <f t="shared" si="2"/>
        <v>76015</v>
      </c>
      <c r="Y31" s="279">
        <v>2046</v>
      </c>
      <c r="AA31" s="278">
        <v>8000</v>
      </c>
      <c r="AC31" s="278">
        <v>1558</v>
      </c>
      <c r="AE31" s="278">
        <f t="shared" si="4"/>
        <v>9558</v>
      </c>
      <c r="AG31" s="279">
        <v>2046</v>
      </c>
      <c r="AI31" s="278">
        <v>0</v>
      </c>
      <c r="AK31" s="278">
        <v>0</v>
      </c>
      <c r="AM31" s="278">
        <f t="shared" si="3"/>
        <v>0</v>
      </c>
    </row>
    <row r="32" spans="1:39" x14ac:dyDescent="0.35">
      <c r="A32" s="279">
        <v>2047</v>
      </c>
      <c r="C32" s="278">
        <v>0</v>
      </c>
      <c r="E32" s="278">
        <v>0</v>
      </c>
      <c r="G32" s="278">
        <f t="shared" si="5"/>
        <v>0</v>
      </c>
      <c r="I32" s="279">
        <v>2047</v>
      </c>
      <c r="K32" s="278">
        <v>0</v>
      </c>
      <c r="M32" s="278">
        <v>0</v>
      </c>
      <c r="O32" s="278">
        <f t="shared" si="6"/>
        <v>0</v>
      </c>
      <c r="Q32" s="279">
        <v>2047</v>
      </c>
      <c r="S32" s="278">
        <v>70140</v>
      </c>
      <c r="U32" s="278">
        <v>5876</v>
      </c>
      <c r="W32" s="278">
        <f t="shared" si="2"/>
        <v>76016</v>
      </c>
      <c r="Y32" s="279">
        <v>2047</v>
      </c>
      <c r="AA32" s="278">
        <v>8500</v>
      </c>
      <c r="AC32" s="278">
        <v>1466</v>
      </c>
      <c r="AE32" s="278">
        <f t="shared" si="4"/>
        <v>9966</v>
      </c>
      <c r="AG32" s="279">
        <v>2047</v>
      </c>
      <c r="AI32" s="278">
        <v>0</v>
      </c>
      <c r="AK32" s="278">
        <v>0</v>
      </c>
      <c r="AM32" s="278">
        <f t="shared" si="3"/>
        <v>0</v>
      </c>
    </row>
    <row r="33" spans="1:39" x14ac:dyDescent="0.35">
      <c r="A33" s="279">
        <v>2048</v>
      </c>
      <c r="C33" s="278">
        <v>0</v>
      </c>
      <c r="E33" s="278">
        <v>0</v>
      </c>
      <c r="G33" s="278">
        <f t="shared" si="5"/>
        <v>0</v>
      </c>
      <c r="I33" s="279">
        <v>2048</v>
      </c>
      <c r="K33" s="278">
        <v>0</v>
      </c>
      <c r="M33" s="278">
        <v>0</v>
      </c>
      <c r="O33" s="278">
        <f t="shared" si="6"/>
        <v>0</v>
      </c>
      <c r="Q33" s="279">
        <v>2048</v>
      </c>
      <c r="S33" s="278">
        <v>72310</v>
      </c>
      <c r="U33" s="278">
        <v>2983</v>
      </c>
      <c r="W33" s="278">
        <f t="shared" si="2"/>
        <v>75293</v>
      </c>
      <c r="Y33" s="279">
        <v>2048</v>
      </c>
      <c r="AA33" s="278">
        <v>8500</v>
      </c>
      <c r="AC33" s="278">
        <v>1370</v>
      </c>
      <c r="AE33" s="278">
        <f t="shared" si="4"/>
        <v>9870</v>
      </c>
      <c r="AG33" s="279">
        <v>2048</v>
      </c>
      <c r="AI33" s="278">
        <v>0</v>
      </c>
      <c r="AK33" s="278">
        <v>0</v>
      </c>
      <c r="AM33" s="278">
        <f t="shared" si="3"/>
        <v>0</v>
      </c>
    </row>
    <row r="34" spans="1:39" x14ac:dyDescent="0.35">
      <c r="A34" s="279">
        <v>2049</v>
      </c>
      <c r="C34" s="278">
        <v>0</v>
      </c>
      <c r="E34" s="278">
        <v>0</v>
      </c>
      <c r="G34" s="278">
        <f t="shared" si="5"/>
        <v>0</v>
      </c>
      <c r="I34" s="279">
        <v>2049</v>
      </c>
      <c r="K34" s="278">
        <v>0</v>
      </c>
      <c r="M34" s="278">
        <v>0</v>
      </c>
      <c r="O34" s="278">
        <f t="shared" si="6"/>
        <v>0</v>
      </c>
      <c r="Q34" s="279">
        <v>2049</v>
      </c>
      <c r="S34" s="278">
        <v>0</v>
      </c>
      <c r="U34" s="278">
        <v>0</v>
      </c>
      <c r="W34" s="278">
        <f t="shared" si="2"/>
        <v>0</v>
      </c>
      <c r="Y34" s="279">
        <v>2049</v>
      </c>
      <c r="AA34" s="278">
        <v>8500</v>
      </c>
      <c r="AC34" s="278">
        <v>1274</v>
      </c>
      <c r="AE34" s="278">
        <f t="shared" si="4"/>
        <v>9774</v>
      </c>
      <c r="AG34" s="279">
        <v>2049</v>
      </c>
      <c r="AI34" s="278">
        <v>0</v>
      </c>
      <c r="AK34" s="278">
        <v>0</v>
      </c>
      <c r="AM34" s="278">
        <f t="shared" si="3"/>
        <v>0</v>
      </c>
    </row>
    <row r="35" spans="1:39" x14ac:dyDescent="0.35">
      <c r="A35" s="279">
        <v>2050</v>
      </c>
      <c r="C35" s="278">
        <v>0</v>
      </c>
      <c r="E35" s="278">
        <v>0</v>
      </c>
      <c r="G35" s="278">
        <f t="shared" si="5"/>
        <v>0</v>
      </c>
      <c r="I35" s="279">
        <v>2050</v>
      </c>
      <c r="K35" s="278">
        <v>0</v>
      </c>
      <c r="M35" s="278">
        <v>0</v>
      </c>
      <c r="O35" s="278">
        <f t="shared" si="6"/>
        <v>0</v>
      </c>
      <c r="Q35" s="279">
        <v>2050</v>
      </c>
      <c r="S35" s="278">
        <v>0</v>
      </c>
      <c r="U35" s="278">
        <v>0</v>
      </c>
      <c r="W35" s="278">
        <f t="shared" si="2"/>
        <v>0</v>
      </c>
      <c r="Y35" s="279">
        <v>2050</v>
      </c>
      <c r="AA35" s="278">
        <v>8500</v>
      </c>
      <c r="AC35" s="278">
        <v>1178</v>
      </c>
      <c r="AE35" s="278">
        <f t="shared" si="4"/>
        <v>9678</v>
      </c>
      <c r="AG35" s="279">
        <v>2050</v>
      </c>
      <c r="AI35" s="278">
        <v>0</v>
      </c>
      <c r="AK35" s="278">
        <v>0</v>
      </c>
      <c r="AM35" s="278">
        <f t="shared" si="3"/>
        <v>0</v>
      </c>
    </row>
    <row r="36" spans="1:39" x14ac:dyDescent="0.35">
      <c r="A36" s="279">
        <v>2051</v>
      </c>
      <c r="C36" s="278">
        <v>0</v>
      </c>
      <c r="E36" s="278">
        <v>0</v>
      </c>
      <c r="G36" s="278">
        <f t="shared" si="5"/>
        <v>0</v>
      </c>
      <c r="I36" s="279">
        <v>2051</v>
      </c>
      <c r="K36" s="278">
        <v>0</v>
      </c>
      <c r="M36" s="278">
        <v>0</v>
      </c>
      <c r="O36" s="278">
        <f t="shared" si="6"/>
        <v>0</v>
      </c>
      <c r="Q36" s="279">
        <v>2051</v>
      </c>
      <c r="S36" s="278">
        <v>0</v>
      </c>
      <c r="U36" s="278">
        <v>0</v>
      </c>
      <c r="W36" s="278">
        <f t="shared" si="2"/>
        <v>0</v>
      </c>
      <c r="Y36" s="279">
        <v>2051</v>
      </c>
      <c r="AA36" s="278">
        <v>8500</v>
      </c>
      <c r="AC36" s="278">
        <v>1083</v>
      </c>
      <c r="AE36" s="278">
        <f t="shared" si="4"/>
        <v>9583</v>
      </c>
      <c r="AG36" s="279">
        <v>2051</v>
      </c>
      <c r="AI36" s="278">
        <v>0</v>
      </c>
      <c r="AK36" s="278">
        <v>0</v>
      </c>
      <c r="AM36" s="278">
        <f t="shared" si="3"/>
        <v>0</v>
      </c>
    </row>
    <row r="37" spans="1:39" x14ac:dyDescent="0.35">
      <c r="A37" s="279">
        <v>2052</v>
      </c>
      <c r="C37" s="278">
        <v>0</v>
      </c>
      <c r="E37" s="278">
        <v>0</v>
      </c>
      <c r="G37" s="278">
        <f t="shared" si="5"/>
        <v>0</v>
      </c>
      <c r="I37" s="279">
        <v>2052</v>
      </c>
      <c r="K37" s="278">
        <v>0</v>
      </c>
      <c r="M37" s="278">
        <v>0</v>
      </c>
      <c r="O37" s="278">
        <f t="shared" si="6"/>
        <v>0</v>
      </c>
      <c r="Q37" s="279">
        <v>2052</v>
      </c>
      <c r="S37" s="278">
        <v>0</v>
      </c>
      <c r="U37" s="278">
        <v>0</v>
      </c>
      <c r="W37" s="278">
        <f t="shared" si="2"/>
        <v>0</v>
      </c>
      <c r="Y37" s="279">
        <v>2052</v>
      </c>
      <c r="AA37" s="278">
        <v>9000</v>
      </c>
      <c r="AC37" s="278">
        <v>985</v>
      </c>
      <c r="AE37" s="278">
        <f t="shared" si="4"/>
        <v>9985</v>
      </c>
      <c r="AG37" s="279">
        <v>2052</v>
      </c>
      <c r="AI37" s="278">
        <v>0</v>
      </c>
      <c r="AK37" s="278">
        <v>0</v>
      </c>
      <c r="AM37" s="278">
        <f t="shared" si="3"/>
        <v>0</v>
      </c>
    </row>
    <row r="38" spans="1:39" x14ac:dyDescent="0.35">
      <c r="A38" s="279">
        <v>2053</v>
      </c>
      <c r="C38" s="278">
        <v>0</v>
      </c>
      <c r="E38" s="278">
        <v>0</v>
      </c>
      <c r="G38" s="278">
        <f t="shared" si="5"/>
        <v>0</v>
      </c>
      <c r="I38" s="279">
        <v>2053</v>
      </c>
      <c r="K38" s="278">
        <v>0</v>
      </c>
      <c r="M38" s="278">
        <v>0</v>
      </c>
      <c r="O38" s="278">
        <f t="shared" si="6"/>
        <v>0</v>
      </c>
      <c r="Q38" s="279">
        <v>2053</v>
      </c>
      <c r="S38" s="278">
        <v>0</v>
      </c>
      <c r="U38" s="278">
        <v>0</v>
      </c>
      <c r="W38" s="278">
        <f t="shared" si="2"/>
        <v>0</v>
      </c>
      <c r="Y38" s="279">
        <v>2053</v>
      </c>
      <c r="AA38" s="278">
        <v>9000</v>
      </c>
      <c r="AC38" s="278">
        <v>883</v>
      </c>
      <c r="AE38" s="278">
        <f t="shared" si="4"/>
        <v>9883</v>
      </c>
      <c r="AG38" s="279">
        <v>2053</v>
      </c>
      <c r="AI38" s="278">
        <v>0</v>
      </c>
      <c r="AK38" s="278">
        <v>0</v>
      </c>
      <c r="AM38" s="278">
        <f t="shared" si="3"/>
        <v>0</v>
      </c>
    </row>
    <row r="39" spans="1:39" x14ac:dyDescent="0.35">
      <c r="A39" s="279">
        <v>2054</v>
      </c>
      <c r="C39" s="278">
        <v>0</v>
      </c>
      <c r="E39" s="278">
        <v>0</v>
      </c>
      <c r="G39" s="278">
        <f t="shared" si="5"/>
        <v>0</v>
      </c>
      <c r="I39" s="279">
        <v>2054</v>
      </c>
      <c r="K39" s="278">
        <v>0</v>
      </c>
      <c r="M39" s="278">
        <v>0</v>
      </c>
      <c r="O39" s="278">
        <f t="shared" si="6"/>
        <v>0</v>
      </c>
      <c r="Q39" s="279">
        <v>2054</v>
      </c>
      <c r="S39" s="278">
        <v>0</v>
      </c>
      <c r="U39" s="278">
        <v>0</v>
      </c>
      <c r="W39" s="278">
        <f t="shared" si="2"/>
        <v>0</v>
      </c>
      <c r="Y39" s="279">
        <v>2054</v>
      </c>
      <c r="AA39" s="278">
        <v>9000</v>
      </c>
      <c r="AC39" s="278">
        <v>782</v>
      </c>
      <c r="AE39" s="278">
        <f t="shared" si="4"/>
        <v>9782</v>
      </c>
      <c r="AG39" s="279">
        <v>2054</v>
      </c>
      <c r="AI39" s="278">
        <v>0</v>
      </c>
      <c r="AK39" s="278">
        <v>0</v>
      </c>
      <c r="AM39" s="278">
        <f t="shared" si="3"/>
        <v>0</v>
      </c>
    </row>
    <row r="40" spans="1:39" x14ac:dyDescent="0.35">
      <c r="A40" s="279">
        <v>2055</v>
      </c>
      <c r="C40" s="278">
        <v>0</v>
      </c>
      <c r="E40" s="278">
        <v>0</v>
      </c>
      <c r="G40" s="278">
        <f t="shared" si="5"/>
        <v>0</v>
      </c>
      <c r="I40" s="279">
        <v>2055</v>
      </c>
      <c r="K40" s="278">
        <v>0</v>
      </c>
      <c r="M40" s="278">
        <v>0</v>
      </c>
      <c r="O40" s="278">
        <f t="shared" si="6"/>
        <v>0</v>
      </c>
      <c r="Q40" s="279">
        <v>2055</v>
      </c>
      <c r="S40" s="278">
        <v>0</v>
      </c>
      <c r="U40" s="278">
        <v>0</v>
      </c>
      <c r="W40" s="278">
        <f t="shared" si="2"/>
        <v>0</v>
      </c>
      <c r="Y40" s="279">
        <v>2055</v>
      </c>
      <c r="AA40" s="278">
        <v>9000</v>
      </c>
      <c r="AC40" s="278">
        <v>681</v>
      </c>
      <c r="AE40" s="278">
        <f t="shared" si="4"/>
        <v>9681</v>
      </c>
      <c r="AG40" s="279">
        <v>2055</v>
      </c>
      <c r="AI40" s="278">
        <v>0</v>
      </c>
      <c r="AK40" s="278">
        <v>0</v>
      </c>
      <c r="AM40" s="278">
        <f t="shared" si="3"/>
        <v>0</v>
      </c>
    </row>
    <row r="41" spans="1:39" x14ac:dyDescent="0.35">
      <c r="A41" s="279">
        <v>2056</v>
      </c>
      <c r="C41" s="278">
        <v>0</v>
      </c>
      <c r="E41" s="278">
        <v>0</v>
      </c>
      <c r="G41" s="278">
        <f t="shared" si="5"/>
        <v>0</v>
      </c>
      <c r="I41" s="279">
        <v>2056</v>
      </c>
      <c r="K41" s="278">
        <v>0</v>
      </c>
      <c r="M41" s="278">
        <v>0</v>
      </c>
      <c r="O41" s="278">
        <f t="shared" si="6"/>
        <v>0</v>
      </c>
      <c r="Q41" s="279">
        <v>2056</v>
      </c>
      <c r="S41" s="278">
        <v>0</v>
      </c>
      <c r="U41" s="278">
        <v>0</v>
      </c>
      <c r="W41" s="278">
        <f t="shared" si="2"/>
        <v>0</v>
      </c>
      <c r="Y41" s="279">
        <v>2056</v>
      </c>
      <c r="AA41" s="278">
        <v>9000</v>
      </c>
      <c r="AC41" s="278">
        <v>579</v>
      </c>
      <c r="AE41" s="278">
        <f t="shared" si="4"/>
        <v>9579</v>
      </c>
      <c r="AG41" s="279">
        <v>2056</v>
      </c>
      <c r="AI41" s="278">
        <v>0</v>
      </c>
      <c r="AK41" s="278">
        <v>0</v>
      </c>
      <c r="AM41" s="278">
        <f t="shared" si="3"/>
        <v>0</v>
      </c>
    </row>
    <row r="42" spans="1:39" x14ac:dyDescent="0.35">
      <c r="A42" s="279">
        <v>2057</v>
      </c>
      <c r="C42" s="278">
        <v>0</v>
      </c>
      <c r="E42" s="278">
        <v>0</v>
      </c>
      <c r="G42" s="278">
        <f t="shared" si="5"/>
        <v>0</v>
      </c>
      <c r="I42" s="279">
        <v>2057</v>
      </c>
      <c r="K42" s="278">
        <v>0</v>
      </c>
      <c r="M42" s="278">
        <v>0</v>
      </c>
      <c r="O42" s="278">
        <f t="shared" si="6"/>
        <v>0</v>
      </c>
      <c r="Q42" s="279">
        <v>2057</v>
      </c>
      <c r="S42" s="278">
        <v>0</v>
      </c>
      <c r="U42" s="278">
        <v>0</v>
      </c>
      <c r="W42" s="278">
        <f t="shared" si="2"/>
        <v>0</v>
      </c>
      <c r="Y42" s="279">
        <v>2057</v>
      </c>
      <c r="AA42" s="278">
        <v>9500</v>
      </c>
      <c r="AC42" s="278">
        <v>475</v>
      </c>
      <c r="AE42" s="278">
        <f t="shared" si="4"/>
        <v>9975</v>
      </c>
      <c r="AG42" s="279">
        <v>2057</v>
      </c>
      <c r="AI42" s="278">
        <v>0</v>
      </c>
      <c r="AK42" s="278">
        <v>0</v>
      </c>
      <c r="AM42" s="278">
        <f t="shared" si="3"/>
        <v>0</v>
      </c>
    </row>
    <row r="43" spans="1:39" x14ac:dyDescent="0.35">
      <c r="A43" s="279">
        <v>2058</v>
      </c>
      <c r="C43" s="278">
        <v>0</v>
      </c>
      <c r="E43" s="278">
        <v>0</v>
      </c>
      <c r="G43" s="278">
        <f t="shared" si="5"/>
        <v>0</v>
      </c>
      <c r="I43" s="279">
        <v>2058</v>
      </c>
      <c r="K43" s="278">
        <v>0</v>
      </c>
      <c r="M43" s="278">
        <v>0</v>
      </c>
      <c r="O43" s="278">
        <f t="shared" si="6"/>
        <v>0</v>
      </c>
      <c r="Q43" s="279">
        <v>2058</v>
      </c>
      <c r="S43" s="278">
        <v>0</v>
      </c>
      <c r="U43" s="278">
        <v>0</v>
      </c>
      <c r="W43" s="278">
        <f t="shared" si="2"/>
        <v>0</v>
      </c>
      <c r="Y43" s="279">
        <v>2058</v>
      </c>
      <c r="AA43" s="278">
        <v>9500</v>
      </c>
      <c r="AC43" s="278">
        <v>368</v>
      </c>
      <c r="AE43" s="278">
        <f t="shared" si="4"/>
        <v>9868</v>
      </c>
      <c r="AG43" s="279">
        <v>2058</v>
      </c>
      <c r="AI43" s="278">
        <v>0</v>
      </c>
      <c r="AK43" s="278">
        <v>0</v>
      </c>
      <c r="AM43" s="278">
        <f t="shared" si="3"/>
        <v>0</v>
      </c>
    </row>
    <row r="44" spans="1:39" x14ac:dyDescent="0.35">
      <c r="A44" s="279">
        <v>2059</v>
      </c>
      <c r="C44" s="278">
        <v>0</v>
      </c>
      <c r="E44" s="278">
        <v>0</v>
      </c>
      <c r="G44" s="278">
        <f t="shared" si="5"/>
        <v>0</v>
      </c>
      <c r="I44" s="279">
        <v>2059</v>
      </c>
      <c r="K44" s="278">
        <v>0</v>
      </c>
      <c r="M44" s="278">
        <v>0</v>
      </c>
      <c r="O44" s="278">
        <f t="shared" si="6"/>
        <v>0</v>
      </c>
      <c r="Q44" s="279">
        <v>2059</v>
      </c>
      <c r="S44" s="278">
        <v>0</v>
      </c>
      <c r="U44" s="278">
        <v>0</v>
      </c>
      <c r="W44" s="278">
        <f t="shared" si="2"/>
        <v>0</v>
      </c>
      <c r="Y44" s="279">
        <v>2059</v>
      </c>
      <c r="AA44" s="278">
        <v>9500</v>
      </c>
      <c r="AC44" s="278">
        <v>261</v>
      </c>
      <c r="AE44" s="278">
        <f t="shared" si="4"/>
        <v>9761</v>
      </c>
      <c r="AG44" s="279">
        <v>2059</v>
      </c>
      <c r="AI44" s="278">
        <v>0</v>
      </c>
      <c r="AK44" s="278">
        <v>0</v>
      </c>
      <c r="AM44" s="278">
        <f t="shared" si="3"/>
        <v>0</v>
      </c>
    </row>
    <row r="45" spans="1:39" x14ac:dyDescent="0.35">
      <c r="A45" s="279">
        <v>2060</v>
      </c>
      <c r="C45" s="278">
        <v>0</v>
      </c>
      <c r="E45" s="278">
        <v>0</v>
      </c>
      <c r="G45" s="278">
        <f t="shared" si="5"/>
        <v>0</v>
      </c>
      <c r="I45" s="279">
        <v>2060</v>
      </c>
      <c r="K45" s="278">
        <v>0</v>
      </c>
      <c r="M45" s="278">
        <v>0</v>
      </c>
      <c r="O45" s="278">
        <f t="shared" si="6"/>
        <v>0</v>
      </c>
      <c r="Q45" s="279">
        <v>2060</v>
      </c>
      <c r="S45" s="278">
        <v>0</v>
      </c>
      <c r="U45" s="278">
        <v>0</v>
      </c>
      <c r="W45" s="278">
        <f t="shared" si="2"/>
        <v>0</v>
      </c>
      <c r="Y45" s="279">
        <v>2060</v>
      </c>
      <c r="AA45" s="278">
        <v>9500</v>
      </c>
      <c r="AC45" s="278">
        <v>155</v>
      </c>
      <c r="AE45" s="278">
        <f t="shared" si="4"/>
        <v>9655</v>
      </c>
      <c r="AG45" s="279">
        <v>2060</v>
      </c>
      <c r="AI45" s="278">
        <v>0</v>
      </c>
      <c r="AK45" s="278">
        <v>0</v>
      </c>
      <c r="AM45" s="278">
        <f t="shared" si="3"/>
        <v>0</v>
      </c>
    </row>
    <row r="46" spans="1:39" x14ac:dyDescent="0.35">
      <c r="A46" s="279">
        <v>2061</v>
      </c>
      <c r="C46" s="278">
        <v>0</v>
      </c>
      <c r="E46" s="278">
        <v>0</v>
      </c>
      <c r="G46" s="278">
        <f t="shared" si="5"/>
        <v>0</v>
      </c>
      <c r="I46" s="279">
        <v>2061</v>
      </c>
      <c r="K46" s="278">
        <v>0</v>
      </c>
      <c r="M46" s="278">
        <v>0</v>
      </c>
      <c r="O46" s="278">
        <f t="shared" si="6"/>
        <v>0</v>
      </c>
      <c r="Q46" s="279">
        <v>2061</v>
      </c>
      <c r="S46" s="278">
        <v>0</v>
      </c>
      <c r="U46" s="278">
        <v>0</v>
      </c>
      <c r="W46" s="278">
        <f t="shared" si="2"/>
        <v>0</v>
      </c>
      <c r="Y46" s="279">
        <v>2061</v>
      </c>
      <c r="AA46" s="278">
        <v>9000</v>
      </c>
      <c r="AC46" s="278">
        <v>51</v>
      </c>
      <c r="AE46" s="278">
        <f t="shared" si="4"/>
        <v>9051</v>
      </c>
      <c r="AG46" s="279">
        <v>2061</v>
      </c>
      <c r="AI46" s="278">
        <v>0</v>
      </c>
      <c r="AK46" s="278">
        <v>0</v>
      </c>
      <c r="AM46" s="278">
        <f t="shared" si="3"/>
        <v>0</v>
      </c>
    </row>
    <row r="47" spans="1:39" ht="16" thickBot="1" x14ac:dyDescent="0.4">
      <c r="C47" s="283">
        <f>SUM(C8:C25)</f>
        <v>206500</v>
      </c>
      <c r="E47" s="283">
        <f>SUM(E8:E25)</f>
        <v>69485</v>
      </c>
      <c r="G47" s="283">
        <f>SUM(G8:G25)</f>
        <v>275985</v>
      </c>
      <c r="K47" s="283">
        <f>SUM(K8:K30)</f>
        <v>772000</v>
      </c>
      <c r="M47" s="283">
        <f>SUM(M8:M30)</f>
        <v>439810</v>
      </c>
      <c r="O47" s="283">
        <f>SUM(O8:O30)</f>
        <v>1211810</v>
      </c>
      <c r="S47" s="283">
        <f>SUM(S8:S33)</f>
        <v>1198290</v>
      </c>
      <c r="U47" s="283">
        <f>SUM(U8:U33)</f>
        <v>777363</v>
      </c>
      <c r="W47" s="283">
        <f>SUM(W8:W33)</f>
        <v>1975653</v>
      </c>
      <c r="AA47" s="283">
        <f>SUM(AA8:AA46)</f>
        <v>308500</v>
      </c>
      <c r="AC47" s="283">
        <f>SUM(AC8:AC46)</f>
        <v>72408</v>
      </c>
      <c r="AE47" s="283">
        <f>SUM(AE8:AE46)</f>
        <v>380908</v>
      </c>
      <c r="AI47" s="283">
        <f>SUM(AI8:AI27)</f>
        <v>1100000</v>
      </c>
      <c r="AK47" s="283">
        <f>SUM(AK8:AK27)</f>
        <v>399793</v>
      </c>
      <c r="AM47" s="283">
        <f>SUM(AM8:AM27)</f>
        <v>1499793</v>
      </c>
    </row>
    <row r="48" spans="1:39" ht="16" thickTop="1" x14ac:dyDescent="0.35"/>
  </sheetData>
  <mergeCells count="7">
    <mergeCell ref="A1:AM1"/>
    <mergeCell ref="A2:AM2"/>
    <mergeCell ref="A5:G5"/>
    <mergeCell ref="I5:O5"/>
    <mergeCell ref="Q5:W5"/>
    <mergeCell ref="Y5:AE5"/>
    <mergeCell ref="AG5:AM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E935D-A502-4F39-897D-7D75AB83F23F}">
  <dimension ref="B2:H28"/>
  <sheetViews>
    <sheetView showGridLines="0" workbookViewId="0">
      <selection sqref="A1:XFD1048576"/>
    </sheetView>
  </sheetViews>
  <sheetFormatPr defaultColWidth="14.765625" defaultRowHeight="15.5" x14ac:dyDescent="0.35"/>
  <cols>
    <col min="2" max="2" width="2.765625" customWidth="1"/>
    <col min="3" max="5" width="10.765625" customWidth="1"/>
    <col min="8" max="8" width="2.765625" customWidth="1"/>
  </cols>
  <sheetData>
    <row r="2" spans="2:8" x14ac:dyDescent="0.35">
      <c r="B2" s="5"/>
      <c r="C2" s="12"/>
      <c r="D2" s="12"/>
      <c r="E2" s="12"/>
      <c r="F2" s="12"/>
      <c r="G2" s="19"/>
      <c r="H2" s="13"/>
    </row>
    <row r="3" spans="2:8" ht="18.5" x14ac:dyDescent="0.45">
      <c r="B3" s="428" t="s">
        <v>296</v>
      </c>
      <c r="C3" s="429"/>
      <c r="D3" s="429"/>
      <c r="E3" s="429"/>
      <c r="F3" s="429"/>
      <c r="G3" s="429"/>
      <c r="H3" s="430"/>
    </row>
    <row r="4" spans="2:8" ht="18.5" x14ac:dyDescent="0.35">
      <c r="B4" s="431" t="str">
        <f>Adj!B1</f>
        <v>Morgan County Water District</v>
      </c>
      <c r="C4" s="432"/>
      <c r="D4" s="432"/>
      <c r="E4" s="432"/>
      <c r="F4" s="432"/>
      <c r="G4" s="432"/>
      <c r="H4" s="433"/>
    </row>
    <row r="5" spans="2:8" x14ac:dyDescent="0.35">
      <c r="B5" s="6"/>
      <c r="C5" s="3"/>
      <c r="D5" s="3"/>
      <c r="E5" s="3"/>
      <c r="F5" s="3"/>
      <c r="G5" s="20"/>
      <c r="H5" s="14"/>
    </row>
    <row r="6" spans="2:8" x14ac:dyDescent="0.35">
      <c r="B6" s="234"/>
      <c r="C6" s="235" t="s">
        <v>295</v>
      </c>
      <c r="D6" s="236"/>
      <c r="E6" s="236"/>
      <c r="F6" s="236"/>
      <c r="G6" s="236"/>
      <c r="H6" s="237"/>
    </row>
    <row r="7" spans="2:8" x14ac:dyDescent="0.35">
      <c r="B7" s="22"/>
      <c r="C7" s="45" t="s">
        <v>51</v>
      </c>
      <c r="D7" s="51">
        <v>2000</v>
      </c>
      <c r="E7" s="242" t="s">
        <v>145</v>
      </c>
      <c r="F7" s="144">
        <v>31.89</v>
      </c>
      <c r="G7" t="s">
        <v>173</v>
      </c>
      <c r="H7" s="143"/>
    </row>
    <row r="8" spans="2:8" x14ac:dyDescent="0.35">
      <c r="B8" s="22"/>
      <c r="C8" s="45" t="s">
        <v>52</v>
      </c>
      <c r="D8" s="51">
        <v>3000</v>
      </c>
      <c r="E8" s="242" t="s">
        <v>145</v>
      </c>
      <c r="F8" s="238">
        <v>1.1860000000000001E-2</v>
      </c>
      <c r="G8" t="s">
        <v>174</v>
      </c>
      <c r="H8" s="143"/>
    </row>
    <row r="9" spans="2:8" x14ac:dyDescent="0.35">
      <c r="B9" s="22"/>
      <c r="C9" s="45" t="s">
        <v>52</v>
      </c>
      <c r="D9" s="51">
        <v>5000</v>
      </c>
      <c r="E9" s="242" t="s">
        <v>145</v>
      </c>
      <c r="F9" s="238">
        <v>1.0999999999999999E-2</v>
      </c>
      <c r="G9" t="s">
        <v>174</v>
      </c>
      <c r="H9" s="143"/>
    </row>
    <row r="10" spans="2:8" x14ac:dyDescent="0.35">
      <c r="B10" s="22"/>
      <c r="C10" s="45" t="s">
        <v>52</v>
      </c>
      <c r="D10" s="51">
        <v>15000</v>
      </c>
      <c r="E10" s="242" t="s">
        <v>145</v>
      </c>
      <c r="F10" s="238">
        <v>1.0149999999999999E-2</v>
      </c>
      <c r="G10" t="s">
        <v>174</v>
      </c>
      <c r="H10" s="143"/>
    </row>
    <row r="11" spans="2:8" x14ac:dyDescent="0.35">
      <c r="B11" s="22"/>
      <c r="C11" s="45" t="s">
        <v>96</v>
      </c>
      <c r="D11" s="51">
        <v>15000</v>
      </c>
      <c r="E11" s="242" t="s">
        <v>145</v>
      </c>
      <c r="F11" s="238">
        <v>9.2899999999999996E-3</v>
      </c>
      <c r="G11" t="s">
        <v>174</v>
      </c>
      <c r="H11" s="143"/>
    </row>
    <row r="12" spans="2:8" x14ac:dyDescent="0.35">
      <c r="B12" s="22"/>
      <c r="E12" s="242"/>
      <c r="H12" s="143"/>
    </row>
    <row r="13" spans="2:8" x14ac:dyDescent="0.35">
      <c r="B13" s="22"/>
      <c r="C13" s="72" t="s">
        <v>164</v>
      </c>
      <c r="E13" s="242"/>
      <c r="H13" s="143"/>
    </row>
    <row r="14" spans="2:8" x14ac:dyDescent="0.35">
      <c r="B14" s="22"/>
      <c r="C14" s="45" t="s">
        <v>51</v>
      </c>
      <c r="D14" s="51">
        <v>5000</v>
      </c>
      <c r="E14" s="242" t="s">
        <v>145</v>
      </c>
      <c r="F14" s="144">
        <v>67.62</v>
      </c>
      <c r="G14" t="s">
        <v>173</v>
      </c>
      <c r="H14" s="143"/>
    </row>
    <row r="15" spans="2:8" x14ac:dyDescent="0.35">
      <c r="B15" s="22"/>
      <c r="C15" s="45" t="s">
        <v>52</v>
      </c>
      <c r="D15" s="51">
        <v>5000</v>
      </c>
      <c r="E15" s="242" t="s">
        <v>145</v>
      </c>
      <c r="F15" s="238">
        <v>1.0999999999999999E-2</v>
      </c>
      <c r="G15" t="s">
        <v>174</v>
      </c>
      <c r="H15" s="143"/>
    </row>
    <row r="16" spans="2:8" x14ac:dyDescent="0.35">
      <c r="B16" s="22"/>
      <c r="C16" s="45" t="s">
        <v>52</v>
      </c>
      <c r="D16" s="51">
        <v>5000</v>
      </c>
      <c r="E16" s="242" t="s">
        <v>145</v>
      </c>
      <c r="F16" s="238">
        <v>1.0149999999999999E-2</v>
      </c>
      <c r="G16" t="s">
        <v>174</v>
      </c>
      <c r="H16" s="143"/>
    </row>
    <row r="17" spans="2:8" x14ac:dyDescent="0.35">
      <c r="B17" s="22"/>
      <c r="C17" s="45" t="s">
        <v>96</v>
      </c>
      <c r="D17" s="51">
        <v>15000</v>
      </c>
      <c r="E17" s="242" t="s">
        <v>145</v>
      </c>
      <c r="F17" s="238">
        <v>9.2899999999999996E-3</v>
      </c>
      <c r="G17" t="s">
        <v>174</v>
      </c>
      <c r="H17" s="143"/>
    </row>
    <row r="18" spans="2:8" x14ac:dyDescent="0.35">
      <c r="B18" s="22"/>
      <c r="C18" s="45"/>
      <c r="D18" s="51"/>
      <c r="E18" s="242"/>
      <c r="F18" s="238"/>
      <c r="H18" s="143"/>
    </row>
    <row r="19" spans="2:8" x14ac:dyDescent="0.35">
      <c r="B19" s="22"/>
      <c r="C19" s="72" t="s">
        <v>165</v>
      </c>
      <c r="E19" s="242"/>
      <c r="H19" s="143"/>
    </row>
    <row r="20" spans="2:8" x14ac:dyDescent="0.35">
      <c r="B20" s="22"/>
      <c r="C20" s="45" t="s">
        <v>51</v>
      </c>
      <c r="D20" s="51">
        <v>15000</v>
      </c>
      <c r="E20" s="242" t="s">
        <v>145</v>
      </c>
      <c r="F20" s="144">
        <v>171.93</v>
      </c>
      <c r="G20" t="s">
        <v>173</v>
      </c>
      <c r="H20" s="143"/>
    </row>
    <row r="21" spans="2:8" x14ac:dyDescent="0.35">
      <c r="B21" s="22"/>
      <c r="C21" s="45" t="s">
        <v>96</v>
      </c>
      <c r="D21" s="51">
        <v>15000</v>
      </c>
      <c r="E21" s="242" t="s">
        <v>145</v>
      </c>
      <c r="F21" s="238">
        <v>9.2899999999999996E-3</v>
      </c>
      <c r="G21" t="s">
        <v>174</v>
      </c>
      <c r="H21" s="143"/>
    </row>
    <row r="22" spans="2:8" x14ac:dyDescent="0.35">
      <c r="B22" s="22"/>
      <c r="E22" s="242"/>
      <c r="H22" s="143"/>
    </row>
    <row r="23" spans="2:8" x14ac:dyDescent="0.35">
      <c r="B23" s="22"/>
      <c r="C23" s="72" t="s">
        <v>166</v>
      </c>
      <c r="E23" s="242"/>
      <c r="H23" s="143"/>
    </row>
    <row r="24" spans="2:8" x14ac:dyDescent="0.35">
      <c r="B24" s="22"/>
      <c r="C24" s="45" t="s">
        <v>51</v>
      </c>
      <c r="D24" s="51">
        <v>100000</v>
      </c>
      <c r="E24" s="242" t="s">
        <v>145</v>
      </c>
      <c r="F24" s="144">
        <v>963.03</v>
      </c>
      <c r="G24" t="s">
        <v>173</v>
      </c>
      <c r="H24" s="143"/>
    </row>
    <row r="25" spans="2:8" x14ac:dyDescent="0.35">
      <c r="B25" s="22"/>
      <c r="C25" s="45" t="s">
        <v>96</v>
      </c>
      <c r="D25" s="51">
        <v>100000</v>
      </c>
      <c r="E25" s="242" t="s">
        <v>145</v>
      </c>
      <c r="F25" s="238">
        <v>9.2899999999999996E-3</v>
      </c>
      <c r="G25" t="s">
        <v>174</v>
      </c>
      <c r="H25" s="143"/>
    </row>
    <row r="26" spans="2:8" x14ac:dyDescent="0.35">
      <c r="B26" s="22"/>
      <c r="H26" s="143"/>
    </row>
    <row r="27" spans="2:8" x14ac:dyDescent="0.35">
      <c r="B27" s="22"/>
      <c r="C27" s="72" t="s">
        <v>175</v>
      </c>
      <c r="H27" s="143"/>
    </row>
    <row r="28" spans="2:8" x14ac:dyDescent="0.35">
      <c r="B28" s="239"/>
      <c r="C28" s="47"/>
      <c r="D28" s="48"/>
      <c r="E28" s="48"/>
      <c r="F28" s="240">
        <v>4.5199999999999997E-3</v>
      </c>
      <c r="G28" s="56" t="s">
        <v>174</v>
      </c>
      <c r="H28" s="241"/>
    </row>
  </sheetData>
  <mergeCells count="2">
    <mergeCell ref="B3:H3"/>
    <mergeCell ref="B4:H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02"/>
  <sheetViews>
    <sheetView showGridLines="0" topLeftCell="A4" zoomScaleNormal="100" workbookViewId="0">
      <selection activeCell="H16" sqref="H16"/>
    </sheetView>
  </sheetViews>
  <sheetFormatPr defaultColWidth="14.765625" defaultRowHeight="15.5" x14ac:dyDescent="0.35"/>
  <cols>
    <col min="2" max="7" width="14.765625" customWidth="1"/>
    <col min="8" max="9" width="14.765625" style="55" customWidth="1"/>
    <col min="10" max="11" width="14.765625" customWidth="1"/>
  </cols>
  <sheetData>
    <row r="1" spans="1:14" ht="18.5" x14ac:dyDescent="0.45">
      <c r="A1" s="429" t="s">
        <v>159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147"/>
      <c r="M1" s="147"/>
      <c r="N1" s="147"/>
    </row>
    <row r="2" spans="1:14" ht="18.5" x14ac:dyDescent="0.35">
      <c r="A2" s="432" t="e">
        <f>#REF!</f>
        <v>#REF!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146"/>
      <c r="M2" s="146"/>
      <c r="N2" s="146"/>
    </row>
    <row r="3" spans="1:14" x14ac:dyDescent="0.35">
      <c r="A3" s="437"/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1"/>
      <c r="M3" s="1"/>
      <c r="N3" s="1"/>
    </row>
    <row r="4" spans="1:14" ht="18.5" x14ac:dyDescent="0.45">
      <c r="A4" s="438" t="s">
        <v>93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147"/>
      <c r="M4" s="147"/>
      <c r="N4" s="147"/>
    </row>
    <row r="6" spans="1:14" x14ac:dyDescent="0.35">
      <c r="B6" s="72"/>
      <c r="C6" s="439" t="s">
        <v>161</v>
      </c>
      <c r="D6" s="439"/>
      <c r="F6" s="47" t="s">
        <v>162</v>
      </c>
      <c r="G6" s="47" t="s">
        <v>34</v>
      </c>
      <c r="H6" s="49" t="s">
        <v>32</v>
      </c>
    </row>
    <row r="7" spans="1:14" x14ac:dyDescent="0.35">
      <c r="B7" s="72"/>
      <c r="C7" s="435" t="s">
        <v>163</v>
      </c>
      <c r="D7" s="435"/>
      <c r="F7" s="51">
        <f>D36</f>
        <v>35191</v>
      </c>
      <c r="G7" s="51">
        <f>E41</f>
        <v>106282790</v>
      </c>
      <c r="H7" s="148">
        <f>H41</f>
        <v>1707560.0699999998</v>
      </c>
    </row>
    <row r="8" spans="1:14" x14ac:dyDescent="0.35">
      <c r="B8" s="72"/>
      <c r="C8" s="436" t="s">
        <v>164</v>
      </c>
      <c r="D8" s="436"/>
      <c r="F8" s="51">
        <f>D56</f>
        <v>200</v>
      </c>
      <c r="G8" s="51">
        <f>E60</f>
        <v>1076140</v>
      </c>
      <c r="H8" s="150">
        <f>H60</f>
        <v>19754.23</v>
      </c>
    </row>
    <row r="9" spans="1:14" x14ac:dyDescent="0.35">
      <c r="B9" s="72"/>
      <c r="C9" s="149" t="s">
        <v>165</v>
      </c>
      <c r="D9" s="149"/>
      <c r="F9" s="51">
        <f>D72</f>
        <v>96</v>
      </c>
      <c r="G9" s="51">
        <f>E74</f>
        <v>12676300</v>
      </c>
      <c r="H9" s="150">
        <f>H74</f>
        <v>122881.08</v>
      </c>
    </row>
    <row r="10" spans="1:14" x14ac:dyDescent="0.35">
      <c r="B10" s="72"/>
      <c r="C10" s="149" t="s">
        <v>166</v>
      </c>
      <c r="D10" s="149"/>
      <c r="F10" s="51">
        <f>D86</f>
        <v>12</v>
      </c>
      <c r="G10" s="51">
        <f>E88</f>
        <v>1136710</v>
      </c>
      <c r="H10" s="150">
        <f>H88</f>
        <v>14848.09</v>
      </c>
    </row>
    <row r="11" spans="1:14" x14ac:dyDescent="0.35">
      <c r="B11" s="72"/>
      <c r="C11" s="149" t="s">
        <v>167</v>
      </c>
      <c r="D11" s="149"/>
      <c r="F11" s="48">
        <f>D100</f>
        <v>12</v>
      </c>
      <c r="G11" s="48">
        <f>E101</f>
        <v>6280000</v>
      </c>
      <c r="H11" s="151">
        <f>H101</f>
        <v>28385.599999999999</v>
      </c>
    </row>
    <row r="12" spans="1:14" x14ac:dyDescent="0.35">
      <c r="B12" s="72"/>
      <c r="C12" s="149" t="s">
        <v>168</v>
      </c>
      <c r="D12" s="149"/>
      <c r="F12" s="51">
        <f>SUM(F7:F11)</f>
        <v>35511</v>
      </c>
      <c r="G12" s="51">
        <f>SUM(G7:G11)</f>
        <v>127451940</v>
      </c>
      <c r="H12" s="150">
        <f>SUM(H7:H11)</f>
        <v>1893429.07</v>
      </c>
    </row>
    <row r="13" spans="1:14" x14ac:dyDescent="0.35">
      <c r="B13" s="72"/>
      <c r="C13" s="149" t="s">
        <v>169</v>
      </c>
      <c r="D13" s="149"/>
      <c r="F13" s="45"/>
      <c r="G13" s="45"/>
      <c r="H13" s="151">
        <f>-ROUND('BA Adj'!B5,0)</f>
        <v>-12088</v>
      </c>
    </row>
    <row r="14" spans="1:14" x14ac:dyDescent="0.35">
      <c r="B14" s="72"/>
      <c r="C14" s="149" t="s">
        <v>170</v>
      </c>
      <c r="D14" s="149"/>
      <c r="F14" s="45"/>
      <c r="G14" s="45"/>
      <c r="H14" s="150">
        <f>SUM(H12:H13)</f>
        <v>1881341.07</v>
      </c>
    </row>
    <row r="15" spans="1:14" x14ac:dyDescent="0.35">
      <c r="B15" s="72"/>
      <c r="C15" s="245" t="s">
        <v>299</v>
      </c>
      <c r="D15" s="149"/>
      <c r="F15" s="45"/>
      <c r="G15" s="45"/>
      <c r="H15" s="151">
        <f>-H20</f>
        <v>-1890143</v>
      </c>
    </row>
    <row r="16" spans="1:14" ht="16" thickBot="1" x14ac:dyDescent="0.4">
      <c r="B16" s="72"/>
      <c r="C16" s="152" t="s">
        <v>171</v>
      </c>
      <c r="D16" s="152"/>
      <c r="H16" s="153">
        <f>SUM(H14:H15)</f>
        <v>-8801.9299999999348</v>
      </c>
    </row>
    <row r="17" spans="1:16" ht="16" thickTop="1" x14ac:dyDescent="0.35">
      <c r="B17" s="72"/>
      <c r="C17" s="152"/>
      <c r="D17" s="152"/>
      <c r="H17" s="246"/>
    </row>
    <row r="18" spans="1:16" x14ac:dyDescent="0.35">
      <c r="B18" s="72"/>
      <c r="C18" s="247" t="s">
        <v>300</v>
      </c>
      <c r="D18" s="152"/>
      <c r="H18" s="246">
        <f>'SAO- DSC Revised - 3 Emp'!F11</f>
        <v>1922574</v>
      </c>
    </row>
    <row r="19" spans="1:16" x14ac:dyDescent="0.35">
      <c r="B19" s="72"/>
      <c r="C19" s="247" t="s">
        <v>301</v>
      </c>
      <c r="D19" s="152"/>
      <c r="H19" s="151">
        <f>'SAO- DSC Revised - 3 Emp'!H11</f>
        <v>-32431</v>
      </c>
    </row>
    <row r="20" spans="1:16" ht="16" thickBot="1" x14ac:dyDescent="0.4">
      <c r="B20" s="72"/>
      <c r="C20" s="247" t="s">
        <v>302</v>
      </c>
      <c r="D20" s="152"/>
      <c r="H20" s="153">
        <f>SUM(H18:H19)</f>
        <v>1890143</v>
      </c>
    </row>
    <row r="21" spans="1:16" ht="16" thickTop="1" x14ac:dyDescent="0.35">
      <c r="B21" s="72"/>
    </row>
    <row r="22" spans="1:16" x14ac:dyDescent="0.35">
      <c r="B22" s="72"/>
    </row>
    <row r="23" spans="1:16" x14ac:dyDescent="0.35">
      <c r="A23" t="s">
        <v>172</v>
      </c>
      <c r="B23" s="62" t="s">
        <v>295</v>
      </c>
    </row>
    <row r="24" spans="1:16" x14ac:dyDescent="0.35">
      <c r="B24" s="45"/>
      <c r="C24" s="45"/>
      <c r="D24" s="45"/>
      <c r="E24" s="45"/>
      <c r="F24" s="45" t="s">
        <v>51</v>
      </c>
      <c r="G24" s="45" t="s">
        <v>52</v>
      </c>
      <c r="H24" s="46" t="s">
        <v>52</v>
      </c>
      <c r="I24" s="46" t="s">
        <v>52</v>
      </c>
      <c r="J24" s="45" t="s">
        <v>96</v>
      </c>
      <c r="K24" s="45" t="s">
        <v>57</v>
      </c>
      <c r="L24" s="45"/>
      <c r="M24" s="45"/>
      <c r="N24" s="45"/>
    </row>
    <row r="25" spans="1:16" x14ac:dyDescent="0.35">
      <c r="B25" s="45"/>
      <c r="C25" s="47" t="s">
        <v>143</v>
      </c>
      <c r="D25" s="47" t="s">
        <v>144</v>
      </c>
      <c r="E25" s="47" t="s">
        <v>145</v>
      </c>
      <c r="F25" s="154">
        <f>C26</f>
        <v>2000</v>
      </c>
      <c r="G25" s="48">
        <f>C27</f>
        <v>3000</v>
      </c>
      <c r="H25" s="49">
        <f>C29</f>
        <v>5000</v>
      </c>
      <c r="I25" s="49">
        <f>C29</f>
        <v>5000</v>
      </c>
      <c r="J25" s="50">
        <f>SUM(F25:H25)</f>
        <v>10000</v>
      </c>
      <c r="K25" s="47"/>
      <c r="L25" s="45"/>
      <c r="M25" s="45"/>
      <c r="N25" s="45"/>
    </row>
    <row r="26" spans="1:16" x14ac:dyDescent="0.35">
      <c r="B26" s="45" t="s">
        <v>51</v>
      </c>
      <c r="C26" s="46">
        <v>2000</v>
      </c>
      <c r="D26" s="51">
        <v>14898</v>
      </c>
      <c r="E26" s="51">
        <v>14083390</v>
      </c>
      <c r="F26" s="51">
        <f>E26</f>
        <v>14083390</v>
      </c>
      <c r="G26" s="51">
        <v>0</v>
      </c>
      <c r="H26" s="52">
        <v>0</v>
      </c>
      <c r="I26" s="52"/>
      <c r="J26" s="51">
        <v>0</v>
      </c>
      <c r="K26" s="51">
        <f>SUM(F26:J26)</f>
        <v>14083390</v>
      </c>
      <c r="L26" s="51"/>
      <c r="M26" s="51"/>
      <c r="N26" s="51"/>
    </row>
    <row r="27" spans="1:16" x14ac:dyDescent="0.35">
      <c r="B27" s="45" t="s">
        <v>52</v>
      </c>
      <c r="C27" s="46">
        <v>3000</v>
      </c>
      <c r="D27" s="51">
        <v>15472</v>
      </c>
      <c r="E27" s="51">
        <v>49891280</v>
      </c>
      <c r="F27" s="51">
        <f>$D27*F$25</f>
        <v>30944000</v>
      </c>
      <c r="G27" s="51">
        <f>E27-F27</f>
        <v>18947280</v>
      </c>
      <c r="H27" s="52">
        <v>0</v>
      </c>
      <c r="I27" s="52"/>
      <c r="J27" s="51">
        <v>0</v>
      </c>
      <c r="K27" s="51">
        <f t="shared" ref="K27:K30" si="0">SUM(F27:J27)</f>
        <v>49891280</v>
      </c>
      <c r="L27" s="51"/>
      <c r="M27" s="51"/>
      <c r="N27" s="51"/>
      <c r="O27" s="51">
        <f>SUM(G27:K27)</f>
        <v>68838560</v>
      </c>
      <c r="P27" s="51">
        <f>SUM(H27:O27)</f>
        <v>118729840</v>
      </c>
    </row>
    <row r="28" spans="1:16" x14ac:dyDescent="0.35">
      <c r="B28" s="45" t="s">
        <v>52</v>
      </c>
      <c r="C28" s="46">
        <v>5000</v>
      </c>
      <c r="D28" s="51">
        <v>3998</v>
      </c>
      <c r="E28" s="51">
        <v>26273360</v>
      </c>
      <c r="F28" s="51">
        <f>$D28*F$25</f>
        <v>7996000</v>
      </c>
      <c r="G28" s="51">
        <f>$D28*G$25</f>
        <v>11994000</v>
      </c>
      <c r="H28" s="52">
        <f>E28-F28-G28</f>
        <v>6283360</v>
      </c>
      <c r="I28" s="52"/>
      <c r="J28" s="51"/>
      <c r="K28" s="51">
        <f t="shared" si="0"/>
        <v>26273360</v>
      </c>
      <c r="L28" s="51"/>
      <c r="M28" s="51"/>
      <c r="N28" s="51"/>
    </row>
    <row r="29" spans="1:16" x14ac:dyDescent="0.35">
      <c r="B29" s="45" t="s">
        <v>52</v>
      </c>
      <c r="C29" s="46">
        <v>5000</v>
      </c>
      <c r="D29" s="51">
        <v>504</v>
      </c>
      <c r="E29" s="51">
        <v>5985670</v>
      </c>
      <c r="F29" s="51">
        <f t="shared" ref="F29:I30" si="1">$D29*F$25</f>
        <v>1008000</v>
      </c>
      <c r="G29" s="51">
        <f t="shared" si="1"/>
        <v>1512000</v>
      </c>
      <c r="H29" s="51">
        <f t="shared" si="1"/>
        <v>2520000</v>
      </c>
      <c r="I29" s="51">
        <f>E29-F29-G29-H29</f>
        <v>945670</v>
      </c>
      <c r="J29" s="51">
        <v>0</v>
      </c>
      <c r="K29" s="51">
        <f t="shared" si="0"/>
        <v>5985670</v>
      </c>
      <c r="L29" s="51"/>
      <c r="M29" s="51"/>
      <c r="N29" s="51"/>
    </row>
    <row r="30" spans="1:16" x14ac:dyDescent="0.35">
      <c r="B30" s="45" t="s">
        <v>96</v>
      </c>
      <c r="C30" s="46">
        <f>SUM(C26:C29)</f>
        <v>15000</v>
      </c>
      <c r="D30" s="51">
        <v>319</v>
      </c>
      <c r="E30" s="51">
        <v>10049090</v>
      </c>
      <c r="F30" s="51">
        <f t="shared" si="1"/>
        <v>638000</v>
      </c>
      <c r="G30" s="51">
        <f t="shared" si="1"/>
        <v>957000</v>
      </c>
      <c r="H30" s="51">
        <f t="shared" si="1"/>
        <v>1595000</v>
      </c>
      <c r="I30" s="51">
        <f t="shared" si="1"/>
        <v>1595000</v>
      </c>
      <c r="J30" s="51">
        <f>E30-F30-G30-H30-I30</f>
        <v>5264090</v>
      </c>
      <c r="K30" s="51">
        <f t="shared" si="0"/>
        <v>10049090</v>
      </c>
      <c r="L30" s="51"/>
      <c r="M30" s="51"/>
      <c r="N30" s="51"/>
    </row>
    <row r="31" spans="1:16" ht="16" thickBot="1" x14ac:dyDescent="0.4">
      <c r="B31" s="45"/>
      <c r="C31" t="s">
        <v>0</v>
      </c>
      <c r="D31" s="53">
        <f t="shared" ref="D31:K31" si="2">SUM(D26:D30)</f>
        <v>35191</v>
      </c>
      <c r="E31" s="53">
        <f t="shared" si="2"/>
        <v>106282790</v>
      </c>
      <c r="F31" s="53">
        <f t="shared" si="2"/>
        <v>54669390</v>
      </c>
      <c r="G31" s="53">
        <f t="shared" si="2"/>
        <v>33410280</v>
      </c>
      <c r="H31" s="54">
        <f t="shared" si="2"/>
        <v>10398360</v>
      </c>
      <c r="I31" s="54">
        <f t="shared" si="2"/>
        <v>2540670</v>
      </c>
      <c r="J31" s="53">
        <f t="shared" si="2"/>
        <v>5264090</v>
      </c>
      <c r="K31" s="53">
        <f t="shared" si="2"/>
        <v>106282790</v>
      </c>
      <c r="L31" s="57"/>
      <c r="M31" s="57"/>
      <c r="N31" s="57"/>
    </row>
    <row r="32" spans="1:16" ht="16" thickTop="1" x14ac:dyDescent="0.35"/>
    <row r="34" spans="1:16" x14ac:dyDescent="0.35">
      <c r="B34" s="434" t="s">
        <v>146</v>
      </c>
      <c r="C34" s="434"/>
      <c r="D34" s="434"/>
      <c r="E34" s="434"/>
      <c r="F34" s="434"/>
      <c r="G34" s="434"/>
      <c r="H34" s="434"/>
    </row>
    <row r="35" spans="1:16" x14ac:dyDescent="0.35">
      <c r="C35" s="56"/>
      <c r="D35" s="155" t="s">
        <v>144</v>
      </c>
      <c r="E35" s="155" t="s">
        <v>145</v>
      </c>
      <c r="F35" s="434" t="s">
        <v>147</v>
      </c>
      <c r="G35" s="434"/>
      <c r="H35" s="155" t="s">
        <v>32</v>
      </c>
    </row>
    <row r="36" spans="1:16" x14ac:dyDescent="0.35">
      <c r="B36" s="45" t="s">
        <v>51</v>
      </c>
      <c r="C36" s="51">
        <f>C26</f>
        <v>2000</v>
      </c>
      <c r="D36" s="57">
        <f>D31</f>
        <v>35191</v>
      </c>
      <c r="E36" s="57">
        <f>F31</f>
        <v>54669390</v>
      </c>
      <c r="F36" s="58">
        <v>31.89</v>
      </c>
      <c r="G36" t="s">
        <v>173</v>
      </c>
      <c r="H36" s="58">
        <f>F36*D36</f>
        <v>1122240.99</v>
      </c>
    </row>
    <row r="37" spans="1:16" x14ac:dyDescent="0.35">
      <c r="B37" s="45" t="s">
        <v>52</v>
      </c>
      <c r="C37" s="51">
        <f>C27</f>
        <v>3000</v>
      </c>
      <c r="E37" s="57">
        <f>G31</f>
        <v>33410280</v>
      </c>
      <c r="F37" s="156">
        <f>ROUND(P37/1000,6)</f>
        <v>1.1860000000000001E-2</v>
      </c>
      <c r="G37" t="s">
        <v>174</v>
      </c>
      <c r="H37" s="157">
        <f>ROUND(E37*F37,2)</f>
        <v>396245.92</v>
      </c>
      <c r="P37" s="158">
        <v>11.86</v>
      </c>
    </row>
    <row r="38" spans="1:16" x14ac:dyDescent="0.35">
      <c r="B38" s="45" t="s">
        <v>52</v>
      </c>
      <c r="C38" s="51">
        <f>C29</f>
        <v>5000</v>
      </c>
      <c r="E38" s="57">
        <f>H31</f>
        <v>10398360</v>
      </c>
      <c r="F38" s="156">
        <f t="shared" ref="F38:F40" si="3">ROUND(P38/1000,6)</f>
        <v>1.0999999999999999E-2</v>
      </c>
      <c r="G38" t="s">
        <v>174</v>
      </c>
      <c r="H38" s="157">
        <f>ROUND(E38*F38,2)</f>
        <v>114381.96</v>
      </c>
      <c r="P38" s="158">
        <v>11</v>
      </c>
    </row>
    <row r="39" spans="1:16" x14ac:dyDescent="0.35">
      <c r="B39" s="45" t="s">
        <v>52</v>
      </c>
      <c r="C39" s="51">
        <v>5000</v>
      </c>
      <c r="E39" s="57">
        <f>I31</f>
        <v>2540670</v>
      </c>
      <c r="F39" s="156">
        <f t="shared" si="3"/>
        <v>1.0149999999999999E-2</v>
      </c>
      <c r="G39" t="s">
        <v>174</v>
      </c>
      <c r="H39" s="157">
        <f>ROUND(E39*F39,2)</f>
        <v>25787.8</v>
      </c>
      <c r="P39" s="158">
        <v>10.15</v>
      </c>
    </row>
    <row r="40" spans="1:16" x14ac:dyDescent="0.35">
      <c r="B40" s="45" t="s">
        <v>96</v>
      </c>
      <c r="C40" s="51">
        <f>C30</f>
        <v>15000</v>
      </c>
      <c r="D40" s="56"/>
      <c r="E40" s="59">
        <f>J30</f>
        <v>5264090</v>
      </c>
      <c r="F40" s="156">
        <f t="shared" si="3"/>
        <v>9.2899999999999996E-3</v>
      </c>
      <c r="G40" t="s">
        <v>174</v>
      </c>
      <c r="H40" s="157">
        <f>ROUND(E40*F40,2)</f>
        <v>48903.4</v>
      </c>
      <c r="P40" s="158">
        <v>9.2899999999999991</v>
      </c>
    </row>
    <row r="41" spans="1:16" ht="16" thickBot="1" x14ac:dyDescent="0.4">
      <c r="C41" t="s">
        <v>35</v>
      </c>
      <c r="E41" s="53">
        <f>SUM(E36:E40)</f>
        <v>106282790</v>
      </c>
      <c r="H41" s="159">
        <f>SUM(H36:H40)</f>
        <v>1707560.0699999998</v>
      </c>
      <c r="K41" t="s">
        <v>148</v>
      </c>
    </row>
    <row r="42" spans="1:16" ht="16" thickTop="1" x14ac:dyDescent="0.35"/>
    <row r="44" spans="1:16" x14ac:dyDescent="0.35">
      <c r="A44" t="s">
        <v>172</v>
      </c>
      <c r="B44" s="72" t="s">
        <v>164</v>
      </c>
      <c r="I44"/>
    </row>
    <row r="45" spans="1:16" x14ac:dyDescent="0.35">
      <c r="B45" s="45"/>
      <c r="C45" s="45"/>
      <c r="D45" s="45"/>
      <c r="E45" s="45"/>
      <c r="F45" s="45" t="s">
        <v>51</v>
      </c>
      <c r="G45" s="45" t="s">
        <v>52</v>
      </c>
      <c r="H45" s="46" t="s">
        <v>52</v>
      </c>
      <c r="I45" s="45" t="s">
        <v>96</v>
      </c>
      <c r="J45" s="45" t="s">
        <v>57</v>
      </c>
    </row>
    <row r="46" spans="1:16" x14ac:dyDescent="0.35">
      <c r="B46" s="45"/>
      <c r="C46" s="47" t="s">
        <v>143</v>
      </c>
      <c r="D46" s="47" t="s">
        <v>144</v>
      </c>
      <c r="E46" s="47" t="s">
        <v>145</v>
      </c>
      <c r="F46" s="48">
        <f>C47</f>
        <v>5000</v>
      </c>
      <c r="G46" s="48">
        <f>C48</f>
        <v>5000</v>
      </c>
      <c r="H46" s="49">
        <f>C48</f>
        <v>5000</v>
      </c>
      <c r="I46" s="50">
        <f>SUM(F46:H46)</f>
        <v>15000</v>
      </c>
      <c r="J46" s="47"/>
    </row>
    <row r="47" spans="1:16" x14ac:dyDescent="0.35">
      <c r="B47" s="45" t="s">
        <v>51</v>
      </c>
      <c r="C47" s="46">
        <v>5000</v>
      </c>
      <c r="D47" s="51">
        <v>173</v>
      </c>
      <c r="E47" s="51">
        <v>291950</v>
      </c>
      <c r="F47" s="51">
        <f>E47</f>
        <v>291950</v>
      </c>
      <c r="G47" s="51">
        <v>0</v>
      </c>
      <c r="H47" s="52">
        <v>0</v>
      </c>
      <c r="I47" s="51">
        <v>0</v>
      </c>
      <c r="J47" s="51">
        <f>SUM(F47:I47)</f>
        <v>291950</v>
      </c>
    </row>
    <row r="48" spans="1:16" x14ac:dyDescent="0.35">
      <c r="B48" s="45" t="s">
        <v>52</v>
      </c>
      <c r="C48" s="46">
        <v>5000</v>
      </c>
      <c r="D48" s="51">
        <v>15</v>
      </c>
      <c r="E48" s="51">
        <v>103990</v>
      </c>
      <c r="F48" s="51">
        <f>$D48*F$46</f>
        <v>75000</v>
      </c>
      <c r="G48" s="51">
        <f>E48-F48</f>
        <v>28990</v>
      </c>
      <c r="H48" s="52">
        <v>0</v>
      </c>
      <c r="I48" s="51">
        <v>0</v>
      </c>
      <c r="J48" s="51">
        <f>SUM(F48:I48)</f>
        <v>103990</v>
      </c>
      <c r="K48" s="51"/>
      <c r="L48" s="51"/>
      <c r="M48" s="51"/>
      <c r="N48" s="51"/>
      <c r="O48" s="51"/>
    </row>
    <row r="49" spans="1:16" x14ac:dyDescent="0.35">
      <c r="B49" s="45" t="s">
        <v>52</v>
      </c>
      <c r="C49" s="46">
        <v>5000</v>
      </c>
      <c r="D49" s="51">
        <v>2</v>
      </c>
      <c r="E49" s="51">
        <v>24750</v>
      </c>
      <c r="F49" s="51">
        <f t="shared" ref="F49:F50" si="4">$D49*F$46</f>
        <v>10000</v>
      </c>
      <c r="G49" s="51">
        <f>$D49*G$46</f>
        <v>10000</v>
      </c>
      <c r="H49" s="52">
        <f>E49-F49-G49</f>
        <v>4750</v>
      </c>
      <c r="I49" s="51"/>
      <c r="J49" s="51">
        <f>SUM(F49:I49)</f>
        <v>24750</v>
      </c>
    </row>
    <row r="50" spans="1:16" x14ac:dyDescent="0.35">
      <c r="B50" s="45" t="s">
        <v>96</v>
      </c>
      <c r="C50" s="46">
        <f>SUM(C47:C49)</f>
        <v>15000</v>
      </c>
      <c r="D50" s="51">
        <v>10</v>
      </c>
      <c r="E50" s="51">
        <v>655450</v>
      </c>
      <c r="F50" s="51">
        <f t="shared" si="4"/>
        <v>50000</v>
      </c>
      <c r="G50" s="51">
        <f>$D50*G$46</f>
        <v>50000</v>
      </c>
      <c r="H50" s="51">
        <f>$D50*H$46</f>
        <v>50000</v>
      </c>
      <c r="I50" s="51">
        <f>E50-F50-G50-H50</f>
        <v>505450</v>
      </c>
      <c r="J50" s="51">
        <f>SUM(F50:I50)</f>
        <v>655450</v>
      </c>
    </row>
    <row r="51" spans="1:16" ht="16" thickBot="1" x14ac:dyDescent="0.4">
      <c r="B51" s="45"/>
      <c r="C51" t="s">
        <v>0</v>
      </c>
      <c r="D51" s="53">
        <f t="shared" ref="D51:J51" si="5">SUM(D47:D50)</f>
        <v>200</v>
      </c>
      <c r="E51" s="53">
        <f t="shared" si="5"/>
        <v>1076140</v>
      </c>
      <c r="F51" s="53">
        <f t="shared" si="5"/>
        <v>426950</v>
      </c>
      <c r="G51" s="53">
        <f t="shared" si="5"/>
        <v>88990</v>
      </c>
      <c r="H51" s="54">
        <f t="shared" si="5"/>
        <v>54750</v>
      </c>
      <c r="I51" s="53">
        <f t="shared" si="5"/>
        <v>505450</v>
      </c>
      <c r="J51" s="53">
        <f t="shared" si="5"/>
        <v>1076140</v>
      </c>
    </row>
    <row r="52" spans="1:16" ht="16" thickTop="1" x14ac:dyDescent="0.35">
      <c r="I52"/>
    </row>
    <row r="53" spans="1:16" x14ac:dyDescent="0.35">
      <c r="I53"/>
    </row>
    <row r="54" spans="1:16" x14ac:dyDescent="0.35">
      <c r="B54" s="434" t="s">
        <v>146</v>
      </c>
      <c r="C54" s="434"/>
      <c r="D54" s="434"/>
      <c r="E54" s="434"/>
      <c r="F54" s="434"/>
      <c r="G54" s="434"/>
      <c r="H54" s="434"/>
      <c r="I54"/>
    </row>
    <row r="55" spans="1:16" x14ac:dyDescent="0.35">
      <c r="C55" s="56"/>
      <c r="D55" s="155" t="s">
        <v>144</v>
      </c>
      <c r="E55" s="155" t="s">
        <v>145</v>
      </c>
      <c r="F55" s="434" t="s">
        <v>147</v>
      </c>
      <c r="G55" s="434"/>
      <c r="H55" s="155" t="s">
        <v>32</v>
      </c>
      <c r="I55"/>
    </row>
    <row r="56" spans="1:16" x14ac:dyDescent="0.35">
      <c r="B56" s="45" t="s">
        <v>51</v>
      </c>
      <c r="C56" s="51">
        <f>C47</f>
        <v>5000</v>
      </c>
      <c r="D56" s="57">
        <f>D51</f>
        <v>200</v>
      </c>
      <c r="E56" s="57">
        <f>F51</f>
        <v>426950</v>
      </c>
      <c r="F56" s="58">
        <f>'Cur Rates'!F14</f>
        <v>67.62</v>
      </c>
      <c r="G56" t="s">
        <v>173</v>
      </c>
      <c r="H56" s="58">
        <f>F56*D56</f>
        <v>13524</v>
      </c>
      <c r="I56"/>
    </row>
    <row r="57" spans="1:16" x14ac:dyDescent="0.35">
      <c r="B57" s="45" t="s">
        <v>52</v>
      </c>
      <c r="C57" s="51">
        <f>C48</f>
        <v>5000</v>
      </c>
      <c r="E57" s="57">
        <f>G51</f>
        <v>88990</v>
      </c>
      <c r="F57" s="156">
        <f>'Cur Rates'!F15</f>
        <v>1.0999999999999999E-2</v>
      </c>
      <c r="G57" t="s">
        <v>174</v>
      </c>
      <c r="H57" s="157">
        <f>ROUND(E57*F57,2)</f>
        <v>978.89</v>
      </c>
      <c r="I57"/>
      <c r="P57" s="158">
        <v>11</v>
      </c>
    </row>
    <row r="58" spans="1:16" x14ac:dyDescent="0.35">
      <c r="B58" s="45" t="s">
        <v>52</v>
      </c>
      <c r="C58" s="51">
        <f>C49</f>
        <v>5000</v>
      </c>
      <c r="E58" s="57">
        <f>H51</f>
        <v>54750</v>
      </c>
      <c r="F58" s="156">
        <f>'Cur Rates'!F16</f>
        <v>1.0149999999999999E-2</v>
      </c>
      <c r="G58" t="s">
        <v>174</v>
      </c>
      <c r="H58" s="157">
        <f>ROUND(E58*F58,2)</f>
        <v>555.71</v>
      </c>
      <c r="I58"/>
      <c r="P58" s="158">
        <v>10.15</v>
      </c>
    </row>
    <row r="59" spans="1:16" x14ac:dyDescent="0.35">
      <c r="B59" s="45" t="s">
        <v>96</v>
      </c>
      <c r="C59" s="51">
        <f>C50</f>
        <v>15000</v>
      </c>
      <c r="D59" s="56"/>
      <c r="E59" s="59">
        <f>I50</f>
        <v>505450</v>
      </c>
      <c r="F59" s="156">
        <f>'Cur Rates'!F17</f>
        <v>9.2899999999999996E-3</v>
      </c>
      <c r="G59" t="s">
        <v>174</v>
      </c>
      <c r="H59" s="157">
        <f>ROUND(E59*F59,2)</f>
        <v>4695.63</v>
      </c>
      <c r="I59"/>
      <c r="P59" s="158">
        <v>9.2899999999999991</v>
      </c>
    </row>
    <row r="60" spans="1:16" ht="16" thickBot="1" x14ac:dyDescent="0.4">
      <c r="C60" t="s">
        <v>35</v>
      </c>
      <c r="E60" s="53">
        <f>SUM(E56:E59)</f>
        <v>1076140</v>
      </c>
      <c r="H60" s="159">
        <f>SUM(H56:H59)</f>
        <v>19754.23</v>
      </c>
      <c r="I60"/>
      <c r="J60" t="s">
        <v>148</v>
      </c>
    </row>
    <row r="61" spans="1:16" ht="16" thickTop="1" x14ac:dyDescent="0.35"/>
    <row r="62" spans="1:16" x14ac:dyDescent="0.35">
      <c r="A62" t="s">
        <v>172</v>
      </c>
      <c r="B62" s="72" t="s">
        <v>165</v>
      </c>
      <c r="H62"/>
      <c r="I62"/>
    </row>
    <row r="63" spans="1:16" x14ac:dyDescent="0.35">
      <c r="B63" s="45"/>
      <c r="C63" s="45"/>
      <c r="D63" s="45"/>
      <c r="E63" s="45"/>
      <c r="F63" s="45" t="s">
        <v>51</v>
      </c>
      <c r="G63" s="45" t="s">
        <v>96</v>
      </c>
      <c r="H63" s="45" t="s">
        <v>57</v>
      </c>
      <c r="I63"/>
    </row>
    <row r="64" spans="1:16" x14ac:dyDescent="0.35">
      <c r="B64" s="45"/>
      <c r="C64" s="47" t="s">
        <v>143</v>
      </c>
      <c r="D64" s="47" t="s">
        <v>144</v>
      </c>
      <c r="E64" s="47" t="s">
        <v>145</v>
      </c>
      <c r="F64" s="48">
        <f>C65</f>
        <v>15000</v>
      </c>
      <c r="G64" s="50">
        <f>SUM(F64:F64)</f>
        <v>15000</v>
      </c>
      <c r="H64" s="47"/>
      <c r="I64"/>
    </row>
    <row r="65" spans="1:16" x14ac:dyDescent="0.35">
      <c r="B65" s="45" t="s">
        <v>51</v>
      </c>
      <c r="C65" s="46">
        <v>15000</v>
      </c>
      <c r="D65" s="51">
        <v>24</v>
      </c>
      <c r="E65" s="51">
        <v>145730</v>
      </c>
      <c r="F65" s="51">
        <f>E65</f>
        <v>145730</v>
      </c>
      <c r="G65" s="51">
        <v>0</v>
      </c>
      <c r="H65" s="51">
        <f>SUM(F65:G65)</f>
        <v>145730</v>
      </c>
      <c r="I65"/>
    </row>
    <row r="66" spans="1:16" x14ac:dyDescent="0.35">
      <c r="B66" s="45" t="s">
        <v>96</v>
      </c>
      <c r="C66" s="46">
        <f>SUM(C65:C65)</f>
        <v>15000</v>
      </c>
      <c r="D66" s="51">
        <v>72</v>
      </c>
      <c r="E66" s="51">
        <v>12530570</v>
      </c>
      <c r="F66" s="51">
        <f>$D66*F$64</f>
        <v>1080000</v>
      </c>
      <c r="G66" s="51">
        <f>E66-F66</f>
        <v>11450570</v>
      </c>
      <c r="H66" s="51">
        <f>SUM(F66:G66)</f>
        <v>12530570</v>
      </c>
      <c r="I66"/>
    </row>
    <row r="67" spans="1:16" ht="16" thickBot="1" x14ac:dyDescent="0.4">
      <c r="B67" s="45"/>
      <c r="C67" t="s">
        <v>0</v>
      </c>
      <c r="D67" s="53">
        <f>SUM(D65:D66)</f>
        <v>96</v>
      </c>
      <c r="E67" s="53">
        <f>SUM(E65:E66)</f>
        <v>12676300</v>
      </c>
      <c r="F67" s="53">
        <f>SUM(F65:F66)</f>
        <v>1225730</v>
      </c>
      <c r="G67" s="53">
        <f>SUM(G65:G66)</f>
        <v>11450570</v>
      </c>
      <c r="H67" s="53">
        <f>SUM(H65:H66)</f>
        <v>12676300</v>
      </c>
      <c r="I67"/>
    </row>
    <row r="68" spans="1:16" ht="16" thickTop="1" x14ac:dyDescent="0.35">
      <c r="H68"/>
      <c r="I68"/>
    </row>
    <row r="69" spans="1:16" x14ac:dyDescent="0.35">
      <c r="H69"/>
      <c r="I69"/>
    </row>
    <row r="70" spans="1:16" x14ac:dyDescent="0.35">
      <c r="B70" s="434" t="s">
        <v>146</v>
      </c>
      <c r="C70" s="434"/>
      <c r="D70" s="434"/>
      <c r="E70" s="434"/>
      <c r="F70" s="434"/>
      <c r="G70" s="434"/>
      <c r="H70" s="434"/>
      <c r="I70"/>
    </row>
    <row r="71" spans="1:16" x14ac:dyDescent="0.35">
      <c r="C71" s="56"/>
      <c r="D71" s="155" t="s">
        <v>144</v>
      </c>
      <c r="E71" s="155" t="s">
        <v>145</v>
      </c>
      <c r="F71" s="434" t="s">
        <v>147</v>
      </c>
      <c r="G71" s="434"/>
      <c r="H71" s="155" t="s">
        <v>32</v>
      </c>
      <c r="I71"/>
    </row>
    <row r="72" spans="1:16" x14ac:dyDescent="0.35">
      <c r="B72" s="45" t="s">
        <v>51</v>
      </c>
      <c r="C72" s="51">
        <f>C65</f>
        <v>15000</v>
      </c>
      <c r="D72" s="57">
        <f>D67</f>
        <v>96</v>
      </c>
      <c r="E72" s="57">
        <f>F67</f>
        <v>1225730</v>
      </c>
      <c r="F72" s="58">
        <v>171.93</v>
      </c>
      <c r="G72" t="s">
        <v>173</v>
      </c>
      <c r="H72" s="58">
        <f>F72*D72</f>
        <v>16505.28</v>
      </c>
      <c r="I72"/>
    </row>
    <row r="73" spans="1:16" x14ac:dyDescent="0.35">
      <c r="B73" s="45" t="s">
        <v>96</v>
      </c>
      <c r="C73" s="51">
        <f>C66</f>
        <v>15000</v>
      </c>
      <c r="D73" s="56"/>
      <c r="E73" s="59">
        <f>G66</f>
        <v>11450570</v>
      </c>
      <c r="F73" s="156">
        <f>F59</f>
        <v>9.2899999999999996E-3</v>
      </c>
      <c r="G73" t="s">
        <v>174</v>
      </c>
      <c r="H73" s="157">
        <f>ROUND(E73*F73,2)</f>
        <v>106375.8</v>
      </c>
      <c r="I73"/>
      <c r="P73" s="158">
        <v>9.2899999999999991</v>
      </c>
    </row>
    <row r="74" spans="1:16" ht="16" thickBot="1" x14ac:dyDescent="0.4">
      <c r="C74" t="s">
        <v>35</v>
      </c>
      <c r="E74" s="53">
        <f>SUM(E72:E73)</f>
        <v>12676300</v>
      </c>
      <c r="H74" s="159">
        <f>SUM(H72:H73)</f>
        <v>122881.08</v>
      </c>
      <c r="I74"/>
    </row>
    <row r="75" spans="1:16" ht="16" thickTop="1" x14ac:dyDescent="0.35"/>
    <row r="76" spans="1:16" x14ac:dyDescent="0.35">
      <c r="A76" t="s">
        <v>172</v>
      </c>
      <c r="B76" s="72" t="s">
        <v>166</v>
      </c>
      <c r="H76"/>
      <c r="I76"/>
    </row>
    <row r="77" spans="1:16" x14ac:dyDescent="0.35">
      <c r="B77" s="45"/>
      <c r="C77" s="45"/>
      <c r="D77" s="45"/>
      <c r="E77" s="45"/>
      <c r="F77" s="45" t="s">
        <v>51</v>
      </c>
      <c r="G77" s="45" t="s">
        <v>96</v>
      </c>
      <c r="H77" s="45" t="s">
        <v>57</v>
      </c>
      <c r="I77"/>
    </row>
    <row r="78" spans="1:16" x14ac:dyDescent="0.35">
      <c r="B78" s="45"/>
      <c r="C78" s="47" t="s">
        <v>143</v>
      </c>
      <c r="D78" s="47" t="s">
        <v>144</v>
      </c>
      <c r="E78" s="47" t="s">
        <v>145</v>
      </c>
      <c r="F78" s="48">
        <f>C79</f>
        <v>100000</v>
      </c>
      <c r="G78" s="50">
        <f>SUM(F78:F78)</f>
        <v>100000</v>
      </c>
      <c r="H78" s="47"/>
      <c r="I78"/>
    </row>
    <row r="79" spans="1:16" x14ac:dyDescent="0.35">
      <c r="B79" s="45" t="s">
        <v>51</v>
      </c>
      <c r="C79" s="46">
        <v>100000</v>
      </c>
      <c r="D79" s="51">
        <v>8</v>
      </c>
      <c r="E79" s="51">
        <v>382380</v>
      </c>
      <c r="F79" s="51">
        <f>E79</f>
        <v>382380</v>
      </c>
      <c r="G79" s="51">
        <v>0</v>
      </c>
      <c r="H79" s="51">
        <f>SUM(F79:G79)</f>
        <v>382380</v>
      </c>
      <c r="I79"/>
    </row>
    <row r="80" spans="1:16" x14ac:dyDescent="0.35">
      <c r="B80" s="45" t="s">
        <v>96</v>
      </c>
      <c r="C80" s="46">
        <f>SUM(C79:C79)</f>
        <v>100000</v>
      </c>
      <c r="D80" s="51">
        <v>4</v>
      </c>
      <c r="E80" s="51">
        <v>754330</v>
      </c>
      <c r="F80" s="51">
        <f>$D80*F$78</f>
        <v>400000</v>
      </c>
      <c r="G80" s="51">
        <f>E80-F80</f>
        <v>354330</v>
      </c>
      <c r="H80" s="51">
        <f>SUM(F80:G80)</f>
        <v>754330</v>
      </c>
      <c r="I80"/>
    </row>
    <row r="81" spans="1:16" ht="16" thickBot="1" x14ac:dyDescent="0.4">
      <c r="B81" s="45"/>
      <c r="C81" t="s">
        <v>0</v>
      </c>
      <c r="D81" s="53">
        <f>SUM(D79:D80)</f>
        <v>12</v>
      </c>
      <c r="E81" s="53">
        <f>SUM(E79:E80)</f>
        <v>1136710</v>
      </c>
      <c r="F81" s="53">
        <f>SUM(F79:F80)</f>
        <v>782380</v>
      </c>
      <c r="G81" s="53">
        <f>SUM(G79:G80)</f>
        <v>354330</v>
      </c>
      <c r="H81" s="53">
        <f>SUM(H79:H80)</f>
        <v>1136710</v>
      </c>
      <c r="I81"/>
    </row>
    <row r="82" spans="1:16" ht="16" thickTop="1" x14ac:dyDescent="0.35">
      <c r="H82"/>
      <c r="I82"/>
    </row>
    <row r="83" spans="1:16" x14ac:dyDescent="0.35">
      <c r="H83"/>
      <c r="I83"/>
    </row>
    <row r="84" spans="1:16" x14ac:dyDescent="0.35">
      <c r="B84" s="434" t="s">
        <v>146</v>
      </c>
      <c r="C84" s="434"/>
      <c r="D84" s="434"/>
      <c r="E84" s="434"/>
      <c r="F84" s="434"/>
      <c r="G84" s="434"/>
      <c r="H84" s="434"/>
      <c r="I84"/>
    </row>
    <row r="85" spans="1:16" x14ac:dyDescent="0.35">
      <c r="C85" s="56"/>
      <c r="D85" s="155" t="s">
        <v>144</v>
      </c>
      <c r="E85" s="155" t="s">
        <v>145</v>
      </c>
      <c r="F85" s="434" t="s">
        <v>147</v>
      </c>
      <c r="G85" s="434"/>
      <c r="H85" s="155" t="s">
        <v>32</v>
      </c>
      <c r="I85"/>
    </row>
    <row r="86" spans="1:16" x14ac:dyDescent="0.35">
      <c r="B86" s="45" t="s">
        <v>51</v>
      </c>
      <c r="C86" s="51">
        <f>C79</f>
        <v>100000</v>
      </c>
      <c r="D86" s="57">
        <f>D81</f>
        <v>12</v>
      </c>
      <c r="E86" s="57">
        <f>F81</f>
        <v>782380</v>
      </c>
      <c r="F86" s="58">
        <v>963.03</v>
      </c>
      <c r="G86" t="s">
        <v>173</v>
      </c>
      <c r="H86" s="58">
        <f>F86*D86</f>
        <v>11556.36</v>
      </c>
      <c r="I86"/>
    </row>
    <row r="87" spans="1:16" x14ac:dyDescent="0.35">
      <c r="B87" s="45" t="s">
        <v>96</v>
      </c>
      <c r="C87" s="51">
        <f>C80</f>
        <v>100000</v>
      </c>
      <c r="D87" s="56"/>
      <c r="E87" s="59">
        <f>G80</f>
        <v>354330</v>
      </c>
      <c r="F87" s="156">
        <f>F73</f>
        <v>9.2899999999999996E-3</v>
      </c>
      <c r="G87" t="s">
        <v>174</v>
      </c>
      <c r="H87" s="157">
        <f>ROUND(E87*F87,2)</f>
        <v>3291.73</v>
      </c>
      <c r="I87"/>
      <c r="P87" s="158">
        <v>9.2899999999999991</v>
      </c>
    </row>
    <row r="88" spans="1:16" ht="16" thickBot="1" x14ac:dyDescent="0.4">
      <c r="C88" t="s">
        <v>35</v>
      </c>
      <c r="E88" s="53">
        <f>SUM(E86:E87)</f>
        <v>1136710</v>
      </c>
      <c r="H88" s="159">
        <f>SUM(H86:H87)</f>
        <v>14848.09</v>
      </c>
      <c r="I88"/>
    </row>
    <row r="89" spans="1:16" ht="16" thickTop="1" x14ac:dyDescent="0.35"/>
    <row r="90" spans="1:16" x14ac:dyDescent="0.35">
      <c r="A90" t="s">
        <v>172</v>
      </c>
      <c r="B90" s="72" t="s">
        <v>175</v>
      </c>
      <c r="H90"/>
      <c r="I90"/>
    </row>
    <row r="91" spans="1:16" x14ac:dyDescent="0.35">
      <c r="H91"/>
      <c r="I91"/>
    </row>
    <row r="92" spans="1:16" x14ac:dyDescent="0.35">
      <c r="B92" s="45"/>
      <c r="C92" s="45"/>
      <c r="D92" s="45"/>
      <c r="E92" s="45"/>
      <c r="H92"/>
      <c r="I92"/>
    </row>
    <row r="93" spans="1:16" x14ac:dyDescent="0.35">
      <c r="B93" s="45"/>
      <c r="C93" s="47" t="s">
        <v>143</v>
      </c>
      <c r="D93" s="47" t="s">
        <v>144</v>
      </c>
      <c r="E93" s="47" t="s">
        <v>145</v>
      </c>
      <c r="H93"/>
      <c r="I93"/>
    </row>
    <row r="94" spans="1:16" x14ac:dyDescent="0.35">
      <c r="B94" s="45" t="s">
        <v>96</v>
      </c>
      <c r="C94" s="46">
        <v>6280000</v>
      </c>
      <c r="D94" s="51">
        <v>12</v>
      </c>
      <c r="E94" s="51">
        <v>6280000</v>
      </c>
      <c r="H94"/>
      <c r="I94"/>
    </row>
    <row r="95" spans="1:16" ht="16" thickBot="1" x14ac:dyDescent="0.4">
      <c r="B95" s="45"/>
      <c r="C95" t="s">
        <v>0</v>
      </c>
      <c r="D95" s="53">
        <f>SUM(D94:D94)</f>
        <v>12</v>
      </c>
      <c r="E95" s="53">
        <f>SUM(E94:E94)</f>
        <v>6280000</v>
      </c>
      <c r="H95"/>
      <c r="I95"/>
    </row>
    <row r="96" spans="1:16" ht="16" thickTop="1" x14ac:dyDescent="0.35">
      <c r="H96"/>
      <c r="I96"/>
    </row>
    <row r="97" spans="2:16" x14ac:dyDescent="0.35">
      <c r="H97"/>
      <c r="I97"/>
    </row>
    <row r="98" spans="2:16" x14ac:dyDescent="0.35">
      <c r="B98" s="434" t="s">
        <v>146</v>
      </c>
      <c r="C98" s="434"/>
      <c r="D98" s="434"/>
      <c r="E98" s="434"/>
      <c r="F98" s="434"/>
      <c r="G98" s="434"/>
      <c r="H98" s="434"/>
      <c r="I98"/>
    </row>
    <row r="99" spans="2:16" x14ac:dyDescent="0.35">
      <c r="C99" s="56"/>
      <c r="D99" s="155" t="s">
        <v>144</v>
      </c>
      <c r="E99" s="155" t="s">
        <v>145</v>
      </c>
      <c r="F99" s="434" t="s">
        <v>147</v>
      </c>
      <c r="G99" s="434"/>
      <c r="H99" s="155" t="s">
        <v>32</v>
      </c>
      <c r="I99"/>
    </row>
    <row r="100" spans="2:16" x14ac:dyDescent="0.35">
      <c r="B100" s="45" t="s">
        <v>145</v>
      </c>
      <c r="C100" s="51"/>
      <c r="D100" s="59">
        <f>D95</f>
        <v>12</v>
      </c>
      <c r="E100" s="59">
        <f>E95</f>
        <v>6280000</v>
      </c>
      <c r="F100" s="156">
        <f>ROUND(P100/1000,6)</f>
        <v>4.5199999999999997E-3</v>
      </c>
      <c r="G100" t="s">
        <v>174</v>
      </c>
      <c r="H100" s="157">
        <f>ROUND(E100*F100,2)</f>
        <v>28385.599999999999</v>
      </c>
      <c r="I100"/>
      <c r="P100" s="158">
        <v>4.5199999999999996</v>
      </c>
    </row>
    <row r="101" spans="2:16" ht="16" thickBot="1" x14ac:dyDescent="0.4">
      <c r="C101" t="s">
        <v>35</v>
      </c>
      <c r="E101" s="53">
        <f>SUM(E100:E100)</f>
        <v>6280000</v>
      </c>
      <c r="H101" s="159">
        <f>SUM(H100:H100)</f>
        <v>28385.599999999999</v>
      </c>
      <c r="I101"/>
    </row>
    <row r="102" spans="2:16" ht="16" thickTop="1" x14ac:dyDescent="0.35"/>
  </sheetData>
  <mergeCells count="17">
    <mergeCell ref="A1:K1"/>
    <mergeCell ref="A2:K2"/>
    <mergeCell ref="A3:K3"/>
    <mergeCell ref="A4:K4"/>
    <mergeCell ref="C6:D6"/>
    <mergeCell ref="C7:D7"/>
    <mergeCell ref="C8:D8"/>
    <mergeCell ref="B34:H34"/>
    <mergeCell ref="F35:G35"/>
    <mergeCell ref="F85:G85"/>
    <mergeCell ref="B98:H98"/>
    <mergeCell ref="F99:G99"/>
    <mergeCell ref="B54:H54"/>
    <mergeCell ref="F55:G55"/>
    <mergeCell ref="B70:H70"/>
    <mergeCell ref="F71:G71"/>
    <mergeCell ref="B84:H84"/>
  </mergeCells>
  <printOptions horizontalCentered="1"/>
  <pageMargins left="0.7" right="0.6" top="1.1499999999999999" bottom="0.85" header="0.3" footer="0.3"/>
  <pageSetup scale="89" fitToHeight="2" orientation="portrait" r:id="rId1"/>
  <headerFooter>
    <oddFooter>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T33"/>
  <sheetViews>
    <sheetView workbookViewId="0">
      <selection activeCell="Q13" sqref="Q13"/>
    </sheetView>
  </sheetViews>
  <sheetFormatPr defaultColWidth="8.84375" defaultRowHeight="15.5" x14ac:dyDescent="0.35"/>
  <cols>
    <col min="1" max="1" width="9.69140625" style="4" customWidth="1"/>
    <col min="2" max="2" width="1.07421875" style="4" customWidth="1"/>
    <col min="3" max="3" width="4.765625" style="4" customWidth="1"/>
    <col min="4" max="5" width="10.765625" style="4" customWidth="1"/>
    <col min="6" max="6" width="11.765625" style="15" customWidth="1"/>
    <col min="7" max="7" width="10.765625" style="4" customWidth="1"/>
    <col min="8" max="8" width="1.23046875" style="4" customWidth="1"/>
    <col min="9" max="11" width="10.765625" style="4" customWidth="1"/>
    <col min="12" max="12" width="10.765625" style="15" customWidth="1"/>
    <col min="13" max="13" width="10.765625" style="4" customWidth="1"/>
    <col min="14" max="14" width="9.69140625" style="4" customWidth="1"/>
    <col min="15" max="19" width="12.765625" style="4" customWidth="1"/>
    <col min="20" max="206" width="9.69140625" style="4" customWidth="1"/>
    <col min="207" max="16384" width="8.84375" style="4"/>
  </cols>
  <sheetData>
    <row r="2" spans="2:20" x14ac:dyDescent="0.35">
      <c r="B2" s="9"/>
      <c r="C2" s="75"/>
      <c r="D2" s="75"/>
      <c r="E2" s="75"/>
      <c r="F2" s="76"/>
      <c r="G2" s="75"/>
      <c r="H2" s="75"/>
      <c r="I2" s="75"/>
      <c r="J2" s="75"/>
      <c r="K2" s="75"/>
      <c r="L2" s="76"/>
      <c r="M2" s="77"/>
    </row>
    <row r="3" spans="2:20" x14ac:dyDescent="0.35">
      <c r="B3" s="8"/>
      <c r="C3" s="442" t="s">
        <v>85</v>
      </c>
      <c r="D3" s="442"/>
      <c r="E3" s="442"/>
      <c r="F3" s="442"/>
      <c r="G3" s="442"/>
      <c r="H3" s="442"/>
      <c r="I3" s="442"/>
      <c r="J3" s="442"/>
      <c r="K3" s="442"/>
      <c r="L3" s="442"/>
      <c r="M3" s="443"/>
    </row>
    <row r="4" spans="2:20" x14ac:dyDescent="0.35">
      <c r="B4" s="8"/>
      <c r="C4" s="442" t="s">
        <v>53</v>
      </c>
      <c r="D4" s="442"/>
      <c r="E4" s="442"/>
      <c r="F4" s="442"/>
      <c r="G4" s="442"/>
      <c r="H4" s="442"/>
      <c r="I4" s="442"/>
      <c r="J4" s="442"/>
      <c r="K4" s="442"/>
      <c r="L4" s="442"/>
      <c r="M4" s="443"/>
      <c r="O4" s="4" t="s">
        <v>156</v>
      </c>
      <c r="R4" s="4" t="s">
        <v>157</v>
      </c>
    </row>
    <row r="5" spans="2:20" x14ac:dyDescent="0.35">
      <c r="B5" s="8"/>
      <c r="C5" s="444" t="str">
        <f>Adj!B1</f>
        <v>Morgan County Water District</v>
      </c>
      <c r="D5" s="444"/>
      <c r="E5" s="444"/>
      <c r="F5" s="444"/>
      <c r="G5" s="444"/>
      <c r="H5" s="444"/>
      <c r="I5" s="444"/>
      <c r="J5" s="444"/>
      <c r="K5" s="444"/>
      <c r="L5" s="444"/>
      <c r="M5" s="445"/>
      <c r="N5" s="70"/>
      <c r="O5" s="70"/>
      <c r="P5" s="70"/>
      <c r="Q5" s="70"/>
      <c r="R5" s="70"/>
      <c r="S5" s="70"/>
    </row>
    <row r="6" spans="2:20" x14ac:dyDescent="0.35">
      <c r="B6" s="8"/>
      <c r="M6" s="78"/>
    </row>
    <row r="7" spans="2:20" x14ac:dyDescent="0.35">
      <c r="B7" s="9"/>
      <c r="C7" s="75"/>
      <c r="D7" s="75"/>
      <c r="E7" s="75"/>
      <c r="F7" s="76"/>
      <c r="G7" s="77"/>
      <c r="H7" s="9"/>
      <c r="I7" s="75"/>
      <c r="J7" s="75"/>
      <c r="K7" s="75"/>
      <c r="L7" s="76"/>
      <c r="M7" s="77"/>
    </row>
    <row r="8" spans="2:20" x14ac:dyDescent="0.35">
      <c r="B8" s="8"/>
      <c r="C8" s="440" t="s">
        <v>297</v>
      </c>
      <c r="D8" s="440"/>
      <c r="E8" s="440"/>
      <c r="F8" s="440"/>
      <c r="G8" s="441"/>
      <c r="I8" s="440" t="s">
        <v>94</v>
      </c>
      <c r="J8" s="440"/>
      <c r="K8" s="440"/>
      <c r="L8" s="440"/>
      <c r="M8" s="441"/>
      <c r="O8" s="17">
        <f>'SAO- DSC Revised - 3 Emp'!R57</f>
        <v>0.32750000000000001</v>
      </c>
      <c r="P8" s="17" t="s">
        <v>95</v>
      </c>
      <c r="Q8" s="17"/>
      <c r="R8" s="17"/>
      <c r="S8" s="17"/>
    </row>
    <row r="9" spans="2:20" x14ac:dyDescent="0.35">
      <c r="B9" s="8"/>
      <c r="G9" s="78"/>
      <c r="M9" s="78"/>
    </row>
    <row r="10" spans="2:20" x14ac:dyDescent="0.35">
      <c r="B10" s="8"/>
      <c r="C10" s="16"/>
      <c r="G10" s="78"/>
      <c r="I10" s="16"/>
      <c r="L10" s="79"/>
      <c r="M10" s="78"/>
    </row>
    <row r="11" spans="2:20" x14ac:dyDescent="0.35">
      <c r="B11" s="9"/>
      <c r="C11" s="235" t="s">
        <v>295</v>
      </c>
      <c r="D11" s="236"/>
      <c r="E11" s="236"/>
      <c r="F11" s="236"/>
      <c r="G11" s="237"/>
      <c r="H11" s="9"/>
      <c r="I11" s="235" t="s">
        <v>295</v>
      </c>
      <c r="J11" s="236"/>
      <c r="K11" s="236"/>
      <c r="L11" s="76"/>
      <c r="M11" s="77"/>
      <c r="T11" s="81"/>
    </row>
    <row r="12" spans="2:20" x14ac:dyDescent="0.35">
      <c r="B12" s="8"/>
      <c r="C12" s="45" t="s">
        <v>51</v>
      </c>
      <c r="D12" s="51">
        <v>2000</v>
      </c>
      <c r="E12" s="242" t="s">
        <v>145</v>
      </c>
      <c r="F12" s="144">
        <f>'Cur Rates'!F7</f>
        <v>31.89</v>
      </c>
      <c r="G12" s="143" t="s">
        <v>173</v>
      </c>
      <c r="H12" s="8"/>
      <c r="I12" s="45" t="s">
        <v>51</v>
      </c>
      <c r="J12" s="51">
        <v>2000</v>
      </c>
      <c r="K12" s="242" t="s">
        <v>145</v>
      </c>
      <c r="L12" s="144">
        <f>R12</f>
        <v>42.37</v>
      </c>
      <c r="M12" s="143" t="s">
        <v>173</v>
      </c>
      <c r="O12" s="144">
        <f>F12</f>
        <v>31.89</v>
      </c>
      <c r="P12" s="144">
        <f>ROUND(O$8*O12,2)</f>
        <v>10.44</v>
      </c>
      <c r="Q12" s="61">
        <v>0.04</v>
      </c>
      <c r="R12" s="144">
        <f>SUM(O12:Q12)</f>
        <v>42.37</v>
      </c>
      <c r="S12" s="144"/>
      <c r="T12" s="81"/>
    </row>
    <row r="13" spans="2:20" x14ac:dyDescent="0.35">
      <c r="B13" s="8"/>
      <c r="C13" s="45" t="s">
        <v>52</v>
      </c>
      <c r="D13" s="51">
        <v>3000</v>
      </c>
      <c r="E13" s="242" t="s">
        <v>145</v>
      </c>
      <c r="F13" s="364">
        <f>'Cur Rates'!F8</f>
        <v>1.1860000000000001E-2</v>
      </c>
      <c r="G13" s="143" t="s">
        <v>174</v>
      </c>
      <c r="H13" s="8"/>
      <c r="I13" s="45" t="s">
        <v>52</v>
      </c>
      <c r="J13" s="51">
        <v>3000</v>
      </c>
      <c r="K13" s="242" t="s">
        <v>145</v>
      </c>
      <c r="L13" s="364">
        <f>R13</f>
        <v>1.5689999999999999E-2</v>
      </c>
      <c r="M13" s="143" t="s">
        <v>174</v>
      </c>
      <c r="N13" s="18"/>
      <c r="O13" s="61">
        <f t="shared" ref="O13:O33" si="0">F13</f>
        <v>1.1860000000000001E-2</v>
      </c>
      <c r="P13" s="61">
        <f>ROUND(O$8*O13,5)</f>
        <v>3.8800000000000002E-3</v>
      </c>
      <c r="Q13" s="61">
        <v>-5.0000000000000002E-5</v>
      </c>
      <c r="R13" s="61">
        <f>SUM(O13:Q13)</f>
        <v>1.5689999999999999E-2</v>
      </c>
      <c r="S13" s="61"/>
      <c r="T13" s="81"/>
    </row>
    <row r="14" spans="2:20" x14ac:dyDescent="0.35">
      <c r="B14" s="8"/>
      <c r="C14" s="45" t="s">
        <v>52</v>
      </c>
      <c r="D14" s="51">
        <v>5000</v>
      </c>
      <c r="E14" s="242" t="s">
        <v>145</v>
      </c>
      <c r="F14" s="364">
        <f>'Cur Rates'!F9</f>
        <v>1.0999999999999999E-2</v>
      </c>
      <c r="G14" s="143" t="s">
        <v>174</v>
      </c>
      <c r="H14" s="8"/>
      <c r="I14" s="45" t="s">
        <v>52</v>
      </c>
      <c r="J14" s="51">
        <v>5000</v>
      </c>
      <c r="K14" s="242" t="s">
        <v>145</v>
      </c>
      <c r="L14" s="364">
        <f t="shared" ref="L14:L16" si="1">R14</f>
        <v>1.4549999999999999E-2</v>
      </c>
      <c r="M14" s="143" t="s">
        <v>174</v>
      </c>
      <c r="O14" s="61">
        <f t="shared" si="0"/>
        <v>1.0999999999999999E-2</v>
      </c>
      <c r="P14" s="61">
        <f t="shared" ref="P14:P16" si="2">ROUND(O$8*O14,5)</f>
        <v>3.5999999999999999E-3</v>
      </c>
      <c r="Q14" s="61">
        <f>Q13</f>
        <v>-5.0000000000000002E-5</v>
      </c>
      <c r="R14" s="61">
        <f t="shared" ref="R14:R16" si="3">SUM(O14:Q14)</f>
        <v>1.4549999999999999E-2</v>
      </c>
      <c r="S14" s="61">
        <v>-1.0000000000000001E-5</v>
      </c>
    </row>
    <row r="15" spans="2:20" x14ac:dyDescent="0.35">
      <c r="B15" s="8"/>
      <c r="C15" s="45" t="s">
        <v>52</v>
      </c>
      <c r="D15" s="51">
        <v>15000</v>
      </c>
      <c r="E15" s="242" t="s">
        <v>145</v>
      </c>
      <c r="F15" s="364">
        <f>'Cur Rates'!F10</f>
        <v>1.0149999999999999E-2</v>
      </c>
      <c r="G15" s="143" t="s">
        <v>174</v>
      </c>
      <c r="H15" s="8"/>
      <c r="I15" s="45" t="s">
        <v>52</v>
      </c>
      <c r="J15" s="51">
        <v>15000</v>
      </c>
      <c r="K15" s="242" t="s">
        <v>145</v>
      </c>
      <c r="L15" s="364">
        <f t="shared" si="1"/>
        <v>1.342E-2</v>
      </c>
      <c r="M15" s="143" t="s">
        <v>174</v>
      </c>
      <c r="O15" s="61">
        <f t="shared" si="0"/>
        <v>1.0149999999999999E-2</v>
      </c>
      <c r="P15" s="61">
        <f t="shared" si="2"/>
        <v>3.32E-3</v>
      </c>
      <c r="Q15" s="61">
        <f>Q13</f>
        <v>-5.0000000000000002E-5</v>
      </c>
      <c r="R15" s="61">
        <f t="shared" si="3"/>
        <v>1.342E-2</v>
      </c>
      <c r="S15" s="61"/>
    </row>
    <row r="16" spans="2:20" x14ac:dyDescent="0.35">
      <c r="B16" s="8"/>
      <c r="C16" s="45" t="s">
        <v>96</v>
      </c>
      <c r="D16" s="51">
        <v>15000</v>
      </c>
      <c r="E16" s="242" t="s">
        <v>145</v>
      </c>
      <c r="F16" s="364">
        <f>'Cur Rates'!F11</f>
        <v>9.2899999999999996E-3</v>
      </c>
      <c r="G16" s="143" t="s">
        <v>174</v>
      </c>
      <c r="H16" s="8"/>
      <c r="I16" s="45" t="s">
        <v>96</v>
      </c>
      <c r="J16" s="51">
        <v>15000</v>
      </c>
      <c r="K16" s="242" t="s">
        <v>145</v>
      </c>
      <c r="L16" s="364">
        <f t="shared" si="1"/>
        <v>1.2280000000000001E-2</v>
      </c>
      <c r="M16" s="143" t="s">
        <v>174</v>
      </c>
      <c r="O16" s="61">
        <f t="shared" si="0"/>
        <v>9.2899999999999996E-3</v>
      </c>
      <c r="P16" s="61">
        <f t="shared" si="2"/>
        <v>3.0400000000000002E-3</v>
      </c>
      <c r="Q16" s="61">
        <f>Q13</f>
        <v>-5.0000000000000002E-5</v>
      </c>
      <c r="R16" s="61">
        <f t="shared" si="3"/>
        <v>1.2280000000000001E-2</v>
      </c>
      <c r="S16" s="61"/>
    </row>
    <row r="17" spans="2:19" x14ac:dyDescent="0.35">
      <c r="B17" s="8"/>
      <c r="C17"/>
      <c r="D17"/>
      <c r="E17" s="242"/>
      <c r="F17"/>
      <c r="G17" s="143"/>
      <c r="H17" s="8"/>
      <c r="I17"/>
      <c r="J17"/>
      <c r="K17" s="242"/>
      <c r="L17"/>
      <c r="M17" s="143"/>
      <c r="O17"/>
      <c r="P17"/>
      <c r="Q17"/>
      <c r="R17"/>
      <c r="S17"/>
    </row>
    <row r="18" spans="2:19" x14ac:dyDescent="0.35">
      <c r="B18" s="8"/>
      <c r="C18" s="72" t="s">
        <v>164</v>
      </c>
      <c r="D18"/>
      <c r="E18" s="242"/>
      <c r="F18"/>
      <c r="G18" s="143"/>
      <c r="H18" s="8"/>
      <c r="I18" s="72" t="s">
        <v>164</v>
      </c>
      <c r="J18"/>
      <c r="K18" s="242"/>
      <c r="L18"/>
      <c r="M18" s="143"/>
      <c r="O18"/>
      <c r="P18"/>
      <c r="Q18"/>
      <c r="R18"/>
      <c r="S18"/>
    </row>
    <row r="19" spans="2:19" x14ac:dyDescent="0.35">
      <c r="B19" s="8"/>
      <c r="C19" s="45" t="s">
        <v>51</v>
      </c>
      <c r="D19" s="51">
        <v>5000</v>
      </c>
      <c r="E19" s="242" t="s">
        <v>145</v>
      </c>
      <c r="F19" s="144">
        <f>'ExBA - Beg. Rates'!F56</f>
        <v>67.62</v>
      </c>
      <c r="G19" s="143" t="s">
        <v>173</v>
      </c>
      <c r="H19" s="8"/>
      <c r="I19" s="45" t="s">
        <v>51</v>
      </c>
      <c r="J19" s="51">
        <v>5000</v>
      </c>
      <c r="K19" s="242" t="s">
        <v>145</v>
      </c>
      <c r="L19" s="144">
        <f>R19</f>
        <v>89.810000000000016</v>
      </c>
      <c r="M19" s="143" t="s">
        <v>173</v>
      </c>
      <c r="O19" s="144">
        <f t="shared" si="0"/>
        <v>67.62</v>
      </c>
      <c r="P19" s="144">
        <f>ROUND(O$8*O19,2)</f>
        <v>22.15</v>
      </c>
      <c r="Q19" s="61">
        <f>Q12</f>
        <v>0.04</v>
      </c>
      <c r="R19" s="144">
        <f>SUM(O19:Q19)</f>
        <v>89.810000000000016</v>
      </c>
      <c r="S19" s="144"/>
    </row>
    <row r="20" spans="2:19" x14ac:dyDescent="0.35">
      <c r="B20" s="8"/>
      <c r="C20" s="45" t="s">
        <v>52</v>
      </c>
      <c r="D20" s="51">
        <v>5000</v>
      </c>
      <c r="E20" s="242" t="s">
        <v>145</v>
      </c>
      <c r="F20" s="364">
        <f>'ExBA - Beg. Rates'!F57</f>
        <v>1.0999999999999999E-2</v>
      </c>
      <c r="G20" s="143" t="s">
        <v>174</v>
      </c>
      <c r="H20" s="8"/>
      <c r="I20" s="45" t="s">
        <v>52</v>
      </c>
      <c r="J20" s="51">
        <v>5000</v>
      </c>
      <c r="K20" s="242" t="s">
        <v>145</v>
      </c>
      <c r="L20" s="364">
        <f t="shared" ref="L20:L22" si="4">R20</f>
        <v>1.4549999999999999E-2</v>
      </c>
      <c r="M20" s="143" t="s">
        <v>174</v>
      </c>
      <c r="O20" s="61">
        <f t="shared" si="0"/>
        <v>1.0999999999999999E-2</v>
      </c>
      <c r="P20" s="61">
        <f>P14</f>
        <v>3.5999999999999999E-3</v>
      </c>
      <c r="Q20" s="61">
        <f>Q13</f>
        <v>-5.0000000000000002E-5</v>
      </c>
      <c r="R20" s="61">
        <f t="shared" ref="R20:R22" si="5">SUM(O20:Q20)</f>
        <v>1.4549999999999999E-2</v>
      </c>
      <c r="S20" s="61"/>
    </row>
    <row r="21" spans="2:19" x14ac:dyDescent="0.35">
      <c r="B21" s="8"/>
      <c r="C21" s="45" t="s">
        <v>52</v>
      </c>
      <c r="D21" s="51">
        <v>5000</v>
      </c>
      <c r="E21" s="242" t="s">
        <v>145</v>
      </c>
      <c r="F21" s="364">
        <f>'ExBA - Beg. Rates'!F58</f>
        <v>1.0149999999999999E-2</v>
      </c>
      <c r="G21" s="143" t="s">
        <v>174</v>
      </c>
      <c r="H21" s="8"/>
      <c r="I21" s="45" t="s">
        <v>52</v>
      </c>
      <c r="J21" s="51">
        <v>5000</v>
      </c>
      <c r="K21" s="242" t="s">
        <v>145</v>
      </c>
      <c r="L21" s="364">
        <f t="shared" si="4"/>
        <v>1.342E-2</v>
      </c>
      <c r="M21" s="143" t="s">
        <v>174</v>
      </c>
      <c r="O21" s="61">
        <f t="shared" si="0"/>
        <v>1.0149999999999999E-2</v>
      </c>
      <c r="P21" s="61">
        <f t="shared" ref="P21:P22" si="6">P15</f>
        <v>3.32E-3</v>
      </c>
      <c r="Q21" s="61">
        <f>Q20</f>
        <v>-5.0000000000000002E-5</v>
      </c>
      <c r="R21" s="61">
        <f t="shared" si="5"/>
        <v>1.342E-2</v>
      </c>
      <c r="S21" s="61"/>
    </row>
    <row r="22" spans="2:19" x14ac:dyDescent="0.35">
      <c r="B22" s="8"/>
      <c r="C22" s="45" t="s">
        <v>96</v>
      </c>
      <c r="D22" s="51">
        <v>15000</v>
      </c>
      <c r="E22" s="242" t="s">
        <v>145</v>
      </c>
      <c r="F22" s="364">
        <f>'ExBA - Beg. Rates'!F59</f>
        <v>9.2899999999999996E-3</v>
      </c>
      <c r="G22" s="143" t="s">
        <v>174</v>
      </c>
      <c r="H22" s="8"/>
      <c r="I22" s="45" t="s">
        <v>96</v>
      </c>
      <c r="J22" s="51">
        <v>15000</v>
      </c>
      <c r="K22" s="242" t="s">
        <v>145</v>
      </c>
      <c r="L22" s="364">
        <f t="shared" si="4"/>
        <v>1.2280000000000001E-2</v>
      </c>
      <c r="M22" s="143" t="s">
        <v>174</v>
      </c>
      <c r="O22" s="61">
        <f t="shared" si="0"/>
        <v>9.2899999999999996E-3</v>
      </c>
      <c r="P22" s="61">
        <f t="shared" si="6"/>
        <v>3.0400000000000002E-3</v>
      </c>
      <c r="Q22" s="61">
        <f>Q21</f>
        <v>-5.0000000000000002E-5</v>
      </c>
      <c r="R22" s="61">
        <f t="shared" si="5"/>
        <v>1.2280000000000001E-2</v>
      </c>
      <c r="S22" s="61"/>
    </row>
    <row r="23" spans="2:19" x14ac:dyDescent="0.35">
      <c r="B23" s="8"/>
      <c r="C23" s="45"/>
      <c r="D23" s="51"/>
      <c r="E23" s="242"/>
      <c r="F23" s="238"/>
      <c r="G23" s="143"/>
      <c r="H23" s="8"/>
      <c r="I23" s="45"/>
      <c r="J23" s="51"/>
      <c r="K23" s="242"/>
      <c r="L23" s="238"/>
      <c r="M23" s="143"/>
      <c r="O23" s="238"/>
      <c r="P23" s="238"/>
      <c r="Q23" s="238"/>
      <c r="R23" s="238"/>
      <c r="S23" s="238"/>
    </row>
    <row r="24" spans="2:19" x14ac:dyDescent="0.35">
      <c r="B24" s="8"/>
      <c r="C24" s="72" t="s">
        <v>165</v>
      </c>
      <c r="D24"/>
      <c r="E24" s="242"/>
      <c r="F24"/>
      <c r="G24" s="143"/>
      <c r="H24" s="8"/>
      <c r="I24" s="72" t="s">
        <v>165</v>
      </c>
      <c r="J24"/>
      <c r="K24" s="242"/>
      <c r="L24"/>
      <c r="M24" s="143"/>
      <c r="O24"/>
      <c r="P24"/>
      <c r="Q24"/>
      <c r="R24"/>
      <c r="S24"/>
    </row>
    <row r="25" spans="2:19" x14ac:dyDescent="0.35">
      <c r="B25" s="8"/>
      <c r="C25" s="45" t="s">
        <v>51</v>
      </c>
      <c r="D25" s="51">
        <v>15000</v>
      </c>
      <c r="E25" s="242" t="s">
        <v>145</v>
      </c>
      <c r="F25" s="144">
        <f>'Cur Rates'!F20</f>
        <v>171.93</v>
      </c>
      <c r="G25" s="143" t="s">
        <v>173</v>
      </c>
      <c r="H25" s="8"/>
      <c r="I25" s="45" t="s">
        <v>51</v>
      </c>
      <c r="J25" s="51">
        <v>15000</v>
      </c>
      <c r="K25" s="242" t="s">
        <v>145</v>
      </c>
      <c r="L25" s="144">
        <f>R25</f>
        <v>228.28</v>
      </c>
      <c r="M25" s="143" t="s">
        <v>173</v>
      </c>
      <c r="O25" s="144">
        <f t="shared" si="0"/>
        <v>171.93</v>
      </c>
      <c r="P25" s="144">
        <f>ROUND(O$8*O25,2)</f>
        <v>56.31</v>
      </c>
      <c r="Q25" s="61">
        <f>Q12</f>
        <v>0.04</v>
      </c>
      <c r="R25" s="144">
        <f>SUM(O25:Q25)</f>
        <v>228.28</v>
      </c>
      <c r="S25" s="144"/>
    </row>
    <row r="26" spans="2:19" x14ac:dyDescent="0.35">
      <c r="B26" s="8"/>
      <c r="C26" s="45" t="s">
        <v>96</v>
      </c>
      <c r="D26" s="51">
        <v>15000</v>
      </c>
      <c r="E26" s="242" t="s">
        <v>145</v>
      </c>
      <c r="F26" s="364">
        <f>'Cur Rates'!F21</f>
        <v>9.2899999999999996E-3</v>
      </c>
      <c r="G26" s="143" t="s">
        <v>174</v>
      </c>
      <c r="H26" s="8"/>
      <c r="I26" s="45" t="s">
        <v>96</v>
      </c>
      <c r="J26" s="51">
        <v>15000</v>
      </c>
      <c r="K26" s="242" t="s">
        <v>145</v>
      </c>
      <c r="L26" s="364">
        <f>R26</f>
        <v>1.2280000000000001E-2</v>
      </c>
      <c r="M26" s="143" t="s">
        <v>174</v>
      </c>
      <c r="O26" s="61">
        <f t="shared" si="0"/>
        <v>9.2899999999999996E-3</v>
      </c>
      <c r="P26" s="61">
        <f>P22</f>
        <v>3.0400000000000002E-3</v>
      </c>
      <c r="Q26" s="61">
        <f>Q22</f>
        <v>-5.0000000000000002E-5</v>
      </c>
      <c r="R26" s="61">
        <f>SUM(O26:Q26)</f>
        <v>1.2280000000000001E-2</v>
      </c>
      <c r="S26" s="61"/>
    </row>
    <row r="27" spans="2:19" x14ac:dyDescent="0.35">
      <c r="B27" s="8"/>
      <c r="C27"/>
      <c r="D27"/>
      <c r="E27" s="242"/>
      <c r="F27" s="61"/>
      <c r="G27" s="143"/>
      <c r="H27" s="8"/>
      <c r="I27"/>
      <c r="J27"/>
      <c r="K27" s="242"/>
      <c r="L27" s="61"/>
      <c r="M27" s="143"/>
      <c r="O27" s="61"/>
      <c r="P27" s="61"/>
      <c r="Q27" s="61"/>
      <c r="R27" s="61"/>
      <c r="S27" s="61"/>
    </row>
    <row r="28" spans="2:19" x14ac:dyDescent="0.35">
      <c r="B28" s="8"/>
      <c r="C28" s="72" t="s">
        <v>166</v>
      </c>
      <c r="D28"/>
      <c r="E28" s="242"/>
      <c r="F28" s="61"/>
      <c r="G28" s="143"/>
      <c r="H28" s="8"/>
      <c r="I28" s="72" t="s">
        <v>166</v>
      </c>
      <c r="J28"/>
      <c r="K28" s="242"/>
      <c r="L28" s="61"/>
      <c r="M28" s="143"/>
      <c r="O28" s="61"/>
      <c r="P28" s="61"/>
      <c r="Q28" s="61"/>
      <c r="R28" s="61"/>
      <c r="S28" s="61"/>
    </row>
    <row r="29" spans="2:19" x14ac:dyDescent="0.35">
      <c r="B29" s="8"/>
      <c r="C29" s="45" t="s">
        <v>51</v>
      </c>
      <c r="D29" s="51">
        <v>100000</v>
      </c>
      <c r="E29" s="242" t="s">
        <v>145</v>
      </c>
      <c r="F29" s="144">
        <f>'Cur Rates'!F24</f>
        <v>963.03</v>
      </c>
      <c r="G29" s="143" t="s">
        <v>173</v>
      </c>
      <c r="H29" s="8"/>
      <c r="I29" s="45" t="s">
        <v>51</v>
      </c>
      <c r="J29" s="51">
        <v>100000</v>
      </c>
      <c r="K29" s="242" t="s">
        <v>145</v>
      </c>
      <c r="L29" s="144">
        <f>R29</f>
        <v>1278.46</v>
      </c>
      <c r="M29" s="143" t="s">
        <v>173</v>
      </c>
      <c r="O29" s="144">
        <f t="shared" si="0"/>
        <v>963.03</v>
      </c>
      <c r="P29" s="144">
        <f>ROUND(O$8*O29,2)</f>
        <v>315.39</v>
      </c>
      <c r="Q29" s="61">
        <f>Q12</f>
        <v>0.04</v>
      </c>
      <c r="R29" s="144">
        <f>SUM(O29:Q29)</f>
        <v>1278.46</v>
      </c>
      <c r="S29" s="144"/>
    </row>
    <row r="30" spans="2:19" x14ac:dyDescent="0.35">
      <c r="B30" s="8"/>
      <c r="C30" s="45" t="s">
        <v>96</v>
      </c>
      <c r="D30" s="51">
        <v>100000</v>
      </c>
      <c r="E30" s="242" t="s">
        <v>145</v>
      </c>
      <c r="F30" s="364">
        <f>'Cur Rates'!F25</f>
        <v>9.2899999999999996E-3</v>
      </c>
      <c r="G30" s="143" t="s">
        <v>174</v>
      </c>
      <c r="H30" s="8"/>
      <c r="I30" s="45" t="s">
        <v>96</v>
      </c>
      <c r="J30" s="51">
        <v>100000</v>
      </c>
      <c r="K30" s="242" t="s">
        <v>145</v>
      </c>
      <c r="L30" s="364">
        <f>R30</f>
        <v>1.2280000000000001E-2</v>
      </c>
      <c r="M30" s="143" t="s">
        <v>174</v>
      </c>
      <c r="O30" s="61">
        <f t="shared" si="0"/>
        <v>9.2899999999999996E-3</v>
      </c>
      <c r="P30" s="61">
        <f>P22</f>
        <v>3.0400000000000002E-3</v>
      </c>
      <c r="Q30" s="61">
        <f>Q26</f>
        <v>-5.0000000000000002E-5</v>
      </c>
      <c r="R30" s="61">
        <f>SUM(O30:Q30)</f>
        <v>1.2280000000000001E-2</v>
      </c>
      <c r="S30" s="61"/>
    </row>
    <row r="31" spans="2:19" x14ac:dyDescent="0.35">
      <c r="B31" s="8"/>
      <c r="C31"/>
      <c r="D31"/>
      <c r="E31"/>
      <c r="F31" s="61"/>
      <c r="G31" s="143"/>
      <c r="H31" s="8"/>
      <c r="I31"/>
      <c r="J31"/>
      <c r="K31"/>
      <c r="M31" s="143"/>
      <c r="O31" s="61"/>
      <c r="P31" s="61"/>
      <c r="Q31" s="61"/>
      <c r="R31" s="61"/>
      <c r="S31" s="61"/>
    </row>
    <row r="32" spans="2:19" x14ac:dyDescent="0.35">
      <c r="B32" s="8"/>
      <c r="C32" s="72" t="s">
        <v>175</v>
      </c>
      <c r="D32"/>
      <c r="E32"/>
      <c r="F32" s="61"/>
      <c r="G32" s="143"/>
      <c r="H32" s="8"/>
      <c r="I32" s="72" t="s">
        <v>175</v>
      </c>
      <c r="J32"/>
      <c r="K32"/>
      <c r="M32" s="143"/>
      <c r="O32" s="61"/>
      <c r="P32" s="61"/>
      <c r="Q32" s="61"/>
      <c r="R32" s="61"/>
      <c r="S32" s="61"/>
    </row>
    <row r="33" spans="2:19" x14ac:dyDescent="0.35">
      <c r="B33" s="10"/>
      <c r="C33" s="47"/>
      <c r="D33" s="48"/>
      <c r="E33" s="48"/>
      <c r="F33" s="243">
        <f>'Cur Rates'!F28</f>
        <v>4.5199999999999997E-3</v>
      </c>
      <c r="G33" s="241" t="s">
        <v>174</v>
      </c>
      <c r="H33" s="10"/>
      <c r="I33" s="80"/>
      <c r="J33" s="80"/>
      <c r="K33" s="80"/>
      <c r="L33" s="243">
        <f>R33</f>
        <v>6.0000000000000001E-3</v>
      </c>
      <c r="M33" s="241" t="s">
        <v>174</v>
      </c>
      <c r="O33" s="243">
        <f t="shared" si="0"/>
        <v>4.5199999999999997E-3</v>
      </c>
      <c r="P33" s="243">
        <f t="shared" ref="P33" si="7">ROUND(O$8*O33,5)</f>
        <v>1.48E-3</v>
      </c>
      <c r="Q33" s="61">
        <v>0</v>
      </c>
      <c r="R33" s="61">
        <f>SUM(O33:Q33)</f>
        <v>6.0000000000000001E-3</v>
      </c>
      <c r="S33" s="243"/>
    </row>
  </sheetData>
  <mergeCells count="5">
    <mergeCell ref="C8:G8"/>
    <mergeCell ref="I8:M8"/>
    <mergeCell ref="C3:M3"/>
    <mergeCell ref="C4:M4"/>
    <mergeCell ref="C5:M5"/>
  </mergeCells>
  <printOptions horizontalCentered="1"/>
  <pageMargins left="0.8" right="0.55000000000000004" top="1.2" bottom="0.5" header="0" footer="0"/>
  <pageSetup scale="4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98"/>
  <sheetViews>
    <sheetView showGridLines="0" topLeftCell="D1" workbookViewId="0">
      <selection activeCell="M18" sqref="M18"/>
    </sheetView>
  </sheetViews>
  <sheetFormatPr defaultColWidth="14.765625" defaultRowHeight="15.5" x14ac:dyDescent="0.35"/>
  <cols>
    <col min="2" max="3" width="10.765625" customWidth="1"/>
    <col min="8" max="9" width="14.765625" style="55"/>
    <col min="12" max="12" width="19.84375" customWidth="1"/>
  </cols>
  <sheetData>
    <row r="1" spans="1:14" ht="18.5" x14ac:dyDescent="0.45">
      <c r="A1" s="428" t="s">
        <v>395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147"/>
      <c r="M1" s="147"/>
      <c r="N1" s="147"/>
    </row>
    <row r="2" spans="1:14" ht="18.5" x14ac:dyDescent="0.35">
      <c r="A2" s="431" t="e">
        <f>#REF!</f>
        <v>#REF!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146"/>
      <c r="M2" s="146"/>
      <c r="N2" s="146"/>
    </row>
    <row r="3" spans="1:14" x14ac:dyDescent="0.35">
      <c r="A3" s="446"/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1"/>
      <c r="M3" s="1"/>
      <c r="N3" s="1"/>
    </row>
    <row r="4" spans="1:14" ht="18.5" x14ac:dyDescent="0.45">
      <c r="A4" s="438" t="s">
        <v>93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147"/>
      <c r="M4" s="147"/>
      <c r="N4" s="147"/>
    </row>
    <row r="6" spans="1:14" x14ac:dyDescent="0.35">
      <c r="B6" s="72"/>
      <c r="C6" s="439" t="s">
        <v>161</v>
      </c>
      <c r="D6" s="439"/>
      <c r="F6" s="47" t="s">
        <v>162</v>
      </c>
      <c r="G6" s="47" t="s">
        <v>34</v>
      </c>
      <c r="H6" s="49" t="s">
        <v>32</v>
      </c>
    </row>
    <row r="7" spans="1:14" x14ac:dyDescent="0.35">
      <c r="B7" s="72"/>
      <c r="C7" s="435" t="s">
        <v>163</v>
      </c>
      <c r="D7" s="435"/>
      <c r="F7" s="51">
        <f>D32</f>
        <v>35191</v>
      </c>
      <c r="G7" s="51">
        <f>E37</f>
        <v>106282790</v>
      </c>
      <c r="H7" s="148">
        <f>H37</f>
        <v>2265284.92</v>
      </c>
    </row>
    <row r="8" spans="1:14" x14ac:dyDescent="0.35">
      <c r="B8" s="72"/>
      <c r="C8" s="436" t="s">
        <v>164</v>
      </c>
      <c r="D8" s="436"/>
      <c r="F8" s="51">
        <f>D52</f>
        <v>200</v>
      </c>
      <c r="G8" s="51">
        <f>E56</f>
        <v>1076140</v>
      </c>
      <c r="H8" s="150">
        <f>H56</f>
        <v>26198.480000000003</v>
      </c>
    </row>
    <row r="9" spans="1:14" x14ac:dyDescent="0.35">
      <c r="B9" s="72"/>
      <c r="C9" s="149" t="s">
        <v>165</v>
      </c>
      <c r="D9" s="149"/>
      <c r="F9" s="51">
        <f>D68</f>
        <v>96</v>
      </c>
      <c r="G9" s="51">
        <f>E70</f>
        <v>12676300</v>
      </c>
      <c r="H9" s="150">
        <f>H70</f>
        <v>162527.88</v>
      </c>
    </row>
    <row r="10" spans="1:14" x14ac:dyDescent="0.35">
      <c r="B10" s="72"/>
      <c r="C10" s="149" t="s">
        <v>166</v>
      </c>
      <c r="D10" s="149"/>
      <c r="F10" s="51">
        <f>D82</f>
        <v>12</v>
      </c>
      <c r="G10" s="51">
        <f>E84</f>
        <v>1136710</v>
      </c>
      <c r="H10" s="150">
        <f>H84</f>
        <v>19692.690000000002</v>
      </c>
    </row>
    <row r="11" spans="1:14" x14ac:dyDescent="0.35">
      <c r="B11" s="72"/>
      <c r="C11" s="149" t="s">
        <v>167</v>
      </c>
      <c r="D11" s="149"/>
      <c r="F11" s="48">
        <f>D96</f>
        <v>12</v>
      </c>
      <c r="G11" s="48">
        <f>E97</f>
        <v>6280000</v>
      </c>
      <c r="H11" s="151">
        <f>H97</f>
        <v>37680</v>
      </c>
    </row>
    <row r="12" spans="1:14" x14ac:dyDescent="0.35">
      <c r="B12" s="72"/>
      <c r="C12" s="149" t="s">
        <v>168</v>
      </c>
      <c r="D12" s="149"/>
      <c r="F12" s="51">
        <f>SUM(F7:F11)</f>
        <v>35511</v>
      </c>
      <c r="G12" s="51">
        <f>SUM(G7:G11)</f>
        <v>127451940</v>
      </c>
      <c r="H12" s="150">
        <f>SUM(H7:H11)</f>
        <v>2511383.9699999997</v>
      </c>
    </row>
    <row r="13" spans="1:14" x14ac:dyDescent="0.35">
      <c r="B13" s="72"/>
      <c r="C13" s="149" t="s">
        <v>169</v>
      </c>
      <c r="D13" s="149"/>
      <c r="F13" s="45"/>
      <c r="G13" s="45"/>
      <c r="H13" s="151">
        <f>'ExBA - Beg. Rates'!H13</f>
        <v>-12088</v>
      </c>
    </row>
    <row r="14" spans="1:14" x14ac:dyDescent="0.35">
      <c r="B14" s="72"/>
      <c r="C14" s="149" t="s">
        <v>170</v>
      </c>
      <c r="D14" s="149"/>
      <c r="F14" s="45"/>
      <c r="G14" s="45"/>
      <c r="H14" s="150">
        <f>SUM(H12:H13)</f>
        <v>2499295.9699999997</v>
      </c>
      <c r="M14" s="150"/>
    </row>
    <row r="15" spans="1:14" x14ac:dyDescent="0.35">
      <c r="B15" s="72"/>
      <c r="C15" s="245" t="s">
        <v>311</v>
      </c>
      <c r="D15" s="149"/>
      <c r="F15" s="45"/>
      <c r="G15" s="45"/>
      <c r="H15" s="151">
        <f>-'ExBA - Beg. Rates'!H14</f>
        <v>-1881341.07</v>
      </c>
      <c r="M15" s="150"/>
    </row>
    <row r="16" spans="1:14" ht="16" thickBot="1" x14ac:dyDescent="0.4">
      <c r="B16" s="72"/>
      <c r="C16" s="152" t="s">
        <v>171</v>
      </c>
      <c r="D16" s="152"/>
      <c r="H16" s="153">
        <f>SUM(H14:H15)</f>
        <v>617954.89999999967</v>
      </c>
      <c r="L16" s="27" t="s">
        <v>477</v>
      </c>
      <c r="M16" s="150">
        <f>H16</f>
        <v>617954.89999999967</v>
      </c>
    </row>
    <row r="17" spans="1:18" ht="16" thickTop="1" x14ac:dyDescent="0.35">
      <c r="B17" s="72"/>
      <c r="L17" s="27" t="s">
        <v>478</v>
      </c>
      <c r="M17" s="72">
        <f>-'SAO- DSC Revised - 3 Emp'!R56</f>
        <v>-616221.9291999999</v>
      </c>
    </row>
    <row r="18" spans="1:18" x14ac:dyDescent="0.35">
      <c r="B18" s="72"/>
      <c r="L18" s="27" t="s">
        <v>112</v>
      </c>
      <c r="M18" s="72">
        <f>SUM(M16:M17)</f>
        <v>1732.9707999997772</v>
      </c>
    </row>
    <row r="19" spans="1:18" x14ac:dyDescent="0.35">
      <c r="A19" t="s">
        <v>172</v>
      </c>
      <c r="B19" s="62" t="s">
        <v>295</v>
      </c>
      <c r="M19" s="244">
        <f>M18/H14</f>
        <v>6.9338358513808891E-4</v>
      </c>
    </row>
    <row r="20" spans="1:18" x14ac:dyDescent="0.35">
      <c r="B20" s="45"/>
      <c r="C20" s="45"/>
      <c r="D20" s="45"/>
      <c r="E20" s="45"/>
      <c r="F20" s="45" t="s">
        <v>51</v>
      </c>
      <c r="G20" s="45" t="s">
        <v>52</v>
      </c>
      <c r="H20" s="46" t="s">
        <v>52</v>
      </c>
      <c r="I20" s="46" t="s">
        <v>52</v>
      </c>
      <c r="J20" s="45" t="s">
        <v>96</v>
      </c>
      <c r="K20" s="45" t="s">
        <v>57</v>
      </c>
      <c r="L20" s="45"/>
      <c r="M20" s="45"/>
      <c r="N20" s="45"/>
    </row>
    <row r="21" spans="1:18" x14ac:dyDescent="0.35">
      <c r="B21" s="45"/>
      <c r="C21" s="47" t="s">
        <v>143</v>
      </c>
      <c r="D21" s="47" t="s">
        <v>144</v>
      </c>
      <c r="E21" s="47" t="s">
        <v>145</v>
      </c>
      <c r="F21" s="154">
        <f>C22</f>
        <v>2000</v>
      </c>
      <c r="G21" s="48">
        <f>C23</f>
        <v>3000</v>
      </c>
      <c r="H21" s="49">
        <f>C25</f>
        <v>5000</v>
      </c>
      <c r="I21" s="49">
        <f>C25</f>
        <v>5000</v>
      </c>
      <c r="J21" s="50">
        <f>SUM(F21:H21)</f>
        <v>10000</v>
      </c>
      <c r="K21" s="47"/>
      <c r="L21" s="45"/>
      <c r="M21" s="45"/>
      <c r="N21" s="45"/>
    </row>
    <row r="22" spans="1:18" x14ac:dyDescent="0.35">
      <c r="B22" s="45" t="s">
        <v>51</v>
      </c>
      <c r="C22" s="46">
        <v>2000</v>
      </c>
      <c r="D22" s="51">
        <v>14898</v>
      </c>
      <c r="E22" s="51">
        <v>14083390</v>
      </c>
      <c r="F22" s="51">
        <f>E22</f>
        <v>14083390</v>
      </c>
      <c r="G22" s="51">
        <v>0</v>
      </c>
      <c r="H22" s="52">
        <v>0</v>
      </c>
      <c r="I22" s="52"/>
      <c r="J22" s="51">
        <v>0</v>
      </c>
      <c r="K22" s="51">
        <f>SUM(F22:J22)</f>
        <v>14083390</v>
      </c>
      <c r="L22" s="51"/>
      <c r="M22" s="51"/>
      <c r="N22" s="51"/>
    </row>
    <row r="23" spans="1:18" x14ac:dyDescent="0.35">
      <c r="B23" s="45" t="s">
        <v>52</v>
      </c>
      <c r="C23" s="46">
        <v>3000</v>
      </c>
      <c r="D23" s="51">
        <v>15472</v>
      </c>
      <c r="E23" s="51">
        <v>49891280</v>
      </c>
      <c r="F23" s="51">
        <f>$D23*F$21</f>
        <v>30944000</v>
      </c>
      <c r="G23" s="51">
        <f>E23-F23</f>
        <v>18947280</v>
      </c>
      <c r="H23" s="52">
        <v>0</v>
      </c>
      <c r="I23" s="52"/>
      <c r="J23" s="51">
        <v>0</v>
      </c>
      <c r="K23" s="51">
        <f t="shared" ref="K23:K26" si="0">SUM(F23:J23)</f>
        <v>49891280</v>
      </c>
      <c r="L23" s="51"/>
      <c r="M23" s="51"/>
      <c r="N23" s="51"/>
      <c r="O23" s="51">
        <f>SUM(G23:K23)</f>
        <v>68838560</v>
      </c>
      <c r="P23" s="51">
        <f>SUM(H23:O23)</f>
        <v>118729840</v>
      </c>
    </row>
    <row r="24" spans="1:18" x14ac:dyDescent="0.35">
      <c r="B24" s="45" t="s">
        <v>52</v>
      </c>
      <c r="C24" s="46">
        <v>5000</v>
      </c>
      <c r="D24" s="51">
        <v>3998</v>
      </c>
      <c r="E24" s="51">
        <v>26273360</v>
      </c>
      <c r="F24" s="51">
        <f>$D24*F$21</f>
        <v>7996000</v>
      </c>
      <c r="G24" s="51">
        <f>$D24*G$21</f>
        <v>11994000</v>
      </c>
      <c r="H24" s="52">
        <f>E24-F24-G24</f>
        <v>6283360</v>
      </c>
      <c r="I24" s="52"/>
      <c r="J24" s="51"/>
      <c r="K24" s="51">
        <f t="shared" si="0"/>
        <v>26273360</v>
      </c>
      <c r="L24" s="51"/>
      <c r="M24" s="51"/>
      <c r="N24" s="51"/>
    </row>
    <row r="25" spans="1:18" x14ac:dyDescent="0.35">
      <c r="B25" s="45" t="s">
        <v>52</v>
      </c>
      <c r="C25" s="46">
        <v>5000</v>
      </c>
      <c r="D25" s="51">
        <v>504</v>
      </c>
      <c r="E25" s="51">
        <v>5985670</v>
      </c>
      <c r="F25" s="51">
        <f t="shared" ref="F25:I26" si="1">$D25*F$21</f>
        <v>1008000</v>
      </c>
      <c r="G25" s="51">
        <f t="shared" si="1"/>
        <v>1512000</v>
      </c>
      <c r="H25" s="51">
        <f t="shared" si="1"/>
        <v>2520000</v>
      </c>
      <c r="I25" s="51">
        <f>E25-F25-G25-H25</f>
        <v>945670</v>
      </c>
      <c r="J25" s="51">
        <v>0</v>
      </c>
      <c r="K25" s="51">
        <f t="shared" si="0"/>
        <v>5985670</v>
      </c>
      <c r="L25" s="51"/>
      <c r="M25" s="51"/>
      <c r="N25" s="51"/>
    </row>
    <row r="26" spans="1:18" x14ac:dyDescent="0.35">
      <c r="B26" s="45" t="s">
        <v>96</v>
      </c>
      <c r="C26" s="46">
        <f>SUM(C22:C25)</f>
        <v>15000</v>
      </c>
      <c r="D26" s="51">
        <v>319</v>
      </c>
      <c r="E26" s="51">
        <v>10049090</v>
      </c>
      <c r="F26" s="51">
        <f t="shared" si="1"/>
        <v>638000</v>
      </c>
      <c r="G26" s="51">
        <f t="shared" si="1"/>
        <v>957000</v>
      </c>
      <c r="H26" s="51">
        <f t="shared" si="1"/>
        <v>1595000</v>
      </c>
      <c r="I26" s="51">
        <f t="shared" si="1"/>
        <v>1595000</v>
      </c>
      <c r="J26" s="51">
        <f>E26-F26-G26-H26-I26</f>
        <v>5264090</v>
      </c>
      <c r="K26" s="51">
        <f t="shared" si="0"/>
        <v>10049090</v>
      </c>
      <c r="L26" s="51"/>
      <c r="M26" s="51"/>
      <c r="N26" s="51"/>
    </row>
    <row r="27" spans="1:18" ht="16" thickBot="1" x14ac:dyDescent="0.4">
      <c r="B27" s="45"/>
      <c r="C27" t="s">
        <v>0</v>
      </c>
      <c r="D27" s="53">
        <f t="shared" ref="D27:K27" si="2">SUM(D22:D26)</f>
        <v>35191</v>
      </c>
      <c r="E27" s="53">
        <f t="shared" si="2"/>
        <v>106282790</v>
      </c>
      <c r="F27" s="53">
        <f t="shared" si="2"/>
        <v>54669390</v>
      </c>
      <c r="G27" s="53">
        <f t="shared" si="2"/>
        <v>33410280</v>
      </c>
      <c r="H27" s="54">
        <f t="shared" si="2"/>
        <v>10398360</v>
      </c>
      <c r="I27" s="54">
        <f t="shared" si="2"/>
        <v>2540670</v>
      </c>
      <c r="J27" s="53">
        <f t="shared" si="2"/>
        <v>5264090</v>
      </c>
      <c r="K27" s="53">
        <f t="shared" si="2"/>
        <v>106282790</v>
      </c>
      <c r="L27" s="57"/>
      <c r="M27" s="57"/>
      <c r="N27" s="57"/>
    </row>
    <row r="28" spans="1:18" ht="16" thickTop="1" x14ac:dyDescent="0.35"/>
    <row r="30" spans="1:18" x14ac:dyDescent="0.35">
      <c r="B30" s="434" t="s">
        <v>146</v>
      </c>
      <c r="C30" s="434"/>
      <c r="D30" s="434"/>
      <c r="E30" s="434"/>
      <c r="F30" s="434"/>
      <c r="G30" s="434"/>
      <c r="H30" s="434"/>
    </row>
    <row r="31" spans="1:18" x14ac:dyDescent="0.35">
      <c r="C31" s="56"/>
      <c r="D31" s="155" t="s">
        <v>144</v>
      </c>
      <c r="E31" s="155" t="s">
        <v>145</v>
      </c>
      <c r="F31" s="434" t="s">
        <v>147</v>
      </c>
      <c r="G31" s="434"/>
      <c r="H31" s="155" t="s">
        <v>32</v>
      </c>
      <c r="N31" t="s">
        <v>295</v>
      </c>
    </row>
    <row r="32" spans="1:18" x14ac:dyDescent="0.35">
      <c r="B32" s="45" t="s">
        <v>51</v>
      </c>
      <c r="C32" s="51">
        <f>C22</f>
        <v>2000</v>
      </c>
      <c r="D32" s="57">
        <f>D27</f>
        <v>35191</v>
      </c>
      <c r="E32" s="57">
        <f>F27</f>
        <v>54669390</v>
      </c>
      <c r="F32" s="58">
        <f>'Rates Comp'!L12</f>
        <v>42.37</v>
      </c>
      <c r="G32" t="s">
        <v>173</v>
      </c>
      <c r="H32" s="58">
        <f>F32*D32</f>
        <v>1491042.67</v>
      </c>
      <c r="N32" t="s">
        <v>51</v>
      </c>
      <c r="O32">
        <v>2000</v>
      </c>
      <c r="P32" t="s">
        <v>145</v>
      </c>
      <c r="Q32">
        <v>45.28</v>
      </c>
      <c r="R32" t="s">
        <v>173</v>
      </c>
    </row>
    <row r="33" spans="1:18" x14ac:dyDescent="0.35">
      <c r="B33" s="45" t="s">
        <v>52</v>
      </c>
      <c r="C33" s="51">
        <f>C23</f>
        <v>3000</v>
      </c>
      <c r="E33" s="57">
        <f>G27</f>
        <v>33410280</v>
      </c>
      <c r="F33" s="156">
        <f>'Rates Comp'!L13</f>
        <v>1.5689999999999999E-2</v>
      </c>
      <c r="G33" t="s">
        <v>174</v>
      </c>
      <c r="H33" s="157">
        <f>ROUND(E33*F33,2)</f>
        <v>524207.29</v>
      </c>
      <c r="N33" t="s">
        <v>52</v>
      </c>
      <c r="O33">
        <v>3000</v>
      </c>
      <c r="P33" s="158" t="s">
        <v>145</v>
      </c>
      <c r="Q33">
        <v>1.6830000000000001E-2</v>
      </c>
      <c r="R33" t="s">
        <v>174</v>
      </c>
    </row>
    <row r="34" spans="1:18" x14ac:dyDescent="0.35">
      <c r="B34" s="45" t="s">
        <v>52</v>
      </c>
      <c r="C34" s="51">
        <f>C25</f>
        <v>5000</v>
      </c>
      <c r="E34" s="57">
        <f>H27</f>
        <v>10398360</v>
      </c>
      <c r="F34" s="156">
        <f>'Rates Comp'!L14</f>
        <v>1.4549999999999999E-2</v>
      </c>
      <c r="G34" t="s">
        <v>174</v>
      </c>
      <c r="H34" s="157">
        <f>ROUND(E34*F34,2)</f>
        <v>151296.14000000001</v>
      </c>
      <c r="N34" t="s">
        <v>52</v>
      </c>
      <c r="O34">
        <v>5000</v>
      </c>
      <c r="P34" s="158" t="s">
        <v>145</v>
      </c>
      <c r="Q34">
        <v>1.5609999999999999E-2</v>
      </c>
      <c r="R34" t="s">
        <v>174</v>
      </c>
    </row>
    <row r="35" spans="1:18" x14ac:dyDescent="0.35">
      <c r="B35" s="45" t="s">
        <v>52</v>
      </c>
      <c r="C35" s="51">
        <f>C26</f>
        <v>15000</v>
      </c>
      <c r="E35" s="57">
        <f>I27</f>
        <v>2540670</v>
      </c>
      <c r="F35" s="156">
        <f>'Rates Comp'!L15</f>
        <v>1.342E-2</v>
      </c>
      <c r="G35" t="s">
        <v>174</v>
      </c>
      <c r="H35" s="157">
        <f>ROUND(E35*F35,2)</f>
        <v>34095.79</v>
      </c>
      <c r="N35" t="s">
        <v>52</v>
      </c>
      <c r="O35">
        <v>15000</v>
      </c>
      <c r="P35" s="158" t="s">
        <v>145</v>
      </c>
      <c r="Q35">
        <v>1.4409999999999999E-2</v>
      </c>
      <c r="R35" t="s">
        <v>174</v>
      </c>
    </row>
    <row r="36" spans="1:18" x14ac:dyDescent="0.35">
      <c r="B36" s="45" t="s">
        <v>96</v>
      </c>
      <c r="C36" s="51">
        <f>C26</f>
        <v>15000</v>
      </c>
      <c r="D36" s="56"/>
      <c r="E36" s="59">
        <f>J26</f>
        <v>5264090</v>
      </c>
      <c r="F36" s="156">
        <f>'Rates Comp'!L16</f>
        <v>1.2280000000000001E-2</v>
      </c>
      <c r="G36" t="s">
        <v>174</v>
      </c>
      <c r="H36" s="157">
        <f>ROUND(E36*F36,2)</f>
        <v>64643.03</v>
      </c>
      <c r="N36" t="s">
        <v>96</v>
      </c>
      <c r="O36">
        <v>15000</v>
      </c>
      <c r="P36" s="158" t="s">
        <v>145</v>
      </c>
      <c r="Q36">
        <v>1.319E-2</v>
      </c>
      <c r="R36" t="s">
        <v>174</v>
      </c>
    </row>
    <row r="37" spans="1:18" ht="16" thickBot="1" x14ac:dyDescent="0.4">
      <c r="C37" t="s">
        <v>35</v>
      </c>
      <c r="E37" s="53">
        <f>SUM(E32:E36)</f>
        <v>106282790</v>
      </c>
      <c r="H37" s="159">
        <f>SUM(H32:H36)</f>
        <v>2265284.92</v>
      </c>
      <c r="K37" t="s">
        <v>148</v>
      </c>
    </row>
    <row r="38" spans="1:18" ht="16" thickTop="1" x14ac:dyDescent="0.35">
      <c r="N38" t="s">
        <v>164</v>
      </c>
    </row>
    <row r="39" spans="1:18" x14ac:dyDescent="0.35">
      <c r="N39" t="s">
        <v>51</v>
      </c>
      <c r="O39">
        <v>5000</v>
      </c>
      <c r="P39" t="s">
        <v>145</v>
      </c>
      <c r="Q39">
        <v>45.28</v>
      </c>
      <c r="R39" t="s">
        <v>173</v>
      </c>
    </row>
    <row r="40" spans="1:18" x14ac:dyDescent="0.35">
      <c r="A40" t="s">
        <v>172</v>
      </c>
      <c r="B40" s="72" t="s">
        <v>164</v>
      </c>
      <c r="I40"/>
      <c r="N40" t="s">
        <v>52</v>
      </c>
      <c r="O40">
        <v>5000</v>
      </c>
      <c r="P40" t="s">
        <v>145</v>
      </c>
      <c r="Q40">
        <v>1.5609999999999999E-2</v>
      </c>
      <c r="R40" t="s">
        <v>174</v>
      </c>
    </row>
    <row r="41" spans="1:18" x14ac:dyDescent="0.35">
      <c r="B41" s="45"/>
      <c r="C41" s="45"/>
      <c r="D41" s="45"/>
      <c r="E41" s="45"/>
      <c r="F41" s="45" t="s">
        <v>51</v>
      </c>
      <c r="G41" s="45" t="s">
        <v>52</v>
      </c>
      <c r="H41" s="46" t="s">
        <v>52</v>
      </c>
      <c r="I41" s="45" t="s">
        <v>96</v>
      </c>
      <c r="J41" s="45" t="s">
        <v>57</v>
      </c>
      <c r="N41" t="s">
        <v>52</v>
      </c>
      <c r="O41">
        <v>5000</v>
      </c>
      <c r="P41" t="s">
        <v>145</v>
      </c>
      <c r="Q41">
        <v>1.44E-2</v>
      </c>
      <c r="R41" t="s">
        <v>174</v>
      </c>
    </row>
    <row r="42" spans="1:18" x14ac:dyDescent="0.35">
      <c r="B42" s="45"/>
      <c r="C42" s="47" t="s">
        <v>143</v>
      </c>
      <c r="D42" s="47" t="s">
        <v>144</v>
      </c>
      <c r="E42" s="47" t="s">
        <v>145</v>
      </c>
      <c r="F42" s="48">
        <f>C43</f>
        <v>5000</v>
      </c>
      <c r="G42" s="48">
        <f>C44</f>
        <v>5000</v>
      </c>
      <c r="H42" s="49">
        <f>C44</f>
        <v>5000</v>
      </c>
      <c r="I42" s="50">
        <f>SUM(F42:H42)</f>
        <v>15000</v>
      </c>
      <c r="J42" s="47"/>
      <c r="N42" t="s">
        <v>96</v>
      </c>
      <c r="O42">
        <v>15000</v>
      </c>
      <c r="P42" t="s">
        <v>145</v>
      </c>
      <c r="Q42">
        <v>1.3180000000000001E-2</v>
      </c>
      <c r="R42" t="s">
        <v>174</v>
      </c>
    </row>
    <row r="43" spans="1:18" x14ac:dyDescent="0.35">
      <c r="B43" s="45" t="s">
        <v>51</v>
      </c>
      <c r="C43" s="46">
        <v>5000</v>
      </c>
      <c r="D43" s="51">
        <v>173</v>
      </c>
      <c r="E43" s="51">
        <v>291950</v>
      </c>
      <c r="F43" s="51">
        <f>E43</f>
        <v>291950</v>
      </c>
      <c r="G43" s="51">
        <v>0</v>
      </c>
      <c r="H43" s="52">
        <v>0</v>
      </c>
      <c r="I43" s="51">
        <v>0</v>
      </c>
      <c r="J43" s="51">
        <f>SUM(F43:I43)</f>
        <v>291950</v>
      </c>
    </row>
    <row r="44" spans="1:18" x14ac:dyDescent="0.35">
      <c r="B44" s="45" t="s">
        <v>52</v>
      </c>
      <c r="C44" s="46">
        <v>5000</v>
      </c>
      <c r="D44" s="51">
        <v>15</v>
      </c>
      <c r="E44" s="51">
        <v>103990</v>
      </c>
      <c r="F44" s="51">
        <f>$D44*F$42</f>
        <v>75000</v>
      </c>
      <c r="G44" s="51">
        <f>E44-F44</f>
        <v>28990</v>
      </c>
      <c r="H44" s="52">
        <v>0</v>
      </c>
      <c r="I44" s="51">
        <v>0</v>
      </c>
      <c r="J44" s="51">
        <f>SUM(F44:I44)</f>
        <v>103990</v>
      </c>
      <c r="K44" s="51"/>
      <c r="L44" s="51"/>
      <c r="M44" s="51"/>
      <c r="N44" s="51" t="s">
        <v>165</v>
      </c>
      <c r="O44" s="51"/>
    </row>
    <row r="45" spans="1:18" x14ac:dyDescent="0.35">
      <c r="B45" s="45" t="s">
        <v>52</v>
      </c>
      <c r="C45" s="46">
        <v>5000</v>
      </c>
      <c r="D45" s="51">
        <v>2</v>
      </c>
      <c r="E45" s="51">
        <v>24750</v>
      </c>
      <c r="F45" s="51">
        <f t="shared" ref="F45:F46" si="3">$D45*F$42</f>
        <v>10000</v>
      </c>
      <c r="G45" s="51">
        <f>$D45*G$42</f>
        <v>10000</v>
      </c>
      <c r="H45" s="52">
        <f>E45-F45-G45</f>
        <v>4750</v>
      </c>
      <c r="I45" s="51"/>
      <c r="J45" s="51">
        <f>SUM(F45:I45)</f>
        <v>24750</v>
      </c>
      <c r="N45" t="s">
        <v>51</v>
      </c>
      <c r="O45">
        <v>15000</v>
      </c>
      <c r="P45" t="s">
        <v>145</v>
      </c>
      <c r="Q45">
        <v>244.14</v>
      </c>
      <c r="R45" t="s">
        <v>173</v>
      </c>
    </row>
    <row r="46" spans="1:18" x14ac:dyDescent="0.35">
      <c r="B46" s="45" t="s">
        <v>96</v>
      </c>
      <c r="C46" s="46">
        <f>SUM(C43:C45)</f>
        <v>15000</v>
      </c>
      <c r="D46" s="51">
        <v>10</v>
      </c>
      <c r="E46" s="51">
        <v>655450</v>
      </c>
      <c r="F46" s="51">
        <f t="shared" si="3"/>
        <v>50000</v>
      </c>
      <c r="G46" s="51">
        <f>$D46*G$42</f>
        <v>50000</v>
      </c>
      <c r="H46" s="51">
        <f>$D46*H$42</f>
        <v>50000</v>
      </c>
      <c r="I46" s="51">
        <f>E46-F46-G46-H46</f>
        <v>505450</v>
      </c>
      <c r="J46" s="51">
        <f>SUM(F46:I46)</f>
        <v>655450</v>
      </c>
      <c r="N46" t="s">
        <v>96</v>
      </c>
      <c r="O46">
        <v>15000</v>
      </c>
      <c r="P46" t="s">
        <v>145</v>
      </c>
      <c r="Q46">
        <v>1.3180000000000001E-2</v>
      </c>
      <c r="R46" t="s">
        <v>174</v>
      </c>
    </row>
    <row r="47" spans="1:18" ht="16" thickBot="1" x14ac:dyDescent="0.4">
      <c r="B47" s="45"/>
      <c r="C47" t="s">
        <v>0</v>
      </c>
      <c r="D47" s="53">
        <f t="shared" ref="D47:J47" si="4">SUM(D43:D46)</f>
        <v>200</v>
      </c>
      <c r="E47" s="53">
        <f t="shared" si="4"/>
        <v>1076140</v>
      </c>
      <c r="F47" s="53">
        <f t="shared" si="4"/>
        <v>426950</v>
      </c>
      <c r="G47" s="53">
        <f t="shared" si="4"/>
        <v>88990</v>
      </c>
      <c r="H47" s="54">
        <f t="shared" si="4"/>
        <v>54750</v>
      </c>
      <c r="I47" s="53">
        <f t="shared" si="4"/>
        <v>505450</v>
      </c>
      <c r="J47" s="53">
        <f t="shared" si="4"/>
        <v>1076140</v>
      </c>
    </row>
    <row r="48" spans="1:18" ht="16" thickTop="1" x14ac:dyDescent="0.35">
      <c r="I48"/>
      <c r="N48" t="s">
        <v>166</v>
      </c>
    </row>
    <row r="49" spans="1:18" x14ac:dyDescent="0.35">
      <c r="I49"/>
      <c r="N49" t="s">
        <v>51</v>
      </c>
      <c r="O49">
        <v>100000</v>
      </c>
      <c r="P49" t="s">
        <v>145</v>
      </c>
      <c r="Q49">
        <v>1367.5</v>
      </c>
      <c r="R49" t="s">
        <v>173</v>
      </c>
    </row>
    <row r="50" spans="1:18" x14ac:dyDescent="0.35">
      <c r="B50" s="434" t="s">
        <v>146</v>
      </c>
      <c r="C50" s="434"/>
      <c r="D50" s="434"/>
      <c r="E50" s="434"/>
      <c r="F50" s="434"/>
      <c r="G50" s="434"/>
      <c r="H50" s="434"/>
      <c r="I50"/>
      <c r="N50" t="s">
        <v>96</v>
      </c>
      <c r="O50">
        <v>100000</v>
      </c>
      <c r="P50" t="s">
        <v>145</v>
      </c>
      <c r="Q50">
        <v>1.3180000000000001E-2</v>
      </c>
      <c r="R50" t="s">
        <v>174</v>
      </c>
    </row>
    <row r="51" spans="1:18" x14ac:dyDescent="0.35">
      <c r="C51" s="56"/>
      <c r="D51" s="155" t="s">
        <v>144</v>
      </c>
      <c r="E51" s="155" t="s">
        <v>145</v>
      </c>
      <c r="F51" s="434" t="s">
        <v>147</v>
      </c>
      <c r="G51" s="434"/>
      <c r="H51" s="155" t="s">
        <v>32</v>
      </c>
      <c r="I51"/>
    </row>
    <row r="52" spans="1:18" x14ac:dyDescent="0.35">
      <c r="B52" s="45" t="s">
        <v>51</v>
      </c>
      <c r="C52" s="51">
        <f>C43</f>
        <v>5000</v>
      </c>
      <c r="D52" s="57">
        <f>D47</f>
        <v>200</v>
      </c>
      <c r="E52" s="57">
        <f>F47</f>
        <v>426950</v>
      </c>
      <c r="F52" s="58">
        <f>'Rates Comp'!L19</f>
        <v>89.810000000000016</v>
      </c>
      <c r="G52" t="s">
        <v>173</v>
      </c>
      <c r="H52" s="58">
        <f>F52*D52</f>
        <v>17962.000000000004</v>
      </c>
      <c r="I52"/>
      <c r="N52" t="s">
        <v>175</v>
      </c>
    </row>
    <row r="53" spans="1:18" x14ac:dyDescent="0.35">
      <c r="B53" s="45" t="s">
        <v>52</v>
      </c>
      <c r="C53" s="51">
        <f>C44</f>
        <v>5000</v>
      </c>
      <c r="E53" s="57">
        <f>G47</f>
        <v>88990</v>
      </c>
      <c r="F53" s="156">
        <f>'Rates Comp'!L20</f>
        <v>1.4549999999999999E-2</v>
      </c>
      <c r="G53" t="s">
        <v>174</v>
      </c>
      <c r="H53" s="157">
        <f>ROUND(E53*F53,2)</f>
        <v>1294.8</v>
      </c>
      <c r="I53"/>
      <c r="P53" s="158"/>
      <c r="Q53">
        <v>6.4199999999999995E-3</v>
      </c>
      <c r="R53" t="s">
        <v>174</v>
      </c>
    </row>
    <row r="54" spans="1:18" x14ac:dyDescent="0.35">
      <c r="B54" s="45" t="s">
        <v>52</v>
      </c>
      <c r="C54" s="51">
        <f>C45</f>
        <v>5000</v>
      </c>
      <c r="E54" s="57">
        <f>H47</f>
        <v>54750</v>
      </c>
      <c r="F54" s="156">
        <f>'Rates Comp'!L21</f>
        <v>1.342E-2</v>
      </c>
      <c r="G54" t="s">
        <v>174</v>
      </c>
      <c r="H54" s="157">
        <f>ROUND(E54*F54,2)</f>
        <v>734.75</v>
      </c>
      <c r="I54"/>
      <c r="P54" s="158">
        <v>10.15</v>
      </c>
    </row>
    <row r="55" spans="1:18" x14ac:dyDescent="0.35">
      <c r="B55" s="45" t="s">
        <v>96</v>
      </c>
      <c r="C55" s="51">
        <f>C46</f>
        <v>15000</v>
      </c>
      <c r="D55" s="56"/>
      <c r="E55" s="59">
        <f>I46</f>
        <v>505450</v>
      </c>
      <c r="F55" s="156">
        <f>'Rates Comp'!L22</f>
        <v>1.2280000000000001E-2</v>
      </c>
      <c r="G55" t="s">
        <v>174</v>
      </c>
      <c r="H55" s="157">
        <f>ROUND(E55*F55,2)</f>
        <v>6206.93</v>
      </c>
      <c r="I55"/>
      <c r="P55" s="158">
        <v>9.2899999999999991</v>
      </c>
    </row>
    <row r="56" spans="1:18" ht="16" thickBot="1" x14ac:dyDescent="0.4">
      <c r="C56" t="s">
        <v>35</v>
      </c>
      <c r="E56" s="53">
        <f>SUM(E52:E55)</f>
        <v>1076140</v>
      </c>
      <c r="H56" s="159">
        <f>SUM(H52:H55)</f>
        <v>26198.480000000003</v>
      </c>
      <c r="I56"/>
      <c r="J56" t="s">
        <v>148</v>
      </c>
    </row>
    <row r="57" spans="1:18" ht="16" thickTop="1" x14ac:dyDescent="0.35"/>
    <row r="58" spans="1:18" x14ac:dyDescent="0.35">
      <c r="A58" t="s">
        <v>172</v>
      </c>
      <c r="B58" s="72" t="s">
        <v>165</v>
      </c>
      <c r="H58"/>
      <c r="I58"/>
    </row>
    <row r="59" spans="1:18" x14ac:dyDescent="0.35">
      <c r="B59" s="45"/>
      <c r="C59" s="45"/>
      <c r="D59" s="45"/>
      <c r="E59" s="45"/>
      <c r="F59" s="45" t="s">
        <v>51</v>
      </c>
      <c r="G59" s="45" t="s">
        <v>96</v>
      </c>
      <c r="H59" s="45" t="s">
        <v>57</v>
      </c>
      <c r="I59"/>
    </row>
    <row r="60" spans="1:18" x14ac:dyDescent="0.35">
      <c r="B60" s="45"/>
      <c r="C60" s="47" t="s">
        <v>143</v>
      </c>
      <c r="D60" s="47" t="s">
        <v>144</v>
      </c>
      <c r="E60" s="47" t="s">
        <v>145</v>
      </c>
      <c r="F60" s="48">
        <f>C61</f>
        <v>15000</v>
      </c>
      <c r="G60" s="50">
        <f>SUM(F60:F60)</f>
        <v>15000</v>
      </c>
      <c r="H60" s="47"/>
      <c r="I60"/>
    </row>
    <row r="61" spans="1:18" x14ac:dyDescent="0.35">
      <c r="B61" s="45" t="s">
        <v>51</v>
      </c>
      <c r="C61" s="46">
        <v>15000</v>
      </c>
      <c r="D61" s="51">
        <v>24</v>
      </c>
      <c r="E61" s="51">
        <v>145730</v>
      </c>
      <c r="F61" s="51">
        <f>E61</f>
        <v>145730</v>
      </c>
      <c r="G61" s="51">
        <v>0</v>
      </c>
      <c r="H61" s="51">
        <f>SUM(F61:G61)</f>
        <v>145730</v>
      </c>
      <c r="I61"/>
    </row>
    <row r="62" spans="1:18" x14ac:dyDescent="0.35">
      <c r="B62" s="45" t="s">
        <v>96</v>
      </c>
      <c r="C62" s="46">
        <f>SUM(C61:C61)</f>
        <v>15000</v>
      </c>
      <c r="D62" s="51">
        <v>72</v>
      </c>
      <c r="E62" s="51">
        <v>12530570</v>
      </c>
      <c r="F62" s="51">
        <f>$D62*F$60</f>
        <v>1080000</v>
      </c>
      <c r="G62" s="51">
        <f>E62-F62</f>
        <v>11450570</v>
      </c>
      <c r="H62" s="51">
        <f>SUM(F62:G62)</f>
        <v>12530570</v>
      </c>
      <c r="I62"/>
    </row>
    <row r="63" spans="1:18" ht="16" thickBot="1" x14ac:dyDescent="0.4">
      <c r="B63" s="45"/>
      <c r="C63" t="s">
        <v>0</v>
      </c>
      <c r="D63" s="53">
        <f>SUM(D61:D62)</f>
        <v>96</v>
      </c>
      <c r="E63" s="53">
        <f>SUM(E61:E62)</f>
        <v>12676300</v>
      </c>
      <c r="F63" s="53">
        <f>SUM(F61:F62)</f>
        <v>1225730</v>
      </c>
      <c r="G63" s="53">
        <f>SUM(G61:G62)</f>
        <v>11450570</v>
      </c>
      <c r="H63" s="53">
        <f>SUM(H61:H62)</f>
        <v>12676300</v>
      </c>
      <c r="I63"/>
    </row>
    <row r="64" spans="1:18" ht="16" thickTop="1" x14ac:dyDescent="0.35">
      <c r="H64"/>
      <c r="I64"/>
    </row>
    <row r="65" spans="1:16" x14ac:dyDescent="0.35">
      <c r="H65"/>
      <c r="I65"/>
    </row>
    <row r="66" spans="1:16" x14ac:dyDescent="0.35">
      <c r="B66" s="434" t="s">
        <v>146</v>
      </c>
      <c r="C66" s="434"/>
      <c r="D66" s="434"/>
      <c r="E66" s="434"/>
      <c r="F66" s="434"/>
      <c r="G66" s="434"/>
      <c r="H66" s="434"/>
      <c r="I66"/>
    </row>
    <row r="67" spans="1:16" x14ac:dyDescent="0.35">
      <c r="C67" s="56"/>
      <c r="D67" s="155" t="s">
        <v>144</v>
      </c>
      <c r="E67" s="155" t="s">
        <v>145</v>
      </c>
      <c r="F67" s="434" t="s">
        <v>147</v>
      </c>
      <c r="G67" s="434"/>
      <c r="H67" s="155" t="s">
        <v>32</v>
      </c>
      <c r="I67"/>
    </row>
    <row r="68" spans="1:16" x14ac:dyDescent="0.35">
      <c r="B68" s="45" t="s">
        <v>51</v>
      </c>
      <c r="C68" s="51">
        <f>C61</f>
        <v>15000</v>
      </c>
      <c r="D68" s="57">
        <f>D63</f>
        <v>96</v>
      </c>
      <c r="E68" s="57">
        <f>F63</f>
        <v>1225730</v>
      </c>
      <c r="F68" s="58">
        <f>'Rates Comp'!L25</f>
        <v>228.28</v>
      </c>
      <c r="G68" t="s">
        <v>173</v>
      </c>
      <c r="H68" s="58">
        <f>F68*D68</f>
        <v>21914.880000000001</v>
      </c>
      <c r="I68"/>
    </row>
    <row r="69" spans="1:16" x14ac:dyDescent="0.35">
      <c r="B69" s="45" t="s">
        <v>96</v>
      </c>
      <c r="C69" s="51">
        <f>C62</f>
        <v>15000</v>
      </c>
      <c r="D69" s="56"/>
      <c r="E69" s="59">
        <f>G62</f>
        <v>11450570</v>
      </c>
      <c r="F69" s="156">
        <f>'Rates Comp'!L26</f>
        <v>1.2280000000000001E-2</v>
      </c>
      <c r="G69" t="s">
        <v>174</v>
      </c>
      <c r="H69" s="157">
        <f>ROUND(E69*F69,2)</f>
        <v>140613</v>
      </c>
      <c r="I69"/>
      <c r="P69" s="158">
        <v>9.2899999999999991</v>
      </c>
    </row>
    <row r="70" spans="1:16" ht="16" thickBot="1" x14ac:dyDescent="0.4">
      <c r="C70" t="s">
        <v>35</v>
      </c>
      <c r="E70" s="53">
        <f>SUM(E68:E69)</f>
        <v>12676300</v>
      </c>
      <c r="H70" s="159">
        <f>SUM(H68:H69)</f>
        <v>162527.88</v>
      </c>
      <c r="I70"/>
    </row>
    <row r="71" spans="1:16" ht="16" thickTop="1" x14ac:dyDescent="0.35"/>
    <row r="72" spans="1:16" x14ac:dyDescent="0.35">
      <c r="A72" t="s">
        <v>172</v>
      </c>
      <c r="B72" s="72" t="s">
        <v>166</v>
      </c>
      <c r="H72"/>
      <c r="I72"/>
    </row>
    <row r="73" spans="1:16" x14ac:dyDescent="0.35">
      <c r="B73" s="45"/>
      <c r="C73" s="45"/>
      <c r="D73" s="45"/>
      <c r="E73" s="45"/>
      <c r="F73" s="45" t="s">
        <v>51</v>
      </c>
      <c r="G73" s="45" t="s">
        <v>96</v>
      </c>
      <c r="H73" s="45" t="s">
        <v>57</v>
      </c>
      <c r="I73"/>
    </row>
    <row r="74" spans="1:16" x14ac:dyDescent="0.35">
      <c r="B74" s="45"/>
      <c r="C74" s="47" t="s">
        <v>143</v>
      </c>
      <c r="D74" s="47" t="s">
        <v>144</v>
      </c>
      <c r="E74" s="47" t="s">
        <v>145</v>
      </c>
      <c r="F74" s="48">
        <f>C75</f>
        <v>100000</v>
      </c>
      <c r="G74" s="50">
        <f>SUM(F74:F74)</f>
        <v>100000</v>
      </c>
      <c r="H74" s="47"/>
      <c r="I74"/>
    </row>
    <row r="75" spans="1:16" x14ac:dyDescent="0.35">
      <c r="B75" s="45" t="s">
        <v>51</v>
      </c>
      <c r="C75" s="46">
        <v>100000</v>
      </c>
      <c r="D75" s="51">
        <v>8</v>
      </c>
      <c r="E75" s="51">
        <v>382380</v>
      </c>
      <c r="F75" s="51">
        <f>E75</f>
        <v>382380</v>
      </c>
      <c r="G75" s="51">
        <v>0</v>
      </c>
      <c r="H75" s="51">
        <f>SUM(F75:G75)</f>
        <v>382380</v>
      </c>
      <c r="I75"/>
    </row>
    <row r="76" spans="1:16" x14ac:dyDescent="0.35">
      <c r="B76" s="45" t="s">
        <v>96</v>
      </c>
      <c r="C76" s="46">
        <f>SUM(C75:C75)</f>
        <v>100000</v>
      </c>
      <c r="D76" s="51">
        <v>4</v>
      </c>
      <c r="E76" s="51">
        <v>754330</v>
      </c>
      <c r="F76" s="51">
        <f>$D76*F$74</f>
        <v>400000</v>
      </c>
      <c r="G76" s="51">
        <f>E76-F76</f>
        <v>354330</v>
      </c>
      <c r="H76" s="51">
        <f>SUM(F76:G76)</f>
        <v>754330</v>
      </c>
      <c r="I76"/>
    </row>
    <row r="77" spans="1:16" ht="16" thickBot="1" x14ac:dyDescent="0.4">
      <c r="B77" s="45"/>
      <c r="C77" t="s">
        <v>0</v>
      </c>
      <c r="D77" s="53">
        <f>SUM(D75:D76)</f>
        <v>12</v>
      </c>
      <c r="E77" s="53">
        <f>SUM(E75:E76)</f>
        <v>1136710</v>
      </c>
      <c r="F77" s="53">
        <f>SUM(F75:F76)</f>
        <v>782380</v>
      </c>
      <c r="G77" s="53">
        <f>SUM(G75:G76)</f>
        <v>354330</v>
      </c>
      <c r="H77" s="53">
        <f>SUM(H75:H76)</f>
        <v>1136710</v>
      </c>
      <c r="I77"/>
    </row>
    <row r="78" spans="1:16" ht="16" thickTop="1" x14ac:dyDescent="0.35">
      <c r="H78"/>
      <c r="I78"/>
    </row>
    <row r="79" spans="1:16" x14ac:dyDescent="0.35">
      <c r="H79"/>
      <c r="I79"/>
    </row>
    <row r="80" spans="1:16" x14ac:dyDescent="0.35">
      <c r="B80" s="434" t="s">
        <v>146</v>
      </c>
      <c r="C80" s="434"/>
      <c r="D80" s="434"/>
      <c r="E80" s="434"/>
      <c r="F80" s="434"/>
      <c r="G80" s="434"/>
      <c r="H80" s="434"/>
      <c r="I80"/>
    </row>
    <row r="81" spans="1:16" x14ac:dyDescent="0.35">
      <c r="C81" s="56"/>
      <c r="D81" s="155" t="s">
        <v>144</v>
      </c>
      <c r="E81" s="155" t="s">
        <v>145</v>
      </c>
      <c r="F81" s="434" t="s">
        <v>147</v>
      </c>
      <c r="G81" s="434"/>
      <c r="H81" s="155" t="s">
        <v>32</v>
      </c>
      <c r="I81"/>
    </row>
    <row r="82" spans="1:16" x14ac:dyDescent="0.35">
      <c r="B82" s="45" t="s">
        <v>51</v>
      </c>
      <c r="C82" s="51">
        <f>C75</f>
        <v>100000</v>
      </c>
      <c r="D82" s="57">
        <f>D77</f>
        <v>12</v>
      </c>
      <c r="E82" s="57">
        <f>F77</f>
        <v>782380</v>
      </c>
      <c r="F82" s="58">
        <f>'Rates Comp'!L29</f>
        <v>1278.46</v>
      </c>
      <c r="G82" t="s">
        <v>173</v>
      </c>
      <c r="H82" s="58">
        <f>F82*D82</f>
        <v>15341.52</v>
      </c>
      <c r="I82"/>
    </row>
    <row r="83" spans="1:16" x14ac:dyDescent="0.35">
      <c r="B83" s="45" t="s">
        <v>96</v>
      </c>
      <c r="C83" s="51">
        <f>C76</f>
        <v>100000</v>
      </c>
      <c r="D83" s="56"/>
      <c r="E83" s="59">
        <f>G76</f>
        <v>354330</v>
      </c>
      <c r="F83" s="156">
        <f>'Rates Comp'!R30</f>
        <v>1.2280000000000001E-2</v>
      </c>
      <c r="G83" t="s">
        <v>174</v>
      </c>
      <c r="H83" s="157">
        <f>ROUND(E83*F83,2)</f>
        <v>4351.17</v>
      </c>
      <c r="I83"/>
      <c r="P83" s="158">
        <v>9.2899999999999991</v>
      </c>
    </row>
    <row r="84" spans="1:16" ht="16" thickBot="1" x14ac:dyDescent="0.4">
      <c r="C84" t="s">
        <v>35</v>
      </c>
      <c r="E84" s="53">
        <f>SUM(E82:E83)</f>
        <v>1136710</v>
      </c>
      <c r="H84" s="159">
        <f>SUM(H82:H83)</f>
        <v>19692.690000000002</v>
      </c>
      <c r="I84"/>
    </row>
    <row r="85" spans="1:16" ht="16" thickTop="1" x14ac:dyDescent="0.35"/>
    <row r="86" spans="1:16" x14ac:dyDescent="0.35">
      <c r="A86" t="s">
        <v>172</v>
      </c>
      <c r="B86" s="72" t="s">
        <v>175</v>
      </c>
      <c r="H86"/>
      <c r="I86"/>
    </row>
    <row r="87" spans="1:16" x14ac:dyDescent="0.35">
      <c r="E87" s="333">
        <f>E84/12</f>
        <v>94725.833333333328</v>
      </c>
      <c r="H87"/>
      <c r="I87"/>
    </row>
    <row r="88" spans="1:16" x14ac:dyDescent="0.35">
      <c r="B88" s="45"/>
      <c r="C88" s="45"/>
      <c r="D88" s="45"/>
      <c r="E88" s="45"/>
      <c r="H88"/>
      <c r="I88"/>
    </row>
    <row r="89" spans="1:16" x14ac:dyDescent="0.35">
      <c r="B89" s="45"/>
      <c r="C89" s="47" t="s">
        <v>143</v>
      </c>
      <c r="D89" s="47" t="s">
        <v>144</v>
      </c>
      <c r="E89" s="47" t="s">
        <v>145</v>
      </c>
      <c r="H89"/>
      <c r="I89"/>
    </row>
    <row r="90" spans="1:16" x14ac:dyDescent="0.35">
      <c r="B90" s="45" t="s">
        <v>96</v>
      </c>
      <c r="C90" s="46">
        <v>6280000</v>
      </c>
      <c r="D90" s="51">
        <v>12</v>
      </c>
      <c r="E90" s="51">
        <v>6280000</v>
      </c>
      <c r="H90"/>
      <c r="I90"/>
    </row>
    <row r="91" spans="1:16" ht="16" thickBot="1" x14ac:dyDescent="0.4">
      <c r="B91" s="45"/>
      <c r="C91" t="s">
        <v>0</v>
      </c>
      <c r="D91" s="53">
        <f>SUM(D90:D90)</f>
        <v>12</v>
      </c>
      <c r="E91" s="53">
        <f>SUM(E90:E90)</f>
        <v>6280000</v>
      </c>
      <c r="H91"/>
      <c r="I91"/>
    </row>
    <row r="92" spans="1:16" ht="16" thickTop="1" x14ac:dyDescent="0.35">
      <c r="H92"/>
      <c r="I92"/>
    </row>
    <row r="93" spans="1:16" x14ac:dyDescent="0.35">
      <c r="H93"/>
      <c r="I93"/>
    </row>
    <row r="94" spans="1:16" x14ac:dyDescent="0.35">
      <c r="B94" s="434" t="s">
        <v>146</v>
      </c>
      <c r="C94" s="434"/>
      <c r="D94" s="434"/>
      <c r="E94" s="434"/>
      <c r="F94" s="434"/>
      <c r="G94" s="434"/>
      <c r="H94" s="434"/>
      <c r="I94"/>
    </row>
    <row r="95" spans="1:16" x14ac:dyDescent="0.35">
      <c r="C95" s="56"/>
      <c r="D95" s="155" t="s">
        <v>144</v>
      </c>
      <c r="E95" s="155" t="s">
        <v>145</v>
      </c>
      <c r="F95" s="434" t="s">
        <v>147</v>
      </c>
      <c r="G95" s="434"/>
      <c r="H95" s="155" t="s">
        <v>32</v>
      </c>
      <c r="I95"/>
    </row>
    <row r="96" spans="1:16" x14ac:dyDescent="0.35">
      <c r="B96" s="45" t="s">
        <v>145</v>
      </c>
      <c r="C96" s="51"/>
      <c r="D96" s="59">
        <f>D91</f>
        <v>12</v>
      </c>
      <c r="E96" s="59">
        <f>E91</f>
        <v>6280000</v>
      </c>
      <c r="F96" s="156">
        <f>'Rates Comp'!L33</f>
        <v>6.0000000000000001E-3</v>
      </c>
      <c r="G96" t="s">
        <v>174</v>
      </c>
      <c r="H96" s="157">
        <f>ROUND(E96*F96,2)</f>
        <v>37680</v>
      </c>
      <c r="I96"/>
      <c r="P96" s="158">
        <v>4.5199999999999996</v>
      </c>
    </row>
    <row r="97" spans="3:9" ht="16" thickBot="1" x14ac:dyDescent="0.4">
      <c r="C97" t="s">
        <v>35</v>
      </c>
      <c r="E97" s="53">
        <f>SUM(E96:E96)</f>
        <v>6280000</v>
      </c>
      <c r="H97" s="159">
        <f>SUM(H96:H96)</f>
        <v>37680</v>
      </c>
      <c r="I97"/>
    </row>
    <row r="98" spans="3:9" ht="16" thickTop="1" x14ac:dyDescent="0.35"/>
  </sheetData>
  <mergeCells count="17">
    <mergeCell ref="B94:H94"/>
    <mergeCell ref="F95:G95"/>
    <mergeCell ref="F31:G31"/>
    <mergeCell ref="B50:H50"/>
    <mergeCell ref="F51:G51"/>
    <mergeCell ref="B66:H66"/>
    <mergeCell ref="F67:G67"/>
    <mergeCell ref="C7:D7"/>
    <mergeCell ref="C8:D8"/>
    <mergeCell ref="B30:H30"/>
    <mergeCell ref="B80:H80"/>
    <mergeCell ref="F81:G81"/>
    <mergeCell ref="A1:K1"/>
    <mergeCell ref="A2:K2"/>
    <mergeCell ref="A3:K3"/>
    <mergeCell ref="A4:K4"/>
    <mergeCell ref="C6:D6"/>
  </mergeCells>
  <printOptions horizontalCentered="1"/>
  <pageMargins left="0.6" right="0.6" top="1" bottom="1" header="0.3" footer="0.3"/>
  <pageSetup scale="29" fitToHeight="2" orientation="portrait" r:id="rId1"/>
  <headerFooter>
    <oddFooter>Page &amp;P of &amp;N</oddFooter>
  </headerFooter>
  <ignoredErrors>
    <ignoredError sqref="H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10DA6-5E97-4FD6-BB17-E790C8773A1C}">
  <dimension ref="B1:IT44"/>
  <sheetViews>
    <sheetView workbookViewId="0">
      <selection activeCell="H11" sqref="H11"/>
    </sheetView>
  </sheetViews>
  <sheetFormatPr defaultColWidth="8.84375" defaultRowHeight="15.5" x14ac:dyDescent="0.35"/>
  <cols>
    <col min="1" max="1" width="3.53515625" style="27" customWidth="1"/>
    <col min="2" max="2" width="1.765625" style="27" customWidth="1"/>
    <col min="3" max="3" width="3.69140625" style="87" customWidth="1"/>
    <col min="4" max="4" width="2.69140625" style="87" customWidth="1"/>
    <col min="5" max="5" width="30.07421875" style="87" customWidth="1"/>
    <col min="6" max="6" width="4.84375" style="83" customWidth="1"/>
    <col min="7" max="7" width="1.765625" style="83" customWidth="1"/>
    <col min="8" max="8" width="14.765625" style="87" customWidth="1"/>
    <col min="9" max="9" width="1.53515625" style="87" customWidth="1"/>
    <col min="10" max="10" width="14.765625" style="87" customWidth="1"/>
    <col min="11" max="11" width="1.53515625" style="87" customWidth="1"/>
    <col min="12" max="12" width="14.765625" style="87" customWidth="1"/>
    <col min="13" max="13" width="1.53515625" style="87" customWidth="1"/>
    <col min="14" max="14" width="14.765625" style="87" customWidth="1"/>
    <col min="15" max="15" width="1.53515625" style="87" customWidth="1"/>
    <col min="16" max="16" width="14.765625" style="87" customWidth="1"/>
    <col min="17" max="17" width="1.53515625" style="87" customWidth="1"/>
    <col min="18" max="254" width="9.69140625" style="87" customWidth="1"/>
    <col min="255" max="256" width="9.69140625" style="27" customWidth="1"/>
    <col min="257" max="16384" width="8.84375" style="27"/>
  </cols>
  <sheetData>
    <row r="1" spans="2:19" x14ac:dyDescent="0.35">
      <c r="H1" s="83"/>
      <c r="J1" s="83" t="s">
        <v>408</v>
      </c>
      <c r="L1" s="83" t="s">
        <v>408</v>
      </c>
      <c r="N1" s="83" t="s">
        <v>410</v>
      </c>
      <c r="P1" s="83" t="s">
        <v>411</v>
      </c>
    </row>
    <row r="2" spans="2:19" x14ac:dyDescent="0.35">
      <c r="H2" s="83" t="s">
        <v>406</v>
      </c>
      <c r="J2" s="83" t="s">
        <v>409</v>
      </c>
      <c r="L2" s="83" t="s">
        <v>409</v>
      </c>
      <c r="N2" s="83" t="s">
        <v>409</v>
      </c>
      <c r="P2" s="83" t="s">
        <v>409</v>
      </c>
    </row>
    <row r="3" spans="2:19" x14ac:dyDescent="0.35">
      <c r="H3" s="135" t="s">
        <v>407</v>
      </c>
      <c r="J3" s="360">
        <v>0.2</v>
      </c>
      <c r="L3" s="361">
        <v>0.2525</v>
      </c>
      <c r="N3" s="361">
        <f>N20</f>
        <v>2.995782058960474E-2</v>
      </c>
      <c r="P3" s="361">
        <f>P20</f>
        <v>2.9086453824347127E-2</v>
      </c>
    </row>
    <row r="4" spans="2:19" x14ac:dyDescent="0.35">
      <c r="B4" s="91"/>
      <c r="C4" s="91" t="s">
        <v>403</v>
      </c>
      <c r="D4" s="358"/>
      <c r="E4" s="91"/>
      <c r="F4" s="358"/>
      <c r="G4" s="358"/>
      <c r="H4" s="62">
        <f>'SAO- DSC Revised - 3 Emp'!L12</f>
        <v>1881341.07</v>
      </c>
      <c r="J4" s="62">
        <f>H4</f>
        <v>1881341.07</v>
      </c>
      <c r="L4" s="62">
        <f>H4</f>
        <v>1881341.07</v>
      </c>
      <c r="N4" s="62">
        <f>L6</f>
        <v>2356379.6902000001</v>
      </c>
      <c r="P4" s="62">
        <f>N6</f>
        <v>2426971.6902000001</v>
      </c>
    </row>
    <row r="5" spans="2:19" x14ac:dyDescent="0.35">
      <c r="B5" s="91"/>
      <c r="C5" s="91" t="s">
        <v>404</v>
      </c>
      <c r="D5" s="358"/>
      <c r="E5" s="91"/>
      <c r="F5" s="358"/>
      <c r="G5" s="358"/>
      <c r="H5" s="64">
        <f>'SAO- DSC Revised - 3 Emp'!R56</f>
        <v>616221.9291999999</v>
      </c>
      <c r="J5" s="64">
        <f>ROUND(J4*J3,4)</f>
        <v>376268.21399999998</v>
      </c>
      <c r="L5" s="64">
        <f>ROUND(L4*L3,4)</f>
        <v>475038.6202</v>
      </c>
      <c r="N5" s="64">
        <f>ROUND(($H5-$L5)/2,0)</f>
        <v>70592</v>
      </c>
      <c r="P5" s="64">
        <f>ROUND(($H5-$L5)/2,0)</f>
        <v>70592</v>
      </c>
      <c r="S5" s="87">
        <f>SUM(L5:P5)</f>
        <v>616222.6202</v>
      </c>
    </row>
    <row r="6" spans="2:19" x14ac:dyDescent="0.35">
      <c r="B6" s="91"/>
      <c r="C6" s="91" t="s">
        <v>405</v>
      </c>
      <c r="D6" s="358"/>
      <c r="E6" s="91"/>
      <c r="F6" s="358"/>
      <c r="G6" s="358"/>
      <c r="H6" s="62">
        <f>SUM(H4:H5)</f>
        <v>2497562.9992</v>
      </c>
      <c r="J6" s="62">
        <f>SUM(J4:J5)</f>
        <v>2257609.284</v>
      </c>
      <c r="L6" s="62">
        <f>SUM(L4:L5)</f>
        <v>2356379.6902000001</v>
      </c>
      <c r="N6" s="62">
        <f>SUM(N4:N5)</f>
        <v>2426971.6902000001</v>
      </c>
      <c r="P6" s="62">
        <f>SUM(P4:P5)</f>
        <v>2497563.6902000001</v>
      </c>
    </row>
    <row r="7" spans="2:19" x14ac:dyDescent="0.35">
      <c r="C7" s="91" t="s">
        <v>399</v>
      </c>
      <c r="D7" s="27"/>
      <c r="E7" s="91" t="s">
        <v>7</v>
      </c>
      <c r="F7" s="358"/>
      <c r="G7" s="358"/>
      <c r="H7" s="62">
        <f>-'SAO- DSC Revised - 3 Emp'!L50</f>
        <v>30827</v>
      </c>
      <c r="J7" s="62">
        <f>H7</f>
        <v>30827</v>
      </c>
      <c r="L7" s="62">
        <f>J7</f>
        <v>30827</v>
      </c>
      <c r="N7" s="62">
        <f>L7</f>
        <v>30827</v>
      </c>
      <c r="P7" s="62">
        <f>N7</f>
        <v>30827</v>
      </c>
    </row>
    <row r="8" spans="2:19" x14ac:dyDescent="0.35">
      <c r="C8" s="91"/>
      <c r="E8" s="91" t="s">
        <v>36</v>
      </c>
      <c r="F8" s="358"/>
      <c r="G8" s="358"/>
      <c r="H8" s="62">
        <f>-'SAO- DSC Revised - 3 Emp'!L51</f>
        <v>72</v>
      </c>
      <c r="J8" s="62">
        <f t="shared" ref="J8:P9" si="0">H8</f>
        <v>72</v>
      </c>
      <c r="L8" s="62">
        <f t="shared" si="0"/>
        <v>72</v>
      </c>
      <c r="N8" s="62">
        <f t="shared" si="0"/>
        <v>72</v>
      </c>
      <c r="P8" s="62">
        <f t="shared" si="0"/>
        <v>72</v>
      </c>
    </row>
    <row r="9" spans="2:19" ht="15" customHeight="1" x14ac:dyDescent="0.35">
      <c r="C9" s="91"/>
      <c r="E9" s="91" t="s">
        <v>298</v>
      </c>
      <c r="F9" s="358"/>
      <c r="G9" s="358"/>
      <c r="H9" s="64">
        <f>-'SAO- DSC Revised - 3 Emp'!L52</f>
        <v>32431</v>
      </c>
      <c r="J9" s="64">
        <f t="shared" si="0"/>
        <v>32431</v>
      </c>
      <c r="L9" s="64">
        <f t="shared" si="0"/>
        <v>32431</v>
      </c>
      <c r="N9" s="64">
        <f t="shared" si="0"/>
        <v>32431</v>
      </c>
      <c r="P9" s="64">
        <f t="shared" si="0"/>
        <v>32431</v>
      </c>
    </row>
    <row r="10" spans="2:19" x14ac:dyDescent="0.35">
      <c r="C10" s="91" t="s">
        <v>22</v>
      </c>
      <c r="E10" s="91"/>
      <c r="F10" s="87"/>
      <c r="G10" s="87"/>
      <c r="H10" s="62">
        <f>SUM(H6:H9)</f>
        <v>2560892.9992</v>
      </c>
      <c r="J10" s="62">
        <f>SUM(J6:J9)</f>
        <v>2320939.284</v>
      </c>
      <c r="L10" s="62">
        <f>SUM(L6:L9)</f>
        <v>2419709.6902000001</v>
      </c>
      <c r="N10" s="62">
        <f>SUM(N6:N9)</f>
        <v>2490301.6902000001</v>
      </c>
      <c r="P10" s="62">
        <f>SUM(P6:P9)</f>
        <v>2560893.6902000001</v>
      </c>
    </row>
    <row r="11" spans="2:19" x14ac:dyDescent="0.35">
      <c r="C11" s="87" t="s">
        <v>397</v>
      </c>
      <c r="D11" s="87" t="s">
        <v>6</v>
      </c>
      <c r="E11" s="91"/>
      <c r="F11" s="87"/>
      <c r="G11" s="87"/>
      <c r="H11" s="62">
        <f>-'SAO- DSC Revised - 3 Emp'!R42</f>
        <v>-2261948.9992</v>
      </c>
      <c r="J11" s="62">
        <f>H11</f>
        <v>-2261948.9992</v>
      </c>
      <c r="L11" s="62">
        <f>J11</f>
        <v>-2261948.9992</v>
      </c>
      <c r="N11" s="62">
        <f t="shared" ref="N11" si="1">L11</f>
        <v>-2261948.9992</v>
      </c>
      <c r="P11" s="62">
        <f t="shared" ref="P11" si="2">N11</f>
        <v>-2261948.9992</v>
      </c>
    </row>
    <row r="12" spans="2:19" x14ac:dyDescent="0.35">
      <c r="D12" s="87" t="s">
        <v>398</v>
      </c>
      <c r="E12" s="91"/>
      <c r="F12" s="87"/>
      <c r="G12" s="87"/>
      <c r="H12" s="62">
        <f>-'SAO- DSC Revised - 3 Emp'!R47</f>
        <v>-249120</v>
      </c>
      <c r="J12" s="62">
        <f t="shared" ref="J12:P14" si="3">H12</f>
        <v>-249120</v>
      </c>
      <c r="L12" s="62">
        <f t="shared" si="3"/>
        <v>-249120</v>
      </c>
      <c r="N12" s="62">
        <f t="shared" si="3"/>
        <v>-249120</v>
      </c>
      <c r="P12" s="62">
        <f t="shared" si="3"/>
        <v>-249120</v>
      </c>
    </row>
    <row r="13" spans="2:19" x14ac:dyDescent="0.35">
      <c r="D13" s="87" t="s">
        <v>138</v>
      </c>
      <c r="E13" s="91"/>
      <c r="F13" s="87"/>
      <c r="G13" s="87"/>
      <c r="H13" s="62">
        <f>-'SAO- DSC Revised - 3 Emp'!R48</f>
        <v>-49824</v>
      </c>
      <c r="J13" s="62">
        <f t="shared" si="3"/>
        <v>-49824</v>
      </c>
      <c r="L13" s="62">
        <f t="shared" si="3"/>
        <v>-49824</v>
      </c>
      <c r="N13" s="62">
        <f t="shared" si="3"/>
        <v>-49824</v>
      </c>
      <c r="P13" s="62">
        <f t="shared" si="3"/>
        <v>-49824</v>
      </c>
    </row>
    <row r="14" spans="2:19" x14ac:dyDescent="0.35">
      <c r="D14" s="87" t="s">
        <v>402</v>
      </c>
      <c r="E14" s="91"/>
      <c r="F14" s="87"/>
      <c r="G14" s="87"/>
      <c r="H14" s="64">
        <f>+'SAO- DSC Revised - 3 Emp'!H27+'SAO- DSC Revised - 3 Emp'!H28</f>
        <v>-137829</v>
      </c>
      <c r="J14" s="64">
        <f t="shared" si="3"/>
        <v>-137829</v>
      </c>
      <c r="L14" s="64">
        <f t="shared" si="3"/>
        <v>-137829</v>
      </c>
      <c r="N14" s="64">
        <f t="shared" si="3"/>
        <v>-137829</v>
      </c>
      <c r="P14" s="64">
        <f t="shared" si="3"/>
        <v>-137829</v>
      </c>
    </row>
    <row r="15" spans="2:19" x14ac:dyDescent="0.35">
      <c r="C15" s="87" t="s">
        <v>155</v>
      </c>
      <c r="E15" s="91"/>
      <c r="F15" s="87"/>
      <c r="G15" s="87"/>
      <c r="H15" s="62">
        <f>SUM(H10:H14)</f>
        <v>-137829</v>
      </c>
      <c r="J15" s="62">
        <f>SUM(J10:J14)</f>
        <v>-377782.71519999998</v>
      </c>
      <c r="L15" s="62">
        <f>SUM(L10:L14)</f>
        <v>-279012.30899999989</v>
      </c>
      <c r="N15" s="62">
        <f>SUM(N10:N14)</f>
        <v>-208420.30899999989</v>
      </c>
      <c r="P15" s="62">
        <f>SUM(P10:P14)</f>
        <v>-137828.30899999989</v>
      </c>
    </row>
    <row r="16" spans="2:19" x14ac:dyDescent="0.35">
      <c r="C16" s="87" t="s">
        <v>399</v>
      </c>
      <c r="E16" s="91" t="s">
        <v>400</v>
      </c>
      <c r="F16" s="87"/>
      <c r="G16" s="87"/>
      <c r="H16" s="64">
        <v>431398.20999999996</v>
      </c>
      <c r="J16" s="64">
        <f>H16</f>
        <v>431398.20999999996</v>
      </c>
      <c r="L16" s="64">
        <f>J16</f>
        <v>431398.20999999996</v>
      </c>
      <c r="N16" s="64">
        <f>L16</f>
        <v>431398.20999999996</v>
      </c>
      <c r="P16" s="64">
        <f>N16</f>
        <v>431398.20999999996</v>
      </c>
    </row>
    <row r="17" spans="3:16" ht="16" thickBot="1" x14ac:dyDescent="0.4">
      <c r="C17" s="87" t="s">
        <v>401</v>
      </c>
      <c r="E17" s="91"/>
      <c r="F17" s="87"/>
      <c r="G17" s="87"/>
      <c r="H17" s="359">
        <f>SUM(H15:H16)</f>
        <v>293569.20999999996</v>
      </c>
      <c r="J17" s="359">
        <f>SUM(J15:J16)</f>
        <v>53615.494799999986</v>
      </c>
      <c r="L17" s="359">
        <f>SUM(L15:L16)</f>
        <v>152385.90100000007</v>
      </c>
      <c r="N17" s="359">
        <f>SUM(N15:N16)</f>
        <v>222977.90100000007</v>
      </c>
      <c r="P17" s="359">
        <f>SUM(P15:P16)</f>
        <v>293569.90100000007</v>
      </c>
    </row>
    <row r="18" spans="3:16" ht="16" thickTop="1" x14ac:dyDescent="0.35"/>
    <row r="20" spans="3:16" ht="16" thickBot="1" x14ac:dyDescent="0.4">
      <c r="C20" s="87" t="s">
        <v>412</v>
      </c>
      <c r="L20" s="65">
        <f>L5/L4</f>
        <v>0.25250000001328837</v>
      </c>
      <c r="N20" s="65">
        <f>N5/N4</f>
        <v>2.995782058960474E-2</v>
      </c>
      <c r="P20" s="65">
        <f>P5/P4</f>
        <v>2.9086453824347127E-2</v>
      </c>
    </row>
    <row r="21" spans="3:16" ht="16" thickTop="1" x14ac:dyDescent="0.35"/>
    <row r="23" spans="3:16" x14ac:dyDescent="0.35">
      <c r="C23" s="415" t="s">
        <v>413</v>
      </c>
      <c r="D23" s="415"/>
      <c r="E23" s="415"/>
      <c r="F23" s="415"/>
      <c r="G23" s="415"/>
      <c r="H23" s="415"/>
      <c r="I23" s="415"/>
      <c r="J23" s="415"/>
      <c r="K23" s="415"/>
      <c r="L23" s="415"/>
      <c r="M23" s="415"/>
      <c r="N23" s="415"/>
      <c r="O23" s="415"/>
      <c r="P23" s="415"/>
    </row>
    <row r="24" spans="3:16" x14ac:dyDescent="0.35">
      <c r="H24" s="83"/>
      <c r="J24" s="83" t="s">
        <v>408</v>
      </c>
      <c r="L24" s="83" t="s">
        <v>408</v>
      </c>
      <c r="N24" s="83" t="s">
        <v>410</v>
      </c>
      <c r="P24" s="83" t="s">
        <v>411</v>
      </c>
    </row>
    <row r="25" spans="3:16" x14ac:dyDescent="0.35">
      <c r="H25" s="83" t="s">
        <v>406</v>
      </c>
      <c r="J25" s="83" t="s">
        <v>409</v>
      </c>
      <c r="L25" s="83" t="s">
        <v>409</v>
      </c>
      <c r="N25" s="83" t="s">
        <v>409</v>
      </c>
      <c r="P25" s="83" t="s">
        <v>409</v>
      </c>
    </row>
    <row r="26" spans="3:16" x14ac:dyDescent="0.35">
      <c r="H26" s="135" t="s">
        <v>407</v>
      </c>
      <c r="J26" s="360">
        <v>0.2</v>
      </c>
      <c r="L26" s="361">
        <v>0.2525</v>
      </c>
      <c r="N26" s="361">
        <f>N43</f>
        <v>2.995782058960474E-2</v>
      </c>
      <c r="P26" s="361">
        <f>P43</f>
        <v>2.9086453824347127E-2</v>
      </c>
    </row>
    <row r="27" spans="3:16" x14ac:dyDescent="0.35">
      <c r="C27" s="91" t="s">
        <v>403</v>
      </c>
      <c r="D27" s="358"/>
      <c r="E27" s="91"/>
      <c r="F27" s="358"/>
      <c r="G27" s="358"/>
      <c r="H27" s="62">
        <v>1881341.07</v>
      </c>
      <c r="J27" s="62">
        <v>1881341.07</v>
      </c>
      <c r="L27" s="62">
        <f>H27</f>
        <v>1881341.07</v>
      </c>
      <c r="N27" s="62">
        <f>L29</f>
        <v>2356379.6902000001</v>
      </c>
      <c r="P27" s="62">
        <f>N29</f>
        <v>2426971.6902000001</v>
      </c>
    </row>
    <row r="28" spans="3:16" x14ac:dyDescent="0.35">
      <c r="C28" s="91" t="s">
        <v>404</v>
      </c>
      <c r="D28" s="358"/>
      <c r="E28" s="91"/>
      <c r="F28" s="358"/>
      <c r="G28" s="358"/>
      <c r="H28" s="64">
        <f>H5</f>
        <v>616221.9291999999</v>
      </c>
      <c r="J28" s="64">
        <f>ROUND(J27*J26,4)</f>
        <v>376268.21399999998</v>
      </c>
      <c r="L28" s="64">
        <f>ROUND(L27*L26,4)</f>
        <v>475038.6202</v>
      </c>
      <c r="N28" s="64">
        <f>ROUND(($H28-$L28)/2,0)</f>
        <v>70592</v>
      </c>
      <c r="P28" s="64">
        <f>ROUND(($H28-$L28)/2,0)</f>
        <v>70592</v>
      </c>
    </row>
    <row r="29" spans="3:16" x14ac:dyDescent="0.35">
      <c r="C29" s="91" t="s">
        <v>405</v>
      </c>
      <c r="D29" s="358"/>
      <c r="E29" s="91"/>
      <c r="F29" s="358"/>
      <c r="G29" s="358"/>
      <c r="H29" s="62">
        <f>SUM(H27:H28)</f>
        <v>2497562.9992</v>
      </c>
      <c r="J29" s="62">
        <f>SUM(J27:J28)</f>
        <v>2257609.284</v>
      </c>
      <c r="L29" s="62">
        <f>SUM(L27:L28)</f>
        <v>2356379.6902000001</v>
      </c>
      <c r="N29" s="62">
        <f>SUM(N27:N28)</f>
        <v>2426971.6902000001</v>
      </c>
      <c r="P29" s="62">
        <f>SUM(P27:P28)</f>
        <v>2497563.6902000001</v>
      </c>
    </row>
    <row r="30" spans="3:16" x14ac:dyDescent="0.35">
      <c r="C30" s="91" t="s">
        <v>399</v>
      </c>
      <c r="D30" s="27"/>
      <c r="E30" s="91" t="s">
        <v>7</v>
      </c>
      <c r="F30" s="358"/>
      <c r="G30" s="358"/>
      <c r="H30" s="62">
        <f>H7</f>
        <v>30827</v>
      </c>
      <c r="J30" s="62">
        <f>J7</f>
        <v>30827</v>
      </c>
      <c r="L30" s="62">
        <f>L7</f>
        <v>30827</v>
      </c>
      <c r="N30" s="62">
        <f>N7</f>
        <v>30827</v>
      </c>
      <c r="P30" s="62">
        <f>P7</f>
        <v>30827</v>
      </c>
    </row>
    <row r="31" spans="3:16" x14ac:dyDescent="0.35">
      <c r="C31" s="91"/>
      <c r="E31" s="91" t="s">
        <v>36</v>
      </c>
      <c r="F31" s="358"/>
      <c r="G31" s="358"/>
      <c r="H31" s="62">
        <f t="shared" ref="H31:J32" si="4">H8</f>
        <v>72</v>
      </c>
      <c r="J31" s="62">
        <f t="shared" si="4"/>
        <v>72</v>
      </c>
      <c r="L31" s="62">
        <f t="shared" ref="L31" si="5">L8</f>
        <v>72</v>
      </c>
      <c r="N31" s="62">
        <f t="shared" ref="N31" si="6">N8</f>
        <v>72</v>
      </c>
      <c r="P31" s="62">
        <f t="shared" ref="P31" si="7">P8</f>
        <v>72</v>
      </c>
    </row>
    <row r="32" spans="3:16" x14ac:dyDescent="0.35">
      <c r="C32" s="91"/>
      <c r="E32" s="91" t="s">
        <v>298</v>
      </c>
      <c r="F32" s="358"/>
      <c r="G32" s="358"/>
      <c r="H32" s="64">
        <f t="shared" si="4"/>
        <v>32431</v>
      </c>
      <c r="J32" s="64">
        <f t="shared" si="4"/>
        <v>32431</v>
      </c>
      <c r="L32" s="64">
        <f t="shared" ref="L32" si="8">L9</f>
        <v>32431</v>
      </c>
      <c r="N32" s="64">
        <f t="shared" ref="N32" si="9">N9</f>
        <v>32431</v>
      </c>
      <c r="P32" s="64">
        <f t="shared" ref="P32" si="10">P9</f>
        <v>32431</v>
      </c>
    </row>
    <row r="33" spans="3:16" x14ac:dyDescent="0.35">
      <c r="C33" s="91" t="s">
        <v>22</v>
      </c>
      <c r="E33" s="91"/>
      <c r="F33" s="87"/>
      <c r="G33" s="87"/>
      <c r="H33" s="62">
        <f>SUM(H29:H32)</f>
        <v>2560892.9992</v>
      </c>
      <c r="J33" s="62">
        <f>SUM(J29:J32)</f>
        <v>2320939.284</v>
      </c>
      <c r="L33" s="62">
        <f>SUM(L29:L32)</f>
        <v>2419709.6902000001</v>
      </c>
      <c r="N33" s="62">
        <f>SUM(N29:N32)</f>
        <v>2490301.6902000001</v>
      </c>
      <c r="P33" s="62">
        <f>SUM(P29:P32)</f>
        <v>2560893.6902000001</v>
      </c>
    </row>
    <row r="34" spans="3:16" x14ac:dyDescent="0.35">
      <c r="C34" s="87" t="s">
        <v>397</v>
      </c>
      <c r="D34" s="87" t="s">
        <v>6</v>
      </c>
      <c r="E34" s="91"/>
      <c r="F34" s="87"/>
      <c r="G34" s="87"/>
      <c r="H34" s="62">
        <f t="shared" ref="H34:J37" si="11">H11</f>
        <v>-2261948.9992</v>
      </c>
      <c r="J34" s="62">
        <f t="shared" si="11"/>
        <v>-2261948.9992</v>
      </c>
      <c r="L34" s="62">
        <f t="shared" ref="L34" si="12">L11</f>
        <v>-2261948.9992</v>
      </c>
      <c r="N34" s="62">
        <f>ROUND(L34*1.03,0)</f>
        <v>-2329807</v>
      </c>
      <c r="P34" s="62">
        <f>ROUND(N34*1.03,0)</f>
        <v>-2399701</v>
      </c>
    </row>
    <row r="35" spans="3:16" x14ac:dyDescent="0.35">
      <c r="D35" s="87" t="s">
        <v>398</v>
      </c>
      <c r="E35" s="91"/>
      <c r="F35" s="87"/>
      <c r="G35" s="87"/>
      <c r="H35" s="62">
        <f t="shared" si="11"/>
        <v>-249120</v>
      </c>
      <c r="J35" s="62">
        <f t="shared" si="11"/>
        <v>-249120</v>
      </c>
      <c r="L35" s="62">
        <f t="shared" ref="L35" si="13">L12</f>
        <v>-249120</v>
      </c>
      <c r="N35" s="62">
        <f>J35</f>
        <v>-249120</v>
      </c>
      <c r="P35" s="62">
        <f>L35</f>
        <v>-249120</v>
      </c>
    </row>
    <row r="36" spans="3:16" x14ac:dyDescent="0.35">
      <c r="D36" s="87" t="s">
        <v>138</v>
      </c>
      <c r="E36" s="91"/>
      <c r="F36" s="87"/>
      <c r="G36" s="87"/>
      <c r="H36" s="62">
        <f t="shared" si="11"/>
        <v>-49824</v>
      </c>
      <c r="J36" s="62">
        <f t="shared" si="11"/>
        <v>-49824</v>
      </c>
      <c r="L36" s="62">
        <f t="shared" ref="L36" si="14">L13</f>
        <v>-49824</v>
      </c>
      <c r="N36" s="62">
        <f>J36</f>
        <v>-49824</v>
      </c>
      <c r="P36" s="62">
        <f>L36</f>
        <v>-49824</v>
      </c>
    </row>
    <row r="37" spans="3:16" x14ac:dyDescent="0.35">
      <c r="D37" s="87" t="s">
        <v>402</v>
      </c>
      <c r="E37" s="91"/>
      <c r="F37" s="87"/>
      <c r="G37" s="87"/>
      <c r="H37" s="64">
        <f t="shared" si="11"/>
        <v>-137829</v>
      </c>
      <c r="J37" s="64">
        <f t="shared" si="11"/>
        <v>-137829</v>
      </c>
      <c r="L37" s="64">
        <f t="shared" ref="L37" si="15">L14</f>
        <v>-137829</v>
      </c>
      <c r="N37" s="64">
        <f>J37</f>
        <v>-137829</v>
      </c>
      <c r="P37" s="64">
        <f>L37</f>
        <v>-137829</v>
      </c>
    </row>
    <row r="38" spans="3:16" x14ac:dyDescent="0.35">
      <c r="C38" s="87" t="s">
        <v>155</v>
      </c>
      <c r="E38" s="91"/>
      <c r="F38" s="87"/>
      <c r="G38" s="87"/>
      <c r="H38" s="62">
        <f>SUM(H33:H37)</f>
        <v>-137829</v>
      </c>
      <c r="J38" s="62">
        <f>SUM(J33:J37)</f>
        <v>-377782.71519999998</v>
      </c>
      <c r="L38" s="62">
        <f>SUM(L33:L37)</f>
        <v>-279012.30899999989</v>
      </c>
      <c r="N38" s="62">
        <f>SUM(N33:N37)</f>
        <v>-276278.30979999993</v>
      </c>
      <c r="P38" s="62">
        <f>SUM(P33:P37)</f>
        <v>-275580.30979999993</v>
      </c>
    </row>
    <row r="39" spans="3:16" x14ac:dyDescent="0.35">
      <c r="C39" s="87" t="s">
        <v>399</v>
      </c>
      <c r="E39" s="91" t="s">
        <v>400</v>
      </c>
      <c r="F39" s="87"/>
      <c r="G39" s="87"/>
      <c r="H39" s="64">
        <f>H16</f>
        <v>431398.20999999996</v>
      </c>
      <c r="J39" s="64">
        <f>J16</f>
        <v>431398.20999999996</v>
      </c>
      <c r="L39" s="64">
        <f>L16</f>
        <v>431398.20999999996</v>
      </c>
      <c r="N39" s="64">
        <f>N16</f>
        <v>431398.20999999996</v>
      </c>
      <c r="P39" s="64">
        <f>P16</f>
        <v>431398.20999999996</v>
      </c>
    </row>
    <row r="40" spans="3:16" ht="16" thickBot="1" x14ac:dyDescent="0.4">
      <c r="C40" s="87" t="s">
        <v>401</v>
      </c>
      <c r="E40" s="91"/>
      <c r="F40" s="87"/>
      <c r="G40" s="87"/>
      <c r="H40" s="359">
        <f>SUM(H38:H39)</f>
        <v>293569.20999999996</v>
      </c>
      <c r="J40" s="359">
        <f>SUM(J38:J39)</f>
        <v>53615.494799999986</v>
      </c>
      <c r="L40" s="359">
        <f>SUM(L38:L39)</f>
        <v>152385.90100000007</v>
      </c>
      <c r="N40" s="359">
        <f>SUM(N38:N39)</f>
        <v>155119.90020000003</v>
      </c>
      <c r="P40" s="359">
        <f>SUM(P38:P39)</f>
        <v>155817.90020000003</v>
      </c>
    </row>
    <row r="41" spans="3:16" ht="16" thickTop="1" x14ac:dyDescent="0.35"/>
    <row r="43" spans="3:16" ht="16" thickBot="1" x14ac:dyDescent="0.4">
      <c r="C43" s="87" t="s">
        <v>412</v>
      </c>
      <c r="L43" s="65">
        <f>L28/L27</f>
        <v>0.25250000001328837</v>
      </c>
      <c r="N43" s="65">
        <f>N28/N27</f>
        <v>2.995782058960474E-2</v>
      </c>
      <c r="P43" s="65">
        <f>P28/P27</f>
        <v>2.9086453824347127E-2</v>
      </c>
    </row>
    <row r="44" spans="3:16" ht="16" thickTop="1" x14ac:dyDescent="0.35"/>
  </sheetData>
  <mergeCells count="1">
    <mergeCell ref="C23:P23"/>
  </mergeCells>
  <pageMargins left="0.7" right="0.7" top="0.75" bottom="0.75" header="0.3" footer="0.3"/>
  <ignoredErrors>
    <ignoredError sqref="M10 M15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12C0-1098-4F50-A2F0-2B2D9A149F27}">
  <dimension ref="B2:T35"/>
  <sheetViews>
    <sheetView topLeftCell="E1" workbookViewId="0">
      <selection activeCell="P12" sqref="P12"/>
    </sheetView>
  </sheetViews>
  <sheetFormatPr defaultColWidth="8.84375" defaultRowHeight="15.5" x14ac:dyDescent="0.35"/>
  <cols>
    <col min="1" max="1" width="9.69140625" style="4" customWidth="1"/>
    <col min="2" max="2" width="1.07421875" style="4" customWidth="1"/>
    <col min="3" max="3" width="4.765625" style="4" customWidth="1"/>
    <col min="4" max="5" width="10.765625" style="4" customWidth="1"/>
    <col min="6" max="6" width="11.765625" style="15" customWidth="1"/>
    <col min="7" max="7" width="10.765625" style="4" customWidth="1"/>
    <col min="8" max="8" width="1.23046875" style="4" customWidth="1"/>
    <col min="9" max="11" width="10.765625" style="4" customWidth="1"/>
    <col min="12" max="12" width="10.765625" style="15" customWidth="1"/>
    <col min="13" max="13" width="10.765625" style="4" customWidth="1"/>
    <col min="14" max="14" width="9.69140625" style="4" customWidth="1"/>
    <col min="15" max="19" width="12.765625" style="4" customWidth="1"/>
    <col min="20" max="206" width="9.69140625" style="4" customWidth="1"/>
    <col min="207" max="16384" width="8.84375" style="4"/>
  </cols>
  <sheetData>
    <row r="2" spans="2:20" x14ac:dyDescent="0.35">
      <c r="B2" s="9"/>
      <c r="C2" s="75"/>
      <c r="D2" s="75"/>
      <c r="E2" s="75"/>
      <c r="F2" s="76"/>
      <c r="G2" s="75"/>
      <c r="H2" s="75"/>
      <c r="I2" s="75"/>
      <c r="J2" s="75"/>
      <c r="K2" s="75"/>
      <c r="L2" s="76"/>
      <c r="M2" s="77"/>
    </row>
    <row r="3" spans="2:20" x14ac:dyDescent="0.35">
      <c r="B3" s="8"/>
      <c r="C3" s="442" t="s">
        <v>85</v>
      </c>
      <c r="D3" s="442"/>
      <c r="E3" s="442"/>
      <c r="F3" s="442"/>
      <c r="G3" s="442"/>
      <c r="H3" s="442"/>
      <c r="I3" s="442"/>
      <c r="J3" s="442"/>
      <c r="K3" s="442"/>
      <c r="L3" s="442"/>
      <c r="M3" s="443"/>
    </row>
    <row r="4" spans="2:20" x14ac:dyDescent="0.35">
      <c r="B4" s="8"/>
      <c r="C4" s="442" t="s">
        <v>53</v>
      </c>
      <c r="D4" s="442"/>
      <c r="E4" s="442"/>
      <c r="F4" s="442"/>
      <c r="G4" s="442"/>
      <c r="H4" s="442"/>
      <c r="I4" s="442"/>
      <c r="J4" s="442"/>
      <c r="K4" s="442"/>
      <c r="L4" s="442"/>
      <c r="M4" s="443"/>
      <c r="O4" s="4" t="s">
        <v>156</v>
      </c>
      <c r="R4" s="4" t="s">
        <v>157</v>
      </c>
    </row>
    <row r="5" spans="2:20" x14ac:dyDescent="0.35">
      <c r="B5" s="8"/>
      <c r="C5" s="444" t="str">
        <f>Adj!B1</f>
        <v>Morgan County Water District</v>
      </c>
      <c r="D5" s="444"/>
      <c r="E5" s="444"/>
      <c r="F5" s="444"/>
      <c r="G5" s="444"/>
      <c r="H5" s="444"/>
      <c r="I5" s="444"/>
      <c r="J5" s="444"/>
      <c r="K5" s="444"/>
      <c r="L5" s="444"/>
      <c r="M5" s="445"/>
      <c r="N5" s="70"/>
      <c r="O5" s="70"/>
      <c r="P5" s="70"/>
      <c r="Q5" s="70"/>
      <c r="R5" s="70"/>
      <c r="S5" s="70"/>
    </row>
    <row r="6" spans="2:20" x14ac:dyDescent="0.35">
      <c r="B6" s="8"/>
      <c r="M6" s="78"/>
      <c r="O6" s="362" t="e">
        <f>#REF!</f>
        <v>#REF!</v>
      </c>
    </row>
    <row r="7" spans="2:20" x14ac:dyDescent="0.35">
      <c r="B7" s="9"/>
      <c r="C7" s="75"/>
      <c r="D7" s="75"/>
      <c r="E7" s="75"/>
      <c r="F7" s="76"/>
      <c r="G7" s="77"/>
      <c r="H7" s="9"/>
      <c r="I7" s="75"/>
      <c r="J7" s="75"/>
      <c r="K7" s="75"/>
      <c r="L7" s="76"/>
      <c r="M7" s="77"/>
      <c r="O7" s="363">
        <f>'Working Capital Phas-In'!L3</f>
        <v>0.2525</v>
      </c>
    </row>
    <row r="8" spans="2:20" x14ac:dyDescent="0.35">
      <c r="B8" s="8"/>
      <c r="C8" s="440" t="s">
        <v>297</v>
      </c>
      <c r="D8" s="440"/>
      <c r="E8" s="440"/>
      <c r="F8" s="440"/>
      <c r="G8" s="441"/>
      <c r="I8" s="440" t="s">
        <v>416</v>
      </c>
      <c r="J8" s="440"/>
      <c r="K8" s="440"/>
      <c r="L8" s="440"/>
      <c r="M8" s="441"/>
      <c r="O8" s="17">
        <f>'Working Capital Phas-In'!L3</f>
        <v>0.2525</v>
      </c>
      <c r="P8" s="17" t="s">
        <v>95</v>
      </c>
      <c r="Q8" s="17"/>
      <c r="R8" s="17"/>
      <c r="S8" s="17"/>
    </row>
    <row r="9" spans="2:20" x14ac:dyDescent="0.35">
      <c r="B9" s="8"/>
      <c r="G9" s="78"/>
      <c r="M9" s="78"/>
    </row>
    <row r="10" spans="2:20" x14ac:dyDescent="0.35">
      <c r="B10" s="8"/>
      <c r="C10" s="16"/>
      <c r="G10" s="78"/>
      <c r="I10" s="16"/>
      <c r="L10" s="79"/>
      <c r="M10" s="78"/>
    </row>
    <row r="11" spans="2:20" x14ac:dyDescent="0.35">
      <c r="B11" s="9"/>
      <c r="C11" s="235" t="s">
        <v>295</v>
      </c>
      <c r="D11" s="236"/>
      <c r="E11" s="236"/>
      <c r="F11" s="236"/>
      <c r="G11" s="237"/>
      <c r="H11" s="9"/>
      <c r="I11" s="235" t="s">
        <v>295</v>
      </c>
      <c r="J11" s="236"/>
      <c r="K11" s="236"/>
      <c r="L11" s="76"/>
      <c r="M11" s="77"/>
      <c r="T11" s="81"/>
    </row>
    <row r="12" spans="2:20" x14ac:dyDescent="0.35">
      <c r="B12" s="8"/>
      <c r="C12" s="45" t="s">
        <v>51</v>
      </c>
      <c r="D12" s="51">
        <v>2000</v>
      </c>
      <c r="E12" s="242" t="s">
        <v>145</v>
      </c>
      <c r="F12" s="144">
        <f>'Cur Rates'!F7</f>
        <v>31.89</v>
      </c>
      <c r="G12" s="143" t="s">
        <v>173</v>
      </c>
      <c r="H12" s="8"/>
      <c r="I12" s="45" t="s">
        <v>51</v>
      </c>
      <c r="J12" s="51">
        <v>2000</v>
      </c>
      <c r="K12" s="242" t="s">
        <v>145</v>
      </c>
      <c r="L12" s="144">
        <f>R12</f>
        <v>39.97</v>
      </c>
      <c r="M12" s="143" t="s">
        <v>173</v>
      </c>
      <c r="O12" s="144">
        <f>F12</f>
        <v>31.89</v>
      </c>
      <c r="P12" s="144">
        <f>ROUND(O$8*O12,2)</f>
        <v>8.0500000000000007</v>
      </c>
      <c r="Q12" s="61">
        <v>0.03</v>
      </c>
      <c r="R12" s="144">
        <f>SUM(O12:Q12)</f>
        <v>39.97</v>
      </c>
      <c r="S12" s="144"/>
      <c r="T12" s="81"/>
    </row>
    <row r="13" spans="2:20" x14ac:dyDescent="0.35">
      <c r="B13" s="8"/>
      <c r="C13" s="45" t="s">
        <v>52</v>
      </c>
      <c r="D13" s="51">
        <v>3000</v>
      </c>
      <c r="E13" s="242" t="s">
        <v>145</v>
      </c>
      <c r="F13" s="364">
        <f>'Cur Rates'!F8</f>
        <v>1.1860000000000001E-2</v>
      </c>
      <c r="G13" s="143" t="s">
        <v>174</v>
      </c>
      <c r="H13" s="8"/>
      <c r="I13" s="45" t="s">
        <v>52</v>
      </c>
      <c r="J13" s="51">
        <v>3000</v>
      </c>
      <c r="K13" s="242" t="s">
        <v>145</v>
      </c>
      <c r="L13" s="364">
        <f>R13</f>
        <v>1.481E-2</v>
      </c>
      <c r="M13" s="143" t="s">
        <v>174</v>
      </c>
      <c r="N13" s="18"/>
      <c r="O13" s="61">
        <f t="shared" ref="O13:O33" si="0">F13</f>
        <v>1.1860000000000001E-2</v>
      </c>
      <c r="P13" s="61">
        <f>ROUND(O$8*O13,5)</f>
        <v>2.99E-3</v>
      </c>
      <c r="Q13" s="61">
        <v>-4.0000000000000003E-5</v>
      </c>
      <c r="R13" s="61">
        <f>SUM(O13:Q13)</f>
        <v>1.481E-2</v>
      </c>
      <c r="S13" s="61"/>
      <c r="T13" s="81"/>
    </row>
    <row r="14" spans="2:20" x14ac:dyDescent="0.35">
      <c r="B14" s="8"/>
      <c r="C14" s="45" t="s">
        <v>52</v>
      </c>
      <c r="D14" s="51">
        <v>5000</v>
      </c>
      <c r="E14" s="242" t="s">
        <v>145</v>
      </c>
      <c r="F14" s="364">
        <f>'Cur Rates'!F9</f>
        <v>1.0999999999999999E-2</v>
      </c>
      <c r="G14" s="143" t="s">
        <v>174</v>
      </c>
      <c r="H14" s="8"/>
      <c r="I14" s="45" t="s">
        <v>52</v>
      </c>
      <c r="J14" s="51">
        <v>5000</v>
      </c>
      <c r="K14" s="242" t="s">
        <v>145</v>
      </c>
      <c r="L14" s="364">
        <f t="shared" ref="L14:L16" si="1">R14</f>
        <v>1.3739999999999999E-2</v>
      </c>
      <c r="M14" s="143" t="s">
        <v>174</v>
      </c>
      <c r="O14" s="61">
        <f t="shared" si="0"/>
        <v>1.0999999999999999E-2</v>
      </c>
      <c r="P14" s="61">
        <f t="shared" ref="P14:P16" si="2">ROUND(O$8*O14,5)</f>
        <v>2.7799999999999999E-3</v>
      </c>
      <c r="Q14" s="61">
        <f>Q13</f>
        <v>-4.0000000000000003E-5</v>
      </c>
      <c r="R14" s="61">
        <f t="shared" ref="R14:R16" si="3">SUM(O14:Q14)</f>
        <v>1.3739999999999999E-2</v>
      </c>
      <c r="S14" s="61">
        <v>-1.0000000000000001E-5</v>
      </c>
    </row>
    <row r="15" spans="2:20" x14ac:dyDescent="0.35">
      <c r="B15" s="8"/>
      <c r="C15" s="45" t="s">
        <v>52</v>
      </c>
      <c r="D15" s="51">
        <v>15000</v>
      </c>
      <c r="E15" s="242" t="s">
        <v>145</v>
      </c>
      <c r="F15" s="364">
        <f>'Cur Rates'!F10</f>
        <v>1.0149999999999999E-2</v>
      </c>
      <c r="G15" s="143" t="s">
        <v>174</v>
      </c>
      <c r="H15" s="8"/>
      <c r="I15" s="45" t="s">
        <v>52</v>
      </c>
      <c r="J15" s="51">
        <v>15000</v>
      </c>
      <c r="K15" s="242" t="s">
        <v>145</v>
      </c>
      <c r="L15" s="364">
        <f t="shared" si="1"/>
        <v>1.2669999999999999E-2</v>
      </c>
      <c r="M15" s="143" t="s">
        <v>174</v>
      </c>
      <c r="O15" s="61">
        <f t="shared" si="0"/>
        <v>1.0149999999999999E-2</v>
      </c>
      <c r="P15" s="61">
        <f t="shared" si="2"/>
        <v>2.5600000000000002E-3</v>
      </c>
      <c r="Q15" s="61">
        <f>Q13</f>
        <v>-4.0000000000000003E-5</v>
      </c>
      <c r="R15" s="61">
        <f t="shared" si="3"/>
        <v>1.2669999999999999E-2</v>
      </c>
      <c r="S15" s="61"/>
    </row>
    <row r="16" spans="2:20" x14ac:dyDescent="0.35">
      <c r="B16" s="8"/>
      <c r="C16" s="45" t="s">
        <v>96</v>
      </c>
      <c r="D16" s="51">
        <v>15000</v>
      </c>
      <c r="E16" s="242" t="s">
        <v>145</v>
      </c>
      <c r="F16" s="364">
        <f>'Cur Rates'!F11</f>
        <v>9.2899999999999996E-3</v>
      </c>
      <c r="G16" s="143" t="s">
        <v>174</v>
      </c>
      <c r="H16" s="8"/>
      <c r="I16" s="45" t="s">
        <v>96</v>
      </c>
      <c r="J16" s="51">
        <v>15000</v>
      </c>
      <c r="K16" s="242" t="s">
        <v>145</v>
      </c>
      <c r="L16" s="364">
        <f t="shared" si="1"/>
        <v>1.1599999999999999E-2</v>
      </c>
      <c r="M16" s="143" t="s">
        <v>174</v>
      </c>
      <c r="O16" s="61">
        <f t="shared" si="0"/>
        <v>9.2899999999999996E-3</v>
      </c>
      <c r="P16" s="61">
        <f t="shared" si="2"/>
        <v>2.3500000000000001E-3</v>
      </c>
      <c r="Q16" s="61">
        <f>Q13</f>
        <v>-4.0000000000000003E-5</v>
      </c>
      <c r="R16" s="61">
        <f t="shared" si="3"/>
        <v>1.1599999999999999E-2</v>
      </c>
      <c r="S16" s="61"/>
    </row>
    <row r="17" spans="2:19" x14ac:dyDescent="0.35">
      <c r="B17" s="8"/>
      <c r="C17"/>
      <c r="D17"/>
      <c r="E17" s="242"/>
      <c r="F17"/>
      <c r="G17" s="143"/>
      <c r="H17" s="8"/>
      <c r="I17"/>
      <c r="J17"/>
      <c r="K17" s="242"/>
      <c r="L17"/>
      <c r="M17" s="143"/>
      <c r="O17"/>
      <c r="P17"/>
      <c r="Q17"/>
      <c r="R17"/>
      <c r="S17"/>
    </row>
    <row r="18" spans="2:19" x14ac:dyDescent="0.35">
      <c r="B18" s="8"/>
      <c r="C18" s="72" t="s">
        <v>164</v>
      </c>
      <c r="D18"/>
      <c r="E18" s="242"/>
      <c r="F18"/>
      <c r="G18" s="143"/>
      <c r="H18" s="8"/>
      <c r="I18" s="72" t="s">
        <v>164</v>
      </c>
      <c r="J18"/>
      <c r="K18" s="242"/>
      <c r="L18"/>
      <c r="M18" s="143"/>
      <c r="O18"/>
      <c r="P18"/>
      <c r="Q18"/>
      <c r="R18"/>
      <c r="S18"/>
    </row>
    <row r="19" spans="2:19" x14ac:dyDescent="0.35">
      <c r="B19" s="8"/>
      <c r="C19" s="45" t="s">
        <v>51</v>
      </c>
      <c r="D19" s="51">
        <v>5000</v>
      </c>
      <c r="E19" s="242" t="s">
        <v>145</v>
      </c>
      <c r="F19" s="144">
        <f>'ExBA - Beg. Rates'!F56</f>
        <v>67.62</v>
      </c>
      <c r="G19" s="143" t="s">
        <v>173</v>
      </c>
      <c r="H19" s="8"/>
      <c r="I19" s="45" t="s">
        <v>51</v>
      </c>
      <c r="J19" s="51">
        <v>5000</v>
      </c>
      <c r="K19" s="242" t="s">
        <v>145</v>
      </c>
      <c r="L19" s="144">
        <f>R19</f>
        <v>84.72</v>
      </c>
      <c r="M19" s="143" t="s">
        <v>173</v>
      </c>
      <c r="O19" s="144">
        <f t="shared" si="0"/>
        <v>67.62</v>
      </c>
      <c r="P19" s="144">
        <f>ROUND(O$8*O19,2)</f>
        <v>17.07</v>
      </c>
      <c r="Q19" s="61">
        <f>Q12</f>
        <v>0.03</v>
      </c>
      <c r="R19" s="144">
        <f>SUM(O19:Q19)</f>
        <v>84.72</v>
      </c>
      <c r="S19" s="144"/>
    </row>
    <row r="20" spans="2:19" x14ac:dyDescent="0.35">
      <c r="B20" s="8"/>
      <c r="C20" s="45" t="s">
        <v>52</v>
      </c>
      <c r="D20" s="51">
        <v>5000</v>
      </c>
      <c r="E20" s="242" t="s">
        <v>145</v>
      </c>
      <c r="F20" s="364">
        <f>'ExBA - Beg. Rates'!F57</f>
        <v>1.0999999999999999E-2</v>
      </c>
      <c r="G20" s="143" t="s">
        <v>174</v>
      </c>
      <c r="H20" s="8"/>
      <c r="I20" s="45" t="s">
        <v>52</v>
      </c>
      <c r="J20" s="51">
        <v>5000</v>
      </c>
      <c r="K20" s="242" t="s">
        <v>145</v>
      </c>
      <c r="L20" s="364">
        <f t="shared" ref="L20:L22" si="4">R20</f>
        <v>1.3739999999999999E-2</v>
      </c>
      <c r="M20" s="143" t="s">
        <v>174</v>
      </c>
      <c r="O20" s="61">
        <f t="shared" si="0"/>
        <v>1.0999999999999999E-2</v>
      </c>
      <c r="P20" s="61">
        <f>P14</f>
        <v>2.7799999999999999E-3</v>
      </c>
      <c r="Q20" s="61">
        <f>Q13</f>
        <v>-4.0000000000000003E-5</v>
      </c>
      <c r="R20" s="61">
        <f t="shared" ref="R20:R22" si="5">SUM(O20:Q20)</f>
        <v>1.3739999999999999E-2</v>
      </c>
      <c r="S20" s="61"/>
    </row>
    <row r="21" spans="2:19" x14ac:dyDescent="0.35">
      <c r="B21" s="8"/>
      <c r="C21" s="45" t="s">
        <v>52</v>
      </c>
      <c r="D21" s="51">
        <v>5000</v>
      </c>
      <c r="E21" s="242" t="s">
        <v>145</v>
      </c>
      <c r="F21" s="364">
        <f>'ExBA - Beg. Rates'!F58</f>
        <v>1.0149999999999999E-2</v>
      </c>
      <c r="G21" s="143" t="s">
        <v>174</v>
      </c>
      <c r="H21" s="8"/>
      <c r="I21" s="45" t="s">
        <v>52</v>
      </c>
      <c r="J21" s="51">
        <v>5000</v>
      </c>
      <c r="K21" s="242" t="s">
        <v>145</v>
      </c>
      <c r="L21" s="364">
        <f t="shared" si="4"/>
        <v>1.2669999999999999E-2</v>
      </c>
      <c r="M21" s="143" t="s">
        <v>174</v>
      </c>
      <c r="O21" s="61">
        <f t="shared" si="0"/>
        <v>1.0149999999999999E-2</v>
      </c>
      <c r="P21" s="61">
        <f t="shared" ref="P21:P22" si="6">P15</f>
        <v>2.5600000000000002E-3</v>
      </c>
      <c r="Q21" s="61">
        <f>Q20</f>
        <v>-4.0000000000000003E-5</v>
      </c>
      <c r="R21" s="61">
        <f t="shared" si="5"/>
        <v>1.2669999999999999E-2</v>
      </c>
      <c r="S21" s="61"/>
    </row>
    <row r="22" spans="2:19" x14ac:dyDescent="0.35">
      <c r="B22" s="8"/>
      <c r="C22" s="45" t="s">
        <v>96</v>
      </c>
      <c r="D22" s="51">
        <v>15000</v>
      </c>
      <c r="E22" s="242" t="s">
        <v>145</v>
      </c>
      <c r="F22" s="364">
        <f>'ExBA - Beg. Rates'!F59</f>
        <v>9.2899999999999996E-3</v>
      </c>
      <c r="G22" s="143" t="s">
        <v>174</v>
      </c>
      <c r="H22" s="8"/>
      <c r="I22" s="45" t="s">
        <v>96</v>
      </c>
      <c r="J22" s="51">
        <v>15000</v>
      </c>
      <c r="K22" s="242" t="s">
        <v>145</v>
      </c>
      <c r="L22" s="364">
        <f t="shared" si="4"/>
        <v>1.1599999999999999E-2</v>
      </c>
      <c r="M22" s="143" t="s">
        <v>174</v>
      </c>
      <c r="O22" s="61">
        <f t="shared" si="0"/>
        <v>9.2899999999999996E-3</v>
      </c>
      <c r="P22" s="61">
        <f t="shared" si="6"/>
        <v>2.3500000000000001E-3</v>
      </c>
      <c r="Q22" s="61">
        <f>Q21</f>
        <v>-4.0000000000000003E-5</v>
      </c>
      <c r="R22" s="61">
        <f t="shared" si="5"/>
        <v>1.1599999999999999E-2</v>
      </c>
      <c r="S22" s="61"/>
    </row>
    <row r="23" spans="2:19" x14ac:dyDescent="0.35">
      <c r="B23" s="8"/>
      <c r="C23" s="45"/>
      <c r="D23" s="51"/>
      <c r="E23" s="242"/>
      <c r="F23" s="238"/>
      <c r="G23" s="143"/>
      <c r="H23" s="8"/>
      <c r="I23" s="45"/>
      <c r="J23" s="51"/>
      <c r="K23" s="242"/>
      <c r="L23" s="238"/>
      <c r="M23" s="143"/>
      <c r="O23" s="238"/>
      <c r="P23" s="238"/>
      <c r="Q23" s="238"/>
      <c r="R23" s="238"/>
      <c r="S23" s="238"/>
    </row>
    <row r="24" spans="2:19" x14ac:dyDescent="0.35">
      <c r="B24" s="8"/>
      <c r="C24" s="72" t="s">
        <v>165</v>
      </c>
      <c r="D24"/>
      <c r="E24" s="242"/>
      <c r="F24"/>
      <c r="G24" s="143"/>
      <c r="H24" s="8"/>
      <c r="I24" s="72" t="s">
        <v>165</v>
      </c>
      <c r="J24"/>
      <c r="K24" s="242"/>
      <c r="L24"/>
      <c r="M24" s="143"/>
      <c r="O24"/>
      <c r="P24"/>
      <c r="Q24"/>
      <c r="R24"/>
      <c r="S24"/>
    </row>
    <row r="25" spans="2:19" x14ac:dyDescent="0.35">
      <c r="B25" s="8"/>
      <c r="C25" s="45" t="s">
        <v>51</v>
      </c>
      <c r="D25" s="51">
        <v>15000</v>
      </c>
      <c r="E25" s="242" t="s">
        <v>145</v>
      </c>
      <c r="F25" s="144">
        <f>'Cur Rates'!F20</f>
        <v>171.93</v>
      </c>
      <c r="G25" s="143" t="s">
        <v>173</v>
      </c>
      <c r="H25" s="8"/>
      <c r="I25" s="45" t="s">
        <v>51</v>
      </c>
      <c r="J25" s="51">
        <v>15000</v>
      </c>
      <c r="K25" s="242" t="s">
        <v>145</v>
      </c>
      <c r="L25" s="144">
        <f>R25</f>
        <v>215.37</v>
      </c>
      <c r="M25" s="143" t="s">
        <v>173</v>
      </c>
      <c r="O25" s="144">
        <f t="shared" si="0"/>
        <v>171.93</v>
      </c>
      <c r="P25" s="144">
        <f>ROUND(O$8*O25,2)</f>
        <v>43.41</v>
      </c>
      <c r="Q25" s="61">
        <f>Q12</f>
        <v>0.03</v>
      </c>
      <c r="R25" s="144">
        <f>SUM(O25:Q25)</f>
        <v>215.37</v>
      </c>
      <c r="S25" s="144"/>
    </row>
    <row r="26" spans="2:19" x14ac:dyDescent="0.35">
      <c r="B26" s="8"/>
      <c r="C26" s="45" t="s">
        <v>96</v>
      </c>
      <c r="D26" s="51">
        <v>15000</v>
      </c>
      <c r="E26" s="242" t="s">
        <v>145</v>
      </c>
      <c r="F26" s="364">
        <f>'Cur Rates'!F21</f>
        <v>9.2899999999999996E-3</v>
      </c>
      <c r="G26" s="143" t="s">
        <v>174</v>
      </c>
      <c r="H26" s="8"/>
      <c r="I26" s="45" t="s">
        <v>96</v>
      </c>
      <c r="J26" s="51">
        <v>15000</v>
      </c>
      <c r="K26" s="242" t="s">
        <v>145</v>
      </c>
      <c r="L26" s="364">
        <f>R26</f>
        <v>1.1599999999999999E-2</v>
      </c>
      <c r="M26" s="143" t="s">
        <v>174</v>
      </c>
      <c r="O26" s="61">
        <f t="shared" si="0"/>
        <v>9.2899999999999996E-3</v>
      </c>
      <c r="P26" s="61">
        <f>P22</f>
        <v>2.3500000000000001E-3</v>
      </c>
      <c r="Q26" s="61">
        <f>Q22</f>
        <v>-4.0000000000000003E-5</v>
      </c>
      <c r="R26" s="61">
        <f>SUM(O26:Q26)</f>
        <v>1.1599999999999999E-2</v>
      </c>
      <c r="S26" s="61"/>
    </row>
    <row r="27" spans="2:19" x14ac:dyDescent="0.35">
      <c r="B27" s="8"/>
      <c r="C27"/>
      <c r="D27"/>
      <c r="E27" s="242"/>
      <c r="F27" s="61"/>
      <c r="G27" s="143"/>
      <c r="H27" s="8"/>
      <c r="I27"/>
      <c r="J27"/>
      <c r="K27" s="242"/>
      <c r="L27" s="61"/>
      <c r="M27" s="143"/>
      <c r="O27" s="61"/>
      <c r="P27" s="61"/>
      <c r="Q27" s="61"/>
      <c r="R27" s="61"/>
      <c r="S27" s="61"/>
    </row>
    <row r="28" spans="2:19" x14ac:dyDescent="0.35">
      <c r="B28" s="8"/>
      <c r="C28" s="72" t="s">
        <v>166</v>
      </c>
      <c r="D28"/>
      <c r="E28" s="242"/>
      <c r="F28" s="61"/>
      <c r="G28" s="143"/>
      <c r="H28" s="8"/>
      <c r="I28" s="72" t="s">
        <v>166</v>
      </c>
      <c r="J28"/>
      <c r="K28" s="242"/>
      <c r="L28" s="61"/>
      <c r="M28" s="143"/>
      <c r="O28" s="61"/>
      <c r="P28" s="61"/>
      <c r="Q28" s="61"/>
      <c r="R28" s="61"/>
      <c r="S28" s="61"/>
    </row>
    <row r="29" spans="2:19" x14ac:dyDescent="0.35">
      <c r="B29" s="8"/>
      <c r="C29" s="45" t="s">
        <v>51</v>
      </c>
      <c r="D29" s="51">
        <v>100000</v>
      </c>
      <c r="E29" s="242" t="s">
        <v>145</v>
      </c>
      <c r="F29" s="144">
        <f>'Cur Rates'!F24</f>
        <v>963.03</v>
      </c>
      <c r="G29" s="143" t="s">
        <v>173</v>
      </c>
      <c r="H29" s="8"/>
      <c r="I29" s="45" t="s">
        <v>51</v>
      </c>
      <c r="J29" s="51">
        <v>100000</v>
      </c>
      <c r="K29" s="242" t="s">
        <v>145</v>
      </c>
      <c r="L29" s="144">
        <f>R29</f>
        <v>1206.23</v>
      </c>
      <c r="M29" s="143" t="s">
        <v>173</v>
      </c>
      <c r="O29" s="144">
        <f t="shared" si="0"/>
        <v>963.03</v>
      </c>
      <c r="P29" s="144">
        <f>ROUND(O$8*O29,2)</f>
        <v>243.17</v>
      </c>
      <c r="Q29" s="61">
        <f>Q12</f>
        <v>0.03</v>
      </c>
      <c r="R29" s="144">
        <f>SUM(O29:Q29)</f>
        <v>1206.23</v>
      </c>
      <c r="S29" s="144"/>
    </row>
    <row r="30" spans="2:19" x14ac:dyDescent="0.35">
      <c r="B30" s="8"/>
      <c r="C30" s="45" t="s">
        <v>96</v>
      </c>
      <c r="D30" s="51">
        <v>100000</v>
      </c>
      <c r="E30" s="242" t="s">
        <v>145</v>
      </c>
      <c r="F30" s="364">
        <f>'Cur Rates'!F25</f>
        <v>9.2899999999999996E-3</v>
      </c>
      <c r="G30" s="143" t="s">
        <v>174</v>
      </c>
      <c r="H30" s="8"/>
      <c r="I30" s="45" t="s">
        <v>96</v>
      </c>
      <c r="J30" s="51">
        <v>100000</v>
      </c>
      <c r="K30" s="242" t="s">
        <v>145</v>
      </c>
      <c r="L30" s="364">
        <f>R30</f>
        <v>1.1599999999999999E-2</v>
      </c>
      <c r="M30" s="143" t="s">
        <v>174</v>
      </c>
      <c r="O30" s="61">
        <f t="shared" si="0"/>
        <v>9.2899999999999996E-3</v>
      </c>
      <c r="P30" s="61">
        <f>P22</f>
        <v>2.3500000000000001E-3</v>
      </c>
      <c r="Q30" s="61">
        <f>Q26</f>
        <v>-4.0000000000000003E-5</v>
      </c>
      <c r="R30" s="61">
        <f>SUM(O30:Q30)</f>
        <v>1.1599999999999999E-2</v>
      </c>
      <c r="S30" s="61"/>
    </row>
    <row r="31" spans="2:19" x14ac:dyDescent="0.35">
      <c r="B31" s="8"/>
      <c r="C31"/>
      <c r="D31"/>
      <c r="E31"/>
      <c r="F31" s="61"/>
      <c r="G31" s="143"/>
      <c r="H31" s="8"/>
      <c r="I31"/>
      <c r="J31"/>
      <c r="K31"/>
      <c r="M31" s="143"/>
      <c r="O31" s="61"/>
      <c r="P31" s="61"/>
      <c r="Q31" s="61"/>
      <c r="R31" s="61"/>
      <c r="S31" s="61"/>
    </row>
    <row r="32" spans="2:19" x14ac:dyDescent="0.35">
      <c r="B32" s="8"/>
      <c r="C32" s="72" t="s">
        <v>175</v>
      </c>
      <c r="D32"/>
      <c r="E32"/>
      <c r="F32" s="61"/>
      <c r="G32" s="143"/>
      <c r="H32" s="8"/>
      <c r="I32" s="72" t="s">
        <v>175</v>
      </c>
      <c r="J32"/>
      <c r="K32"/>
      <c r="M32" s="143"/>
      <c r="O32" s="61"/>
      <c r="P32" s="61"/>
      <c r="Q32" s="61"/>
      <c r="R32" s="61"/>
      <c r="S32" s="61"/>
    </row>
    <row r="33" spans="2:19" x14ac:dyDescent="0.35">
      <c r="B33" s="10"/>
      <c r="C33" s="47"/>
      <c r="D33" s="48"/>
      <c r="E33" s="48"/>
      <c r="F33" s="243">
        <f>'Cur Rates'!F28</f>
        <v>4.5199999999999997E-3</v>
      </c>
      <c r="G33" s="241" t="s">
        <v>174</v>
      </c>
      <c r="H33" s="10"/>
      <c r="I33" s="80"/>
      <c r="J33" s="80"/>
      <c r="K33" s="80"/>
      <c r="L33" s="243">
        <f>R33</f>
        <v>5.6600000000000001E-3</v>
      </c>
      <c r="M33" s="241" t="s">
        <v>174</v>
      </c>
      <c r="O33" s="243">
        <f t="shared" si="0"/>
        <v>4.5199999999999997E-3</v>
      </c>
      <c r="P33" s="243">
        <f t="shared" ref="P33" si="7">ROUND(O$8*O33,5)</f>
        <v>1.14E-3</v>
      </c>
      <c r="Q33" s="61">
        <v>0</v>
      </c>
      <c r="R33" s="61">
        <f>SUM(O33:Q33)</f>
        <v>5.6600000000000001E-3</v>
      </c>
      <c r="S33" s="243"/>
    </row>
    <row r="35" spans="2:19" x14ac:dyDescent="0.35">
      <c r="L35" s="243">
        <f>R35</f>
        <v>6.8599999999999998E-3</v>
      </c>
      <c r="M35" s="241" t="s">
        <v>174</v>
      </c>
      <c r="O35" s="243">
        <v>5.4799999999999996E-3</v>
      </c>
      <c r="P35" s="243">
        <f t="shared" ref="P35" si="8">ROUND(O$8*O35,5)</f>
        <v>1.3799999999999999E-3</v>
      </c>
      <c r="Q35" s="61">
        <v>0</v>
      </c>
      <c r="R35" s="61">
        <f>SUM(O35:Q35)</f>
        <v>6.8599999999999998E-3</v>
      </c>
    </row>
  </sheetData>
  <mergeCells count="5">
    <mergeCell ref="C3:M3"/>
    <mergeCell ref="C4:M4"/>
    <mergeCell ref="C5:M5"/>
    <mergeCell ref="C8:G8"/>
    <mergeCell ref="I8:M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3A072-4955-4B4C-81F1-7BB1782F5166}">
  <dimension ref="B2:I33"/>
  <sheetViews>
    <sheetView showGridLines="0" workbookViewId="0">
      <selection activeCell="B3" sqref="B3:I34"/>
    </sheetView>
  </sheetViews>
  <sheetFormatPr defaultColWidth="14.765625" defaultRowHeight="15.5" x14ac:dyDescent="0.35"/>
  <cols>
    <col min="2" max="2" width="2.765625" customWidth="1"/>
    <col min="3" max="5" width="10.765625" customWidth="1"/>
    <col min="6" max="6" width="17.53515625" customWidth="1"/>
    <col min="9" max="9" width="2.765625" customWidth="1"/>
  </cols>
  <sheetData>
    <row r="2" spans="2:9" x14ac:dyDescent="0.35">
      <c r="B2" s="365"/>
      <c r="C2" s="365"/>
      <c r="D2" s="365"/>
      <c r="E2" s="365"/>
      <c r="F2" s="365"/>
      <c r="G2" s="365"/>
      <c r="H2" s="366"/>
      <c r="I2" s="365"/>
    </row>
    <row r="3" spans="2:9" ht="18.5" x14ac:dyDescent="0.45">
      <c r="B3" s="447" t="s">
        <v>424</v>
      </c>
      <c r="C3" s="447"/>
      <c r="D3" s="447"/>
      <c r="E3" s="447"/>
      <c r="F3" s="447"/>
      <c r="G3" s="447"/>
      <c r="H3" s="447"/>
      <c r="I3" s="447"/>
    </row>
    <row r="4" spans="2:9" ht="18.5" x14ac:dyDescent="0.45">
      <c r="B4" s="368"/>
      <c r="C4" s="368"/>
      <c r="D4" s="368"/>
      <c r="E4" s="368"/>
      <c r="F4" s="368"/>
      <c r="G4" s="368"/>
      <c r="H4" s="368"/>
      <c r="I4" s="368"/>
    </row>
    <row r="5" spans="2:9" ht="18.5" x14ac:dyDescent="0.35">
      <c r="B5" s="448" t="s">
        <v>425</v>
      </c>
      <c r="C5" s="448"/>
      <c r="D5" s="448"/>
      <c r="E5" s="448"/>
      <c r="F5" s="448"/>
      <c r="G5" s="448"/>
      <c r="H5" s="448"/>
      <c r="I5" s="448"/>
    </row>
    <row r="6" spans="2:9" x14ac:dyDescent="0.35">
      <c r="B6" s="365"/>
      <c r="C6" s="365"/>
      <c r="D6" s="365"/>
      <c r="E6" s="365"/>
      <c r="F6" s="365"/>
      <c r="G6" s="365"/>
      <c r="H6" s="366"/>
      <c r="I6" s="365"/>
    </row>
    <row r="7" spans="2:9" x14ac:dyDescent="0.35">
      <c r="C7" s="310" t="s">
        <v>295</v>
      </c>
    </row>
    <row r="8" spans="2:9" x14ac:dyDescent="0.35">
      <c r="C8" s="45" t="s">
        <v>51</v>
      </c>
      <c r="D8" s="51">
        <v>2000</v>
      </c>
      <c r="E8" s="242" t="s">
        <v>145</v>
      </c>
      <c r="F8" s="242"/>
      <c r="G8" s="144">
        <v>39.97</v>
      </c>
      <c r="H8" t="s">
        <v>173</v>
      </c>
    </row>
    <row r="9" spans="2:9" x14ac:dyDescent="0.35">
      <c r="C9" s="45" t="s">
        <v>52</v>
      </c>
      <c r="D9" s="51">
        <v>3000</v>
      </c>
      <c r="E9" s="242" t="s">
        <v>145</v>
      </c>
      <c r="F9" s="242"/>
      <c r="G9" s="238">
        <v>1.481E-2</v>
      </c>
      <c r="H9" t="s">
        <v>174</v>
      </c>
    </row>
    <row r="10" spans="2:9" x14ac:dyDescent="0.35">
      <c r="C10" s="45" t="s">
        <v>52</v>
      </c>
      <c r="D10" s="51">
        <v>5000</v>
      </c>
      <c r="E10" s="242" t="s">
        <v>145</v>
      </c>
      <c r="F10" s="242"/>
      <c r="G10" s="238">
        <v>1.3739999999999999E-2</v>
      </c>
      <c r="H10" t="s">
        <v>174</v>
      </c>
    </row>
    <row r="11" spans="2:9" x14ac:dyDescent="0.35">
      <c r="C11" s="45" t="s">
        <v>52</v>
      </c>
      <c r="D11" s="51">
        <v>15000</v>
      </c>
      <c r="E11" s="242" t="s">
        <v>145</v>
      </c>
      <c r="F11" s="242"/>
      <c r="G11" s="238">
        <v>1.2669999999999999E-2</v>
      </c>
      <c r="H11" t="s">
        <v>174</v>
      </c>
    </row>
    <row r="12" spans="2:9" x14ac:dyDescent="0.35">
      <c r="C12" s="45" t="s">
        <v>96</v>
      </c>
      <c r="D12" s="51">
        <v>15000</v>
      </c>
      <c r="E12" s="242" t="s">
        <v>145</v>
      </c>
      <c r="F12" s="242"/>
      <c r="G12" s="238">
        <v>1.1599999999999999E-2</v>
      </c>
      <c r="H12" t="s">
        <v>174</v>
      </c>
    </row>
    <row r="13" spans="2:9" x14ac:dyDescent="0.35">
      <c r="E13" s="242"/>
      <c r="F13" s="242"/>
    </row>
    <row r="14" spans="2:9" x14ac:dyDescent="0.35">
      <c r="C14" s="310" t="s">
        <v>164</v>
      </c>
      <c r="E14" s="242"/>
      <c r="F14" s="242"/>
    </row>
    <row r="15" spans="2:9" x14ac:dyDescent="0.35">
      <c r="C15" s="45" t="s">
        <v>51</v>
      </c>
      <c r="D15" s="51">
        <v>5000</v>
      </c>
      <c r="E15" s="242" t="s">
        <v>145</v>
      </c>
      <c r="F15" s="242"/>
      <c r="G15" s="144">
        <v>84.72</v>
      </c>
      <c r="H15" t="s">
        <v>173</v>
      </c>
    </row>
    <row r="16" spans="2:9" x14ac:dyDescent="0.35">
      <c r="C16" s="45" t="s">
        <v>52</v>
      </c>
      <c r="D16" s="51">
        <v>5000</v>
      </c>
      <c r="E16" s="242" t="s">
        <v>145</v>
      </c>
      <c r="F16" s="242"/>
      <c r="G16" s="238">
        <v>1.3739999999999999E-2</v>
      </c>
      <c r="H16" t="s">
        <v>174</v>
      </c>
    </row>
    <row r="17" spans="3:8" x14ac:dyDescent="0.35">
      <c r="C17" s="45" t="s">
        <v>52</v>
      </c>
      <c r="D17" s="51">
        <v>5000</v>
      </c>
      <c r="E17" s="242" t="s">
        <v>145</v>
      </c>
      <c r="F17" s="242"/>
      <c r="G17" s="238">
        <v>1.2669999999999999E-2</v>
      </c>
      <c r="H17" t="s">
        <v>174</v>
      </c>
    </row>
    <row r="18" spans="3:8" x14ac:dyDescent="0.35">
      <c r="C18" s="45" t="s">
        <v>96</v>
      </c>
      <c r="D18" s="51">
        <v>15000</v>
      </c>
      <c r="E18" s="242" t="s">
        <v>145</v>
      </c>
      <c r="F18" s="242"/>
      <c r="G18" s="238">
        <v>1.1599999999999999E-2</v>
      </c>
      <c r="H18" t="s">
        <v>174</v>
      </c>
    </row>
    <row r="19" spans="3:8" x14ac:dyDescent="0.35">
      <c r="C19" s="45"/>
      <c r="D19" s="51"/>
      <c r="E19" s="242"/>
      <c r="F19" s="242"/>
      <c r="G19" s="238"/>
    </row>
    <row r="20" spans="3:8" x14ac:dyDescent="0.35">
      <c r="C20" s="310" t="s">
        <v>165</v>
      </c>
      <c r="E20" s="242"/>
      <c r="F20" s="242"/>
    </row>
    <row r="21" spans="3:8" x14ac:dyDescent="0.35">
      <c r="C21" s="45" t="s">
        <v>51</v>
      </c>
      <c r="D21" s="51">
        <v>15000</v>
      </c>
      <c r="E21" s="242" t="s">
        <v>145</v>
      </c>
      <c r="F21" s="242"/>
      <c r="G21" s="144">
        <v>215.37</v>
      </c>
      <c r="H21" t="s">
        <v>173</v>
      </c>
    </row>
    <row r="22" spans="3:8" x14ac:dyDescent="0.35">
      <c r="C22" s="45" t="s">
        <v>96</v>
      </c>
      <c r="D22" s="51">
        <v>15000</v>
      </c>
      <c r="E22" s="242" t="s">
        <v>145</v>
      </c>
      <c r="F22" s="242"/>
      <c r="G22" s="238">
        <v>1.1599999999999999E-2</v>
      </c>
      <c r="H22" t="s">
        <v>174</v>
      </c>
    </row>
    <row r="23" spans="3:8" x14ac:dyDescent="0.35">
      <c r="E23" s="242"/>
      <c r="F23" s="242"/>
    </row>
    <row r="24" spans="3:8" x14ac:dyDescent="0.35">
      <c r="C24" s="310" t="s">
        <v>166</v>
      </c>
      <c r="E24" s="242"/>
      <c r="F24" s="242"/>
    </row>
    <row r="25" spans="3:8" x14ac:dyDescent="0.35">
      <c r="C25" s="45" t="s">
        <v>51</v>
      </c>
      <c r="D25" s="51">
        <v>100000</v>
      </c>
      <c r="E25" s="242" t="s">
        <v>145</v>
      </c>
      <c r="F25" s="242"/>
      <c r="G25" s="144">
        <v>1206.23</v>
      </c>
      <c r="H25" t="s">
        <v>173</v>
      </c>
    </row>
    <row r="26" spans="3:8" x14ac:dyDescent="0.35">
      <c r="C26" s="45" t="s">
        <v>96</v>
      </c>
      <c r="D26" s="51">
        <v>100000</v>
      </c>
      <c r="E26" s="242" t="s">
        <v>145</v>
      </c>
      <c r="F26" s="242"/>
      <c r="G26" s="238">
        <v>1.1599999999999999E-2</v>
      </c>
      <c r="H26" t="s">
        <v>174</v>
      </c>
    </row>
    <row r="28" spans="3:8" x14ac:dyDescent="0.35">
      <c r="C28" s="310" t="s">
        <v>423</v>
      </c>
    </row>
    <row r="29" spans="3:8" x14ac:dyDescent="0.35">
      <c r="C29" s="310" t="s">
        <v>419</v>
      </c>
    </row>
    <row r="30" spans="3:8" x14ac:dyDescent="0.35">
      <c r="C30" s="367" t="s">
        <v>420</v>
      </c>
      <c r="G30" s="238">
        <v>5.4799999999999996E-3</v>
      </c>
      <c r="H30" t="s">
        <v>174</v>
      </c>
    </row>
    <row r="32" spans="3:8" x14ac:dyDescent="0.35">
      <c r="C32" s="310" t="s">
        <v>421</v>
      </c>
    </row>
    <row r="33" spans="3:8" x14ac:dyDescent="0.35">
      <c r="C33" s="367" t="s">
        <v>422</v>
      </c>
      <c r="D33" s="51"/>
      <c r="E33" s="51"/>
      <c r="F33" s="51"/>
      <c r="G33" s="238">
        <f>'Interim Rate Comp'!L33</f>
        <v>5.6600000000000001E-3</v>
      </c>
      <c r="H33" t="s">
        <v>174</v>
      </c>
    </row>
  </sheetData>
  <mergeCells count="2">
    <mergeCell ref="B3:I3"/>
    <mergeCell ref="B5:I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7CD03-12BB-4E7A-8DBD-F983AC5AE040}">
  <dimension ref="A1:P101"/>
  <sheetViews>
    <sheetView topLeftCell="B1" workbookViewId="0">
      <selection activeCell="H18" sqref="H18:H20"/>
    </sheetView>
  </sheetViews>
  <sheetFormatPr defaultColWidth="14.765625" defaultRowHeight="15.5" x14ac:dyDescent="0.35"/>
  <cols>
    <col min="8" max="9" width="14.765625" style="55"/>
  </cols>
  <sheetData>
    <row r="1" spans="1:14" ht="18.5" x14ac:dyDescent="0.45">
      <c r="A1" s="429" t="s">
        <v>505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147"/>
      <c r="M1" s="147"/>
      <c r="N1" s="147"/>
    </row>
    <row r="2" spans="1:14" ht="18.5" x14ac:dyDescent="0.35">
      <c r="A2" s="432" t="s">
        <v>160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146"/>
      <c r="M2" s="146"/>
      <c r="N2" s="146"/>
    </row>
    <row r="3" spans="1:14" x14ac:dyDescent="0.35">
      <c r="A3" s="437"/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1"/>
      <c r="M3" s="1"/>
      <c r="N3" s="1"/>
    </row>
    <row r="4" spans="1:14" ht="18.5" x14ac:dyDescent="0.45">
      <c r="A4" s="438" t="s">
        <v>93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147"/>
      <c r="M4" s="147"/>
      <c r="N4" s="147"/>
    </row>
    <row r="6" spans="1:14" x14ac:dyDescent="0.35">
      <c r="B6" s="72"/>
      <c r="C6" s="439" t="s">
        <v>161</v>
      </c>
      <c r="D6" s="439"/>
      <c r="F6" s="47" t="s">
        <v>162</v>
      </c>
      <c r="G6" s="47" t="s">
        <v>34</v>
      </c>
      <c r="H6" s="49" t="s">
        <v>32</v>
      </c>
      <c r="M6" s="27" t="s">
        <v>417</v>
      </c>
    </row>
    <row r="7" spans="1:14" x14ac:dyDescent="0.35">
      <c r="B7" s="72"/>
      <c r="C7" s="435" t="s">
        <v>163</v>
      </c>
      <c r="D7" s="435"/>
      <c r="F7" s="51">
        <f>D35</f>
        <v>35191</v>
      </c>
      <c r="G7" s="51">
        <f>E40</f>
        <v>106282790</v>
      </c>
      <c r="H7" s="148">
        <f>H40</f>
        <v>2137517.7200000002</v>
      </c>
      <c r="M7" s="27" t="s">
        <v>418</v>
      </c>
    </row>
    <row r="8" spans="1:14" x14ac:dyDescent="0.35">
      <c r="B8" s="72"/>
      <c r="C8" s="436" t="s">
        <v>164</v>
      </c>
      <c r="D8" s="436"/>
      <c r="F8" s="51">
        <f>D55</f>
        <v>200</v>
      </c>
      <c r="G8" s="51">
        <f>E59</f>
        <v>1076140</v>
      </c>
      <c r="H8" s="150">
        <f>H59</f>
        <v>24723.620000000003</v>
      </c>
      <c r="M8" s="27" t="s">
        <v>112</v>
      </c>
    </row>
    <row r="9" spans="1:14" x14ac:dyDescent="0.35">
      <c r="B9" s="72"/>
      <c r="C9" s="149" t="s">
        <v>165</v>
      </c>
      <c r="D9" s="149"/>
      <c r="F9" s="51">
        <f>D71</f>
        <v>96</v>
      </c>
      <c r="G9" s="51">
        <f>E73</f>
        <v>12676300</v>
      </c>
      <c r="H9" s="150">
        <f>H73</f>
        <v>153502.12999999998</v>
      </c>
    </row>
    <row r="10" spans="1:14" x14ac:dyDescent="0.35">
      <c r="B10" s="72"/>
      <c r="C10" s="149" t="s">
        <v>166</v>
      </c>
      <c r="D10" s="149"/>
      <c r="F10" s="51">
        <f>D85</f>
        <v>12</v>
      </c>
      <c r="G10" s="51">
        <f>E87</f>
        <v>1136710</v>
      </c>
      <c r="H10" s="150">
        <f>H87</f>
        <v>18584.989999999998</v>
      </c>
    </row>
    <row r="11" spans="1:14" x14ac:dyDescent="0.35">
      <c r="B11" s="72"/>
      <c r="C11" s="149" t="s">
        <v>167</v>
      </c>
      <c r="D11" s="149"/>
      <c r="F11" s="48">
        <f>D99</f>
        <v>12</v>
      </c>
      <c r="G11" s="48">
        <f>E100</f>
        <v>6280000</v>
      </c>
      <c r="H11" s="151">
        <f>H100</f>
        <v>35544.800000000003</v>
      </c>
    </row>
    <row r="12" spans="1:14" x14ac:dyDescent="0.35">
      <c r="B12" s="72"/>
      <c r="C12" s="149" t="s">
        <v>168</v>
      </c>
      <c r="D12" s="149"/>
      <c r="F12" s="51">
        <f>SUM(F7:F11)</f>
        <v>35511</v>
      </c>
      <c r="G12" s="51">
        <f>SUM(G7:G11)</f>
        <v>127451940</v>
      </c>
      <c r="H12" s="150">
        <f>SUM(H7:H11)</f>
        <v>2369873.2600000002</v>
      </c>
    </row>
    <row r="13" spans="1:14" x14ac:dyDescent="0.35">
      <c r="B13" s="72"/>
      <c r="C13" s="149" t="s">
        <v>169</v>
      </c>
      <c r="D13" s="149"/>
      <c r="F13" s="45"/>
      <c r="G13" s="45"/>
      <c r="H13" s="151">
        <f>-ROUND('BA Adj'!B5,0)</f>
        <v>-12088</v>
      </c>
    </row>
    <row r="14" spans="1:14" x14ac:dyDescent="0.35">
      <c r="B14" s="72"/>
      <c r="C14" s="149" t="s">
        <v>170</v>
      </c>
      <c r="D14" s="149"/>
      <c r="F14" s="45"/>
      <c r="G14" s="45"/>
      <c r="H14" s="150">
        <f>SUM(H12:H13)</f>
        <v>2357785.2600000002</v>
      </c>
    </row>
    <row r="15" spans="1:14" x14ac:dyDescent="0.35">
      <c r="B15" s="72"/>
      <c r="C15" s="245" t="s">
        <v>299</v>
      </c>
      <c r="D15" s="149"/>
      <c r="F15" s="45"/>
      <c r="G15" s="45"/>
      <c r="H15" s="151">
        <f>'SAO- DSC Revised - 3 Emp'!R55</f>
        <v>-1881341.07</v>
      </c>
    </row>
    <row r="16" spans="1:14" ht="16" thickBot="1" x14ac:dyDescent="0.4">
      <c r="B16" s="72"/>
      <c r="C16" s="152" t="s">
        <v>171</v>
      </c>
      <c r="D16" s="152"/>
      <c r="H16" s="153">
        <f>SUM(H14:H15)</f>
        <v>476444.19000000018</v>
      </c>
    </row>
    <row r="17" spans="1:16" ht="16" thickTop="1" x14ac:dyDescent="0.35">
      <c r="B17" s="72"/>
      <c r="C17" s="152"/>
      <c r="D17" s="152"/>
      <c r="H17" s="246"/>
    </row>
    <row r="18" spans="1:16" x14ac:dyDescent="0.35">
      <c r="B18" s="72"/>
      <c r="C18" s="27" t="s">
        <v>506</v>
      </c>
      <c r="D18" s="152"/>
      <c r="H18" s="150">
        <f>H14</f>
        <v>2357785.2600000002</v>
      </c>
    </row>
    <row r="19" spans="1:16" x14ac:dyDescent="0.35">
      <c r="B19" s="72"/>
      <c r="C19" s="27" t="s">
        <v>418</v>
      </c>
      <c r="D19" s="152"/>
      <c r="H19" s="151">
        <f>-'Working Capital Phas-In'!L6</f>
        <v>-2356379.6902000001</v>
      </c>
    </row>
    <row r="20" spans="1:16" ht="16" thickBot="1" x14ac:dyDescent="0.4">
      <c r="B20" s="72"/>
      <c r="C20" s="27" t="s">
        <v>112</v>
      </c>
      <c r="H20" s="153">
        <f>SUM(H18:H19)</f>
        <v>1405.5698000001721</v>
      </c>
    </row>
    <row r="21" spans="1:16" ht="16" thickTop="1" x14ac:dyDescent="0.35">
      <c r="B21" s="72"/>
    </row>
    <row r="22" spans="1:16" x14ac:dyDescent="0.35">
      <c r="A22" t="s">
        <v>172</v>
      </c>
      <c r="B22" s="62" t="s">
        <v>295</v>
      </c>
    </row>
    <row r="23" spans="1:16" x14ac:dyDescent="0.35">
      <c r="B23" s="45"/>
      <c r="C23" s="45"/>
      <c r="D23" s="45"/>
      <c r="E23" s="45"/>
      <c r="F23" s="45" t="s">
        <v>51</v>
      </c>
      <c r="G23" s="45" t="s">
        <v>52</v>
      </c>
      <c r="H23" s="46" t="s">
        <v>52</v>
      </c>
      <c r="I23" s="46" t="s">
        <v>52</v>
      </c>
      <c r="J23" s="45" t="s">
        <v>96</v>
      </c>
      <c r="K23" s="45" t="s">
        <v>57</v>
      </c>
      <c r="L23" s="45"/>
      <c r="M23" s="45"/>
      <c r="N23" s="45"/>
    </row>
    <row r="24" spans="1:16" x14ac:dyDescent="0.35">
      <c r="B24" s="45"/>
      <c r="C24" s="47" t="s">
        <v>143</v>
      </c>
      <c r="D24" s="47" t="s">
        <v>144</v>
      </c>
      <c r="E24" s="47" t="s">
        <v>145</v>
      </c>
      <c r="F24" s="154">
        <f>C25</f>
        <v>2000</v>
      </c>
      <c r="G24" s="48">
        <f>C26</f>
        <v>3000</v>
      </c>
      <c r="H24" s="49">
        <f>C28</f>
        <v>5000</v>
      </c>
      <c r="I24" s="49">
        <f>C28</f>
        <v>5000</v>
      </c>
      <c r="J24" s="50">
        <f>SUM(F24:H24)</f>
        <v>10000</v>
      </c>
      <c r="K24" s="47"/>
      <c r="L24" s="45"/>
      <c r="M24" s="45"/>
      <c r="N24" s="45"/>
    </row>
    <row r="25" spans="1:16" x14ac:dyDescent="0.35">
      <c r="B25" s="45" t="s">
        <v>51</v>
      </c>
      <c r="C25" s="46">
        <v>2000</v>
      </c>
      <c r="D25" s="51">
        <v>14898</v>
      </c>
      <c r="E25" s="51">
        <v>14083390</v>
      </c>
      <c r="F25" s="51">
        <f>E25</f>
        <v>14083390</v>
      </c>
      <c r="G25" s="51">
        <v>0</v>
      </c>
      <c r="H25" s="52">
        <v>0</v>
      </c>
      <c r="I25" s="52"/>
      <c r="J25" s="51">
        <v>0</v>
      </c>
      <c r="K25" s="51">
        <f>SUM(F25:J25)</f>
        <v>14083390</v>
      </c>
      <c r="L25" s="51"/>
      <c r="M25" s="51"/>
      <c r="N25" s="51"/>
    </row>
    <row r="26" spans="1:16" x14ac:dyDescent="0.35">
      <c r="B26" s="45" t="s">
        <v>52</v>
      </c>
      <c r="C26" s="46">
        <v>3000</v>
      </c>
      <c r="D26" s="51">
        <v>15472</v>
      </c>
      <c r="E26" s="51">
        <v>49891280</v>
      </c>
      <c r="F26" s="51">
        <f>$D26*F$24</f>
        <v>30944000</v>
      </c>
      <c r="G26" s="51">
        <f>E26-F26</f>
        <v>18947280</v>
      </c>
      <c r="H26" s="52">
        <v>0</v>
      </c>
      <c r="I26" s="52"/>
      <c r="J26" s="51">
        <v>0</v>
      </c>
      <c r="K26" s="51">
        <f t="shared" ref="K26:K29" si="0">SUM(F26:J26)</f>
        <v>49891280</v>
      </c>
      <c r="L26" s="51"/>
      <c r="M26" s="51"/>
      <c r="N26" s="51"/>
      <c r="O26" s="51">
        <f>SUM(G26:K26)</f>
        <v>68838560</v>
      </c>
      <c r="P26" s="51">
        <f>SUM(H26:O26)</f>
        <v>118729840</v>
      </c>
    </row>
    <row r="27" spans="1:16" x14ac:dyDescent="0.35">
      <c r="B27" s="45" t="s">
        <v>52</v>
      </c>
      <c r="C27" s="46">
        <v>5000</v>
      </c>
      <c r="D27" s="51">
        <v>3998</v>
      </c>
      <c r="E27" s="51">
        <v>26273360</v>
      </c>
      <c r="F27" s="51">
        <f>$D27*F$24</f>
        <v>7996000</v>
      </c>
      <c r="G27" s="51">
        <f>$D27*G$24</f>
        <v>11994000</v>
      </c>
      <c r="H27" s="52">
        <f>E27-F27-G27</f>
        <v>6283360</v>
      </c>
      <c r="I27" s="52"/>
      <c r="J27" s="51"/>
      <c r="K27" s="51">
        <f t="shared" si="0"/>
        <v>26273360</v>
      </c>
      <c r="L27" s="51"/>
      <c r="M27" s="51"/>
      <c r="N27" s="51"/>
    </row>
    <row r="28" spans="1:16" x14ac:dyDescent="0.35">
      <c r="B28" s="45" t="s">
        <v>52</v>
      </c>
      <c r="C28" s="46">
        <v>5000</v>
      </c>
      <c r="D28" s="51">
        <v>504</v>
      </c>
      <c r="E28" s="51">
        <v>5985670</v>
      </c>
      <c r="F28" s="51">
        <f t="shared" ref="F28:I29" si="1">$D28*F$24</f>
        <v>1008000</v>
      </c>
      <c r="G28" s="51">
        <f t="shared" si="1"/>
        <v>1512000</v>
      </c>
      <c r="H28" s="51">
        <f t="shared" si="1"/>
        <v>2520000</v>
      </c>
      <c r="I28" s="51">
        <f>E28-F28-G28-H28</f>
        <v>945670</v>
      </c>
      <c r="J28" s="51">
        <v>0</v>
      </c>
      <c r="K28" s="51">
        <f t="shared" si="0"/>
        <v>5985670</v>
      </c>
      <c r="L28" s="51"/>
      <c r="M28" s="51"/>
      <c r="N28" s="51"/>
    </row>
    <row r="29" spans="1:16" x14ac:dyDescent="0.35">
      <c r="B29" s="45" t="s">
        <v>96</v>
      </c>
      <c r="C29" s="46">
        <f>SUM(C25:C28)</f>
        <v>15000</v>
      </c>
      <c r="D29" s="51">
        <v>319</v>
      </c>
      <c r="E29" s="51">
        <v>10049090</v>
      </c>
      <c r="F29" s="51">
        <f t="shared" si="1"/>
        <v>638000</v>
      </c>
      <c r="G29" s="51">
        <f t="shared" si="1"/>
        <v>957000</v>
      </c>
      <c r="H29" s="51">
        <f t="shared" si="1"/>
        <v>1595000</v>
      </c>
      <c r="I29" s="51">
        <f t="shared" si="1"/>
        <v>1595000</v>
      </c>
      <c r="J29" s="51">
        <f>E29-F29-G29-H29-I29</f>
        <v>5264090</v>
      </c>
      <c r="K29" s="51">
        <f t="shared" si="0"/>
        <v>10049090</v>
      </c>
      <c r="L29" s="51"/>
      <c r="M29" s="51"/>
      <c r="N29" s="51"/>
    </row>
    <row r="30" spans="1:16" ht="16" thickBot="1" x14ac:dyDescent="0.4">
      <c r="B30" s="45"/>
      <c r="C30" t="s">
        <v>0</v>
      </c>
      <c r="D30" s="53">
        <f t="shared" ref="D30:K30" si="2">SUM(D25:D29)</f>
        <v>35191</v>
      </c>
      <c r="E30" s="53">
        <f t="shared" si="2"/>
        <v>106282790</v>
      </c>
      <c r="F30" s="53">
        <f t="shared" si="2"/>
        <v>54669390</v>
      </c>
      <c r="G30" s="53">
        <f t="shared" si="2"/>
        <v>33410280</v>
      </c>
      <c r="H30" s="54">
        <f t="shared" si="2"/>
        <v>10398360</v>
      </c>
      <c r="I30" s="54">
        <f t="shared" si="2"/>
        <v>2540670</v>
      </c>
      <c r="J30" s="53">
        <f t="shared" si="2"/>
        <v>5264090</v>
      </c>
      <c r="K30" s="53">
        <f t="shared" si="2"/>
        <v>106282790</v>
      </c>
      <c r="L30" s="57"/>
      <c r="M30" s="57"/>
      <c r="N30" s="57"/>
    </row>
    <row r="31" spans="1:16" ht="16" thickTop="1" x14ac:dyDescent="0.35"/>
    <row r="33" spans="1:16" x14ac:dyDescent="0.35">
      <c r="B33" s="434" t="s">
        <v>146</v>
      </c>
      <c r="C33" s="434"/>
      <c r="D33" s="434"/>
      <c r="E33" s="434"/>
      <c r="F33" s="434"/>
      <c r="G33" s="434"/>
      <c r="H33" s="434"/>
    </row>
    <row r="34" spans="1:16" x14ac:dyDescent="0.35">
      <c r="C34" s="56"/>
      <c r="D34" s="155" t="s">
        <v>144</v>
      </c>
      <c r="E34" s="155" t="s">
        <v>145</v>
      </c>
      <c r="F34" s="434" t="s">
        <v>147</v>
      </c>
      <c r="G34" s="434"/>
      <c r="H34" s="155" t="s">
        <v>32</v>
      </c>
    </row>
    <row r="35" spans="1:16" x14ac:dyDescent="0.35">
      <c r="B35" s="45" t="s">
        <v>51</v>
      </c>
      <c r="C35" s="51">
        <f>C25</f>
        <v>2000</v>
      </c>
      <c r="D35" s="57">
        <f>D30</f>
        <v>35191</v>
      </c>
      <c r="E35" s="57">
        <f>F30</f>
        <v>54669390</v>
      </c>
      <c r="F35" s="58">
        <f>'Interim Rate Comp'!L12</f>
        <v>39.97</v>
      </c>
      <c r="G35" t="s">
        <v>173</v>
      </c>
      <c r="H35" s="58">
        <f>F35*D35</f>
        <v>1406584.27</v>
      </c>
    </row>
    <row r="36" spans="1:16" x14ac:dyDescent="0.35">
      <c r="B36" s="45" t="s">
        <v>52</v>
      </c>
      <c r="C36" s="51">
        <f>C26</f>
        <v>3000</v>
      </c>
      <c r="E36" s="57">
        <f>G30</f>
        <v>33410280</v>
      </c>
      <c r="F36" s="156">
        <f>'Interim Rate Comp'!L13</f>
        <v>1.481E-2</v>
      </c>
      <c r="G36" t="s">
        <v>174</v>
      </c>
      <c r="H36" s="157">
        <f>ROUND(E36*F36,2)</f>
        <v>494806.25</v>
      </c>
      <c r="P36" s="158">
        <v>11.86</v>
      </c>
    </row>
    <row r="37" spans="1:16" x14ac:dyDescent="0.35">
      <c r="B37" s="45" t="s">
        <v>52</v>
      </c>
      <c r="C37" s="51">
        <f>C28</f>
        <v>5000</v>
      </c>
      <c r="E37" s="57">
        <f>H30</f>
        <v>10398360</v>
      </c>
      <c r="F37" s="156">
        <f>'Interim Rate Comp'!L14</f>
        <v>1.3739999999999999E-2</v>
      </c>
      <c r="G37" t="s">
        <v>174</v>
      </c>
      <c r="H37" s="157">
        <f>ROUND(E37*F37,2)</f>
        <v>142873.47</v>
      </c>
      <c r="P37" s="158">
        <v>11</v>
      </c>
    </row>
    <row r="38" spans="1:16" x14ac:dyDescent="0.35">
      <c r="B38" s="45" t="s">
        <v>52</v>
      </c>
      <c r="C38" s="51">
        <v>5000</v>
      </c>
      <c r="E38" s="57">
        <f>I30</f>
        <v>2540670</v>
      </c>
      <c r="F38" s="156">
        <f>'Interim Rate Comp'!L15</f>
        <v>1.2669999999999999E-2</v>
      </c>
      <c r="G38" t="s">
        <v>174</v>
      </c>
      <c r="H38" s="157">
        <f>ROUND(E38*F38,2)</f>
        <v>32190.29</v>
      </c>
      <c r="P38" s="158">
        <v>10.15</v>
      </c>
    </row>
    <row r="39" spans="1:16" x14ac:dyDescent="0.35">
      <c r="B39" s="45" t="s">
        <v>96</v>
      </c>
      <c r="C39" s="51">
        <f>C29</f>
        <v>15000</v>
      </c>
      <c r="D39" s="56"/>
      <c r="E39" s="59">
        <f>J29</f>
        <v>5264090</v>
      </c>
      <c r="F39" s="156">
        <f>'Interim Rate Comp'!L16</f>
        <v>1.1599999999999999E-2</v>
      </c>
      <c r="G39" t="s">
        <v>174</v>
      </c>
      <c r="H39" s="157">
        <f>ROUND(E39*F39,2)</f>
        <v>61063.44</v>
      </c>
      <c r="P39" s="158">
        <v>9.2899999999999991</v>
      </c>
    </row>
    <row r="40" spans="1:16" ht="16" thickBot="1" x14ac:dyDescent="0.4">
      <c r="C40" t="s">
        <v>35</v>
      </c>
      <c r="E40" s="53">
        <f>SUM(E35:E39)</f>
        <v>106282790</v>
      </c>
      <c r="H40" s="159">
        <f>SUM(H35:H39)</f>
        <v>2137517.7200000002</v>
      </c>
      <c r="K40" t="s">
        <v>148</v>
      </c>
    </row>
    <row r="41" spans="1:16" ht="16" thickTop="1" x14ac:dyDescent="0.35"/>
    <row r="43" spans="1:16" x14ac:dyDescent="0.35">
      <c r="A43" t="s">
        <v>172</v>
      </c>
      <c r="B43" s="72" t="s">
        <v>164</v>
      </c>
      <c r="I43"/>
    </row>
    <row r="44" spans="1:16" x14ac:dyDescent="0.35">
      <c r="B44" s="45"/>
      <c r="C44" s="45"/>
      <c r="D44" s="45"/>
      <c r="E44" s="45"/>
      <c r="F44" s="45" t="s">
        <v>51</v>
      </c>
      <c r="G44" s="45" t="s">
        <v>52</v>
      </c>
      <c r="H44" s="46" t="s">
        <v>52</v>
      </c>
      <c r="I44" s="45" t="s">
        <v>96</v>
      </c>
      <c r="J44" s="45" t="s">
        <v>57</v>
      </c>
    </row>
    <row r="45" spans="1:16" x14ac:dyDescent="0.35">
      <c r="B45" s="45"/>
      <c r="C45" s="47" t="s">
        <v>143</v>
      </c>
      <c r="D45" s="47" t="s">
        <v>144</v>
      </c>
      <c r="E45" s="47" t="s">
        <v>145</v>
      </c>
      <c r="F45" s="48">
        <f>C46</f>
        <v>5000</v>
      </c>
      <c r="G45" s="48">
        <f>C47</f>
        <v>5000</v>
      </c>
      <c r="H45" s="49">
        <f>C47</f>
        <v>5000</v>
      </c>
      <c r="I45" s="50">
        <f>SUM(F45:H45)</f>
        <v>15000</v>
      </c>
      <c r="J45" s="47"/>
    </row>
    <row r="46" spans="1:16" x14ac:dyDescent="0.35">
      <c r="B46" s="45" t="s">
        <v>51</v>
      </c>
      <c r="C46" s="46">
        <v>5000</v>
      </c>
      <c r="D46" s="51">
        <v>173</v>
      </c>
      <c r="E46" s="51">
        <v>291950</v>
      </c>
      <c r="F46" s="51">
        <f>E46</f>
        <v>291950</v>
      </c>
      <c r="G46" s="51">
        <v>0</v>
      </c>
      <c r="H46" s="52">
        <v>0</v>
      </c>
      <c r="I46" s="51">
        <v>0</v>
      </c>
      <c r="J46" s="51">
        <f>SUM(F46:I46)</f>
        <v>291950</v>
      </c>
    </row>
    <row r="47" spans="1:16" x14ac:dyDescent="0.35">
      <c r="B47" s="45" t="s">
        <v>52</v>
      </c>
      <c r="C47" s="46">
        <v>5000</v>
      </c>
      <c r="D47" s="51">
        <v>15</v>
      </c>
      <c r="E47" s="51">
        <v>103990</v>
      </c>
      <c r="F47" s="51">
        <f>$D47*F$45</f>
        <v>75000</v>
      </c>
      <c r="G47" s="51">
        <f>E47-F47</f>
        <v>28990</v>
      </c>
      <c r="H47" s="52">
        <v>0</v>
      </c>
      <c r="I47" s="51">
        <v>0</v>
      </c>
      <c r="J47" s="51">
        <f>SUM(F47:I47)</f>
        <v>103990</v>
      </c>
      <c r="K47" s="51"/>
      <c r="L47" s="51"/>
      <c r="M47" s="51"/>
      <c r="N47" s="51"/>
      <c r="O47" s="51"/>
    </row>
    <row r="48" spans="1:16" x14ac:dyDescent="0.35">
      <c r="B48" s="45" t="s">
        <v>52</v>
      </c>
      <c r="C48" s="46">
        <v>5000</v>
      </c>
      <c r="D48" s="51">
        <v>2</v>
      </c>
      <c r="E48" s="51">
        <v>24750</v>
      </c>
      <c r="F48" s="51">
        <f t="shared" ref="F48:F49" si="3">$D48*F$45</f>
        <v>10000</v>
      </c>
      <c r="G48" s="51">
        <f>$D48*G$45</f>
        <v>10000</v>
      </c>
      <c r="H48" s="52">
        <f>E48-F48-G48</f>
        <v>4750</v>
      </c>
      <c r="I48" s="51"/>
      <c r="J48" s="51">
        <f>SUM(F48:I48)</f>
        <v>24750</v>
      </c>
    </row>
    <row r="49" spans="1:16" x14ac:dyDescent="0.35">
      <c r="B49" s="45" t="s">
        <v>96</v>
      </c>
      <c r="C49" s="46">
        <f>SUM(C46:C48)</f>
        <v>15000</v>
      </c>
      <c r="D49" s="51">
        <v>10</v>
      </c>
      <c r="E49" s="51">
        <v>655450</v>
      </c>
      <c r="F49" s="51">
        <f t="shared" si="3"/>
        <v>50000</v>
      </c>
      <c r="G49" s="51">
        <f>$D49*G$45</f>
        <v>50000</v>
      </c>
      <c r="H49" s="51">
        <f>$D49*H$45</f>
        <v>50000</v>
      </c>
      <c r="I49" s="51">
        <f>E49-F49-G49-H49</f>
        <v>505450</v>
      </c>
      <c r="J49" s="51">
        <f>SUM(F49:I49)</f>
        <v>655450</v>
      </c>
    </row>
    <row r="50" spans="1:16" ht="16" thickBot="1" x14ac:dyDescent="0.4">
      <c r="B50" s="45"/>
      <c r="C50" t="s">
        <v>0</v>
      </c>
      <c r="D50" s="53">
        <f t="shared" ref="D50:J50" si="4">SUM(D46:D49)</f>
        <v>200</v>
      </c>
      <c r="E50" s="53">
        <f t="shared" si="4"/>
        <v>1076140</v>
      </c>
      <c r="F50" s="53">
        <f t="shared" si="4"/>
        <v>426950</v>
      </c>
      <c r="G50" s="53">
        <f t="shared" si="4"/>
        <v>88990</v>
      </c>
      <c r="H50" s="54">
        <f t="shared" si="4"/>
        <v>54750</v>
      </c>
      <c r="I50" s="53">
        <f t="shared" si="4"/>
        <v>505450</v>
      </c>
      <c r="J50" s="53">
        <f t="shared" si="4"/>
        <v>1076140</v>
      </c>
    </row>
    <row r="51" spans="1:16" ht="16" thickTop="1" x14ac:dyDescent="0.35">
      <c r="I51"/>
    </row>
    <row r="52" spans="1:16" x14ac:dyDescent="0.35">
      <c r="I52"/>
    </row>
    <row r="53" spans="1:16" x14ac:dyDescent="0.35">
      <c r="B53" s="434" t="s">
        <v>146</v>
      </c>
      <c r="C53" s="434"/>
      <c r="D53" s="434"/>
      <c r="E53" s="434"/>
      <c r="F53" s="434"/>
      <c r="G53" s="434"/>
      <c r="H53" s="434"/>
      <c r="I53"/>
    </row>
    <row r="54" spans="1:16" x14ac:dyDescent="0.35">
      <c r="C54" s="56"/>
      <c r="D54" s="155" t="s">
        <v>144</v>
      </c>
      <c r="E54" s="155" t="s">
        <v>145</v>
      </c>
      <c r="F54" s="434" t="s">
        <v>147</v>
      </c>
      <c r="G54" s="434"/>
      <c r="H54" s="155" t="s">
        <v>32</v>
      </c>
      <c r="I54"/>
    </row>
    <row r="55" spans="1:16" x14ac:dyDescent="0.35">
      <c r="B55" s="45" t="s">
        <v>51</v>
      </c>
      <c r="C55" s="51">
        <f>C46</f>
        <v>5000</v>
      </c>
      <c r="D55" s="57">
        <f>D50</f>
        <v>200</v>
      </c>
      <c r="E55" s="57">
        <f>F50</f>
        <v>426950</v>
      </c>
      <c r="F55" s="58">
        <f>'Interim Rate Comp'!L19</f>
        <v>84.72</v>
      </c>
      <c r="G55" t="s">
        <v>173</v>
      </c>
      <c r="H55" s="58">
        <f>F55*D55</f>
        <v>16944</v>
      </c>
      <c r="I55"/>
    </row>
    <row r="56" spans="1:16" x14ac:dyDescent="0.35">
      <c r="B56" s="45" t="s">
        <v>52</v>
      </c>
      <c r="C56" s="51">
        <f>C47</f>
        <v>5000</v>
      </c>
      <c r="E56" s="57">
        <f>G50</f>
        <v>88990</v>
      </c>
      <c r="F56" s="156">
        <f>'Interim Rate Comp'!L20</f>
        <v>1.3739999999999999E-2</v>
      </c>
      <c r="G56" t="s">
        <v>174</v>
      </c>
      <c r="H56" s="157">
        <f>ROUND(E56*F56,2)</f>
        <v>1222.72</v>
      </c>
      <c r="I56"/>
      <c r="P56" s="158">
        <v>11</v>
      </c>
    </row>
    <row r="57" spans="1:16" x14ac:dyDescent="0.35">
      <c r="B57" s="45" t="s">
        <v>52</v>
      </c>
      <c r="C57" s="51">
        <f>C48</f>
        <v>5000</v>
      </c>
      <c r="E57" s="57">
        <f>H50</f>
        <v>54750</v>
      </c>
      <c r="F57" s="156">
        <f>'Interim Rate Comp'!L21</f>
        <v>1.2669999999999999E-2</v>
      </c>
      <c r="G57" t="s">
        <v>174</v>
      </c>
      <c r="H57" s="157">
        <f>ROUND(E57*F57,2)</f>
        <v>693.68</v>
      </c>
      <c r="I57"/>
      <c r="P57" s="158">
        <v>10.15</v>
      </c>
    </row>
    <row r="58" spans="1:16" x14ac:dyDescent="0.35">
      <c r="B58" s="45" t="s">
        <v>96</v>
      </c>
      <c r="C58" s="51">
        <f>C49</f>
        <v>15000</v>
      </c>
      <c r="D58" s="56"/>
      <c r="E58" s="59">
        <f>I49</f>
        <v>505450</v>
      </c>
      <c r="F58" s="156">
        <f>'Interim Rate Comp'!L22</f>
        <v>1.1599999999999999E-2</v>
      </c>
      <c r="G58" t="s">
        <v>174</v>
      </c>
      <c r="H58" s="157">
        <f>ROUND(E58*F58,2)</f>
        <v>5863.22</v>
      </c>
      <c r="I58"/>
      <c r="P58" s="158">
        <v>9.2899999999999991</v>
      </c>
    </row>
    <row r="59" spans="1:16" ht="16" thickBot="1" x14ac:dyDescent="0.4">
      <c r="C59" t="s">
        <v>35</v>
      </c>
      <c r="E59" s="53">
        <f>SUM(E55:E58)</f>
        <v>1076140</v>
      </c>
      <c r="H59" s="159">
        <f>SUM(H55:H58)</f>
        <v>24723.620000000003</v>
      </c>
      <c r="I59"/>
      <c r="J59" t="s">
        <v>148</v>
      </c>
    </row>
    <row r="60" spans="1:16" ht="16" thickTop="1" x14ac:dyDescent="0.35"/>
    <row r="61" spans="1:16" x14ac:dyDescent="0.35">
      <c r="A61" t="s">
        <v>172</v>
      </c>
      <c r="B61" s="72" t="s">
        <v>165</v>
      </c>
      <c r="H61"/>
      <c r="I61"/>
    </row>
    <row r="62" spans="1:16" x14ac:dyDescent="0.35">
      <c r="B62" s="45"/>
      <c r="C62" s="45"/>
      <c r="D62" s="45"/>
      <c r="E62" s="45"/>
      <c r="F62" s="45" t="s">
        <v>51</v>
      </c>
      <c r="G62" s="45" t="s">
        <v>96</v>
      </c>
      <c r="H62" s="45" t="s">
        <v>57</v>
      </c>
      <c r="I62"/>
    </row>
    <row r="63" spans="1:16" x14ac:dyDescent="0.35">
      <c r="B63" s="45"/>
      <c r="C63" s="47" t="s">
        <v>143</v>
      </c>
      <c r="D63" s="47" t="s">
        <v>144</v>
      </c>
      <c r="E63" s="47" t="s">
        <v>145</v>
      </c>
      <c r="F63" s="48">
        <f>C64</f>
        <v>15000</v>
      </c>
      <c r="G63" s="50">
        <f>SUM(F63:F63)</f>
        <v>15000</v>
      </c>
      <c r="H63" s="47"/>
      <c r="I63"/>
    </row>
    <row r="64" spans="1:16" x14ac:dyDescent="0.35">
      <c r="B64" s="45" t="s">
        <v>51</v>
      </c>
      <c r="C64" s="46">
        <v>15000</v>
      </c>
      <c r="D64" s="51">
        <v>24</v>
      </c>
      <c r="E64" s="51">
        <v>145730</v>
      </c>
      <c r="F64" s="51">
        <f>E64</f>
        <v>145730</v>
      </c>
      <c r="G64" s="51">
        <v>0</v>
      </c>
      <c r="H64" s="51">
        <f>SUM(F64:G64)</f>
        <v>145730</v>
      </c>
      <c r="I64"/>
    </row>
    <row r="65" spans="1:16" x14ac:dyDescent="0.35">
      <c r="B65" s="45" t="s">
        <v>96</v>
      </c>
      <c r="C65" s="46">
        <f>SUM(C64:C64)</f>
        <v>15000</v>
      </c>
      <c r="D65" s="51">
        <v>72</v>
      </c>
      <c r="E65" s="51">
        <v>12530570</v>
      </c>
      <c r="F65" s="51">
        <f>$D65*F$63</f>
        <v>1080000</v>
      </c>
      <c r="G65" s="51">
        <f>E65-F65</f>
        <v>11450570</v>
      </c>
      <c r="H65" s="51">
        <f>SUM(F65:G65)</f>
        <v>12530570</v>
      </c>
      <c r="I65"/>
    </row>
    <row r="66" spans="1:16" ht="16" thickBot="1" x14ac:dyDescent="0.4">
      <c r="B66" s="45"/>
      <c r="C66" t="s">
        <v>0</v>
      </c>
      <c r="D66" s="53">
        <f>SUM(D64:D65)</f>
        <v>96</v>
      </c>
      <c r="E66" s="53">
        <f>SUM(E64:E65)</f>
        <v>12676300</v>
      </c>
      <c r="F66" s="53">
        <f>SUM(F64:F65)</f>
        <v>1225730</v>
      </c>
      <c r="G66" s="53">
        <f>SUM(G64:G65)</f>
        <v>11450570</v>
      </c>
      <c r="H66" s="53">
        <f>SUM(H64:H65)</f>
        <v>12676300</v>
      </c>
      <c r="I66"/>
    </row>
    <row r="67" spans="1:16" ht="16" thickTop="1" x14ac:dyDescent="0.35">
      <c r="H67"/>
      <c r="I67"/>
    </row>
    <row r="68" spans="1:16" x14ac:dyDescent="0.35">
      <c r="H68"/>
      <c r="I68"/>
    </row>
    <row r="69" spans="1:16" x14ac:dyDescent="0.35">
      <c r="B69" s="434" t="s">
        <v>146</v>
      </c>
      <c r="C69" s="434"/>
      <c r="D69" s="434"/>
      <c r="E69" s="434"/>
      <c r="F69" s="434"/>
      <c r="G69" s="434"/>
      <c r="H69" s="434"/>
      <c r="I69"/>
    </row>
    <row r="70" spans="1:16" x14ac:dyDescent="0.35">
      <c r="C70" s="56"/>
      <c r="D70" s="155" t="s">
        <v>144</v>
      </c>
      <c r="E70" s="155" t="s">
        <v>145</v>
      </c>
      <c r="F70" s="434" t="s">
        <v>147</v>
      </c>
      <c r="G70" s="434"/>
      <c r="H70" s="155" t="s">
        <v>32</v>
      </c>
      <c r="I70"/>
    </row>
    <row r="71" spans="1:16" x14ac:dyDescent="0.35">
      <c r="B71" s="45" t="s">
        <v>51</v>
      </c>
      <c r="C71" s="51">
        <f>C64</f>
        <v>15000</v>
      </c>
      <c r="D71" s="57">
        <f>D66</f>
        <v>96</v>
      </c>
      <c r="E71" s="57">
        <f>F66</f>
        <v>1225730</v>
      </c>
      <c r="F71" s="58">
        <f>'Interim Rate Comp'!L25</f>
        <v>215.37</v>
      </c>
      <c r="G71" t="s">
        <v>173</v>
      </c>
      <c r="H71" s="58">
        <f>F71*D71</f>
        <v>20675.52</v>
      </c>
      <c r="I71"/>
    </row>
    <row r="72" spans="1:16" x14ac:dyDescent="0.35">
      <c r="B72" s="45" t="s">
        <v>96</v>
      </c>
      <c r="C72" s="51">
        <f>C65</f>
        <v>15000</v>
      </c>
      <c r="D72" s="56"/>
      <c r="E72" s="59">
        <f>G65</f>
        <v>11450570</v>
      </c>
      <c r="F72" s="156">
        <f>'Interim Rate Comp'!L26</f>
        <v>1.1599999999999999E-2</v>
      </c>
      <c r="G72" t="s">
        <v>174</v>
      </c>
      <c r="H72" s="157">
        <f>ROUND(E72*F72,2)</f>
        <v>132826.60999999999</v>
      </c>
      <c r="I72"/>
      <c r="P72" s="158">
        <v>9.2899999999999991</v>
      </c>
    </row>
    <row r="73" spans="1:16" ht="16" thickBot="1" x14ac:dyDescent="0.4">
      <c r="C73" t="s">
        <v>35</v>
      </c>
      <c r="E73" s="53">
        <f>SUM(E71:E72)</f>
        <v>12676300</v>
      </c>
      <c r="H73" s="159">
        <f>SUM(H71:H72)</f>
        <v>153502.12999999998</v>
      </c>
      <c r="I73"/>
    </row>
    <row r="74" spans="1:16" ht="16" thickTop="1" x14ac:dyDescent="0.35"/>
    <row r="75" spans="1:16" x14ac:dyDescent="0.35">
      <c r="A75" t="s">
        <v>172</v>
      </c>
      <c r="B75" s="72" t="s">
        <v>166</v>
      </c>
      <c r="H75"/>
      <c r="I75"/>
    </row>
    <row r="76" spans="1:16" x14ac:dyDescent="0.35">
      <c r="B76" s="45"/>
      <c r="C76" s="45"/>
      <c r="D76" s="45"/>
      <c r="E76" s="45"/>
      <c r="F76" s="45" t="s">
        <v>51</v>
      </c>
      <c r="G76" s="45" t="s">
        <v>96</v>
      </c>
      <c r="H76" s="45" t="s">
        <v>57</v>
      </c>
      <c r="I76"/>
    </row>
    <row r="77" spans="1:16" x14ac:dyDescent="0.35">
      <c r="B77" s="45"/>
      <c r="C77" s="47" t="s">
        <v>143</v>
      </c>
      <c r="D77" s="47" t="s">
        <v>144</v>
      </c>
      <c r="E77" s="47" t="s">
        <v>145</v>
      </c>
      <c r="F77" s="48">
        <f>C78</f>
        <v>100000</v>
      </c>
      <c r="G77" s="50">
        <f>SUM(F77:F77)</f>
        <v>100000</v>
      </c>
      <c r="H77" s="47"/>
      <c r="I77"/>
    </row>
    <row r="78" spans="1:16" x14ac:dyDescent="0.35">
      <c r="B78" s="45" t="s">
        <v>51</v>
      </c>
      <c r="C78" s="46">
        <v>100000</v>
      </c>
      <c r="D78" s="51">
        <v>8</v>
      </c>
      <c r="E78" s="51">
        <v>382380</v>
      </c>
      <c r="F78" s="51">
        <f>E78</f>
        <v>382380</v>
      </c>
      <c r="G78" s="51">
        <v>0</v>
      </c>
      <c r="H78" s="51">
        <f>SUM(F78:G78)</f>
        <v>382380</v>
      </c>
      <c r="I78"/>
    </row>
    <row r="79" spans="1:16" x14ac:dyDescent="0.35">
      <c r="B79" s="45" t="s">
        <v>96</v>
      </c>
      <c r="C79" s="46">
        <f>SUM(C78:C78)</f>
        <v>100000</v>
      </c>
      <c r="D79" s="51">
        <v>4</v>
      </c>
      <c r="E79" s="51">
        <v>754330</v>
      </c>
      <c r="F79" s="51">
        <f>$D79*F$77</f>
        <v>400000</v>
      </c>
      <c r="G79" s="51">
        <f>E79-F79</f>
        <v>354330</v>
      </c>
      <c r="H79" s="51">
        <f>SUM(F79:G79)</f>
        <v>754330</v>
      </c>
      <c r="I79"/>
    </row>
    <row r="80" spans="1:16" ht="16" thickBot="1" x14ac:dyDescent="0.4">
      <c r="B80" s="45"/>
      <c r="C80" t="s">
        <v>0</v>
      </c>
      <c r="D80" s="53">
        <f>SUM(D78:D79)</f>
        <v>12</v>
      </c>
      <c r="E80" s="53">
        <f>SUM(E78:E79)</f>
        <v>1136710</v>
      </c>
      <c r="F80" s="53">
        <f>SUM(F78:F79)</f>
        <v>782380</v>
      </c>
      <c r="G80" s="53">
        <f>SUM(G78:G79)</f>
        <v>354330</v>
      </c>
      <c r="H80" s="53">
        <f>SUM(H78:H79)</f>
        <v>1136710</v>
      </c>
      <c r="I80"/>
    </row>
    <row r="81" spans="1:16" ht="16" thickTop="1" x14ac:dyDescent="0.35">
      <c r="H81"/>
      <c r="I81"/>
    </row>
    <row r="82" spans="1:16" x14ac:dyDescent="0.35">
      <c r="H82"/>
      <c r="I82"/>
    </row>
    <row r="83" spans="1:16" x14ac:dyDescent="0.35">
      <c r="B83" s="434" t="s">
        <v>146</v>
      </c>
      <c r="C83" s="434"/>
      <c r="D83" s="434"/>
      <c r="E83" s="434"/>
      <c r="F83" s="434"/>
      <c r="G83" s="434"/>
      <c r="H83" s="434"/>
      <c r="I83"/>
    </row>
    <row r="84" spans="1:16" x14ac:dyDescent="0.35">
      <c r="C84" s="56"/>
      <c r="D84" s="155" t="s">
        <v>144</v>
      </c>
      <c r="E84" s="155" t="s">
        <v>145</v>
      </c>
      <c r="F84" s="434" t="s">
        <v>147</v>
      </c>
      <c r="G84" s="434"/>
      <c r="H84" s="155" t="s">
        <v>32</v>
      </c>
      <c r="I84"/>
    </row>
    <row r="85" spans="1:16" x14ac:dyDescent="0.35">
      <c r="B85" s="45" t="s">
        <v>51</v>
      </c>
      <c r="C85" s="51">
        <f>C78</f>
        <v>100000</v>
      </c>
      <c r="D85" s="57">
        <f>D80</f>
        <v>12</v>
      </c>
      <c r="E85" s="57">
        <f>F80</f>
        <v>782380</v>
      </c>
      <c r="F85" s="58">
        <f>'Interim Rate Comp'!L29</f>
        <v>1206.23</v>
      </c>
      <c r="G85" t="s">
        <v>173</v>
      </c>
      <c r="H85" s="58">
        <f>F85*D85</f>
        <v>14474.76</v>
      </c>
      <c r="I85"/>
    </row>
    <row r="86" spans="1:16" x14ac:dyDescent="0.35">
      <c r="B86" s="45" t="s">
        <v>96</v>
      </c>
      <c r="C86" s="51">
        <f>C79</f>
        <v>100000</v>
      </c>
      <c r="D86" s="56"/>
      <c r="E86" s="59">
        <f>G79</f>
        <v>354330</v>
      </c>
      <c r="F86" s="156">
        <f>'Interim Rate Comp'!L30</f>
        <v>1.1599999999999999E-2</v>
      </c>
      <c r="G86" t="s">
        <v>174</v>
      </c>
      <c r="H86" s="157">
        <f>ROUND(E86*F86,2)</f>
        <v>4110.2299999999996</v>
      </c>
      <c r="I86"/>
      <c r="P86" s="158">
        <v>9.2899999999999991</v>
      </c>
    </row>
    <row r="87" spans="1:16" ht="16" thickBot="1" x14ac:dyDescent="0.4">
      <c r="C87" t="s">
        <v>35</v>
      </c>
      <c r="E87" s="53">
        <f>SUM(E85:E86)</f>
        <v>1136710</v>
      </c>
      <c r="H87" s="159">
        <f>SUM(H85:H86)</f>
        <v>18584.989999999998</v>
      </c>
      <c r="I87"/>
    </row>
    <row r="88" spans="1:16" ht="16" thickTop="1" x14ac:dyDescent="0.35"/>
    <row r="89" spans="1:16" x14ac:dyDescent="0.35">
      <c r="A89" t="s">
        <v>172</v>
      </c>
      <c r="B89" s="72" t="s">
        <v>175</v>
      </c>
      <c r="H89"/>
      <c r="I89"/>
    </row>
    <row r="90" spans="1:16" x14ac:dyDescent="0.35">
      <c r="H90"/>
      <c r="I90"/>
    </row>
    <row r="91" spans="1:16" x14ac:dyDescent="0.35">
      <c r="B91" s="45"/>
      <c r="C91" s="45"/>
      <c r="D91" s="45"/>
      <c r="E91" s="45"/>
      <c r="H91"/>
      <c r="I91"/>
    </row>
    <row r="92" spans="1:16" x14ac:dyDescent="0.35">
      <c r="B92" s="45"/>
      <c r="C92" s="47" t="s">
        <v>143</v>
      </c>
      <c r="D92" s="47" t="s">
        <v>144</v>
      </c>
      <c r="E92" s="47" t="s">
        <v>145</v>
      </c>
      <c r="H92"/>
      <c r="I92"/>
    </row>
    <row r="93" spans="1:16" x14ac:dyDescent="0.35">
      <c r="B93" s="45" t="s">
        <v>96</v>
      </c>
      <c r="C93" s="46">
        <v>6280000</v>
      </c>
      <c r="D93" s="51">
        <v>12</v>
      </c>
      <c r="E93" s="51">
        <v>6280000</v>
      </c>
      <c r="H93"/>
      <c r="I93"/>
    </row>
    <row r="94" spans="1:16" ht="16" thickBot="1" x14ac:dyDescent="0.4">
      <c r="B94" s="45"/>
      <c r="C94" t="s">
        <v>0</v>
      </c>
      <c r="D94" s="53">
        <f>SUM(D93:D93)</f>
        <v>12</v>
      </c>
      <c r="E94" s="53">
        <f>SUM(E93:E93)</f>
        <v>6280000</v>
      </c>
      <c r="H94"/>
      <c r="I94"/>
    </row>
    <row r="95" spans="1:16" ht="16" thickTop="1" x14ac:dyDescent="0.35">
      <c r="H95"/>
      <c r="I95"/>
    </row>
    <row r="96" spans="1:16" x14ac:dyDescent="0.35">
      <c r="H96"/>
      <c r="I96"/>
    </row>
    <row r="97" spans="2:16" x14ac:dyDescent="0.35">
      <c r="B97" s="434" t="s">
        <v>146</v>
      </c>
      <c r="C97" s="434"/>
      <c r="D97" s="434"/>
      <c r="E97" s="434"/>
      <c r="F97" s="434"/>
      <c r="G97" s="434"/>
      <c r="H97" s="434"/>
      <c r="I97"/>
    </row>
    <row r="98" spans="2:16" x14ac:dyDescent="0.35">
      <c r="C98" s="56"/>
      <c r="D98" s="155" t="s">
        <v>144</v>
      </c>
      <c r="E98" s="155" t="s">
        <v>145</v>
      </c>
      <c r="F98" s="434" t="s">
        <v>147</v>
      </c>
      <c r="G98" s="434"/>
      <c r="H98" s="155" t="s">
        <v>32</v>
      </c>
      <c r="I98"/>
    </row>
    <row r="99" spans="2:16" x14ac:dyDescent="0.35">
      <c r="B99" s="45" t="s">
        <v>145</v>
      </c>
      <c r="C99" s="51"/>
      <c r="D99" s="59">
        <f>D94</f>
        <v>12</v>
      </c>
      <c r="E99" s="59">
        <f>E94</f>
        <v>6280000</v>
      </c>
      <c r="F99" s="156">
        <f>'Interim Rate Comp'!L33</f>
        <v>5.6600000000000001E-3</v>
      </c>
      <c r="G99" t="s">
        <v>174</v>
      </c>
      <c r="H99" s="157">
        <f>ROUND(E99*F99,2)</f>
        <v>35544.800000000003</v>
      </c>
      <c r="I99"/>
      <c r="P99" s="158">
        <v>4.5199999999999996</v>
      </c>
    </row>
    <row r="100" spans="2:16" ht="16" thickBot="1" x14ac:dyDescent="0.4">
      <c r="C100" t="s">
        <v>35</v>
      </c>
      <c r="E100" s="53">
        <f>SUM(E99:E99)</f>
        <v>6280000</v>
      </c>
      <c r="H100" s="159">
        <f>SUM(H99:H99)</f>
        <v>35544.800000000003</v>
      </c>
      <c r="I100"/>
    </row>
    <row r="101" spans="2:16" ht="16" thickTop="1" x14ac:dyDescent="0.35"/>
  </sheetData>
  <mergeCells count="17">
    <mergeCell ref="B69:H69"/>
    <mergeCell ref="A1:K1"/>
    <mergeCell ref="A2:K2"/>
    <mergeCell ref="A3:K3"/>
    <mergeCell ref="A4:K4"/>
    <mergeCell ref="C6:D6"/>
    <mergeCell ref="C7:D7"/>
    <mergeCell ref="C8:D8"/>
    <mergeCell ref="B33:H33"/>
    <mergeCell ref="F34:G34"/>
    <mergeCell ref="B53:H53"/>
    <mergeCell ref="F54:G54"/>
    <mergeCell ref="F70:G70"/>
    <mergeCell ref="B83:H83"/>
    <mergeCell ref="F84:G84"/>
    <mergeCell ref="B97:H97"/>
    <mergeCell ref="F98:G9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90683-9AE0-4142-9304-A151F82DBA88}">
  <dimension ref="B2:T33"/>
  <sheetViews>
    <sheetView workbookViewId="0">
      <selection activeCell="C4" sqref="C4:M5"/>
    </sheetView>
  </sheetViews>
  <sheetFormatPr defaultColWidth="8.84375" defaultRowHeight="15.5" x14ac:dyDescent="0.35"/>
  <cols>
    <col min="1" max="1" width="9.69140625" style="4" customWidth="1"/>
    <col min="2" max="2" width="1.07421875" style="4" customWidth="1"/>
    <col min="3" max="3" width="4.765625" style="4" customWidth="1"/>
    <col min="4" max="5" width="10.765625" style="4" customWidth="1"/>
    <col min="6" max="6" width="11.765625" style="15" customWidth="1"/>
    <col min="7" max="7" width="10.765625" style="4" customWidth="1"/>
    <col min="8" max="8" width="1.23046875" style="4" customWidth="1"/>
    <col min="9" max="11" width="10.765625" style="4" customWidth="1"/>
    <col min="12" max="12" width="10.765625" style="15" customWidth="1"/>
    <col min="13" max="13" width="10.765625" style="4" customWidth="1"/>
    <col min="14" max="14" width="9.69140625" style="4" customWidth="1"/>
    <col min="15" max="19" width="12.765625" style="4" customWidth="1"/>
    <col min="20" max="206" width="9.69140625" style="4" customWidth="1"/>
    <col min="207" max="16384" width="8.84375" style="4"/>
  </cols>
  <sheetData>
    <row r="2" spans="2:20" x14ac:dyDescent="0.35">
      <c r="B2" s="9"/>
      <c r="C2" s="75"/>
      <c r="D2" s="75"/>
      <c r="E2" s="75"/>
      <c r="F2" s="76"/>
      <c r="G2" s="75"/>
      <c r="H2" s="75"/>
      <c r="I2" s="75"/>
      <c r="J2" s="75"/>
      <c r="K2" s="75"/>
      <c r="L2" s="76"/>
      <c r="M2" s="77"/>
    </row>
    <row r="3" spans="2:20" x14ac:dyDescent="0.35">
      <c r="B3" s="8"/>
      <c r="C3" s="442" t="s">
        <v>85</v>
      </c>
      <c r="D3" s="442"/>
      <c r="E3" s="442"/>
      <c r="F3" s="442"/>
      <c r="G3" s="442"/>
      <c r="H3" s="442"/>
      <c r="I3" s="442"/>
      <c r="J3" s="442"/>
      <c r="K3" s="442"/>
      <c r="L3" s="442"/>
      <c r="M3" s="443"/>
    </row>
    <row r="4" spans="2:20" x14ac:dyDescent="0.35">
      <c r="B4" s="8"/>
      <c r="C4" s="442" t="s">
        <v>503</v>
      </c>
      <c r="D4" s="442"/>
      <c r="E4" s="442"/>
      <c r="F4" s="442"/>
      <c r="G4" s="442"/>
      <c r="H4" s="442"/>
      <c r="I4" s="442"/>
      <c r="J4" s="442"/>
      <c r="K4" s="442"/>
      <c r="L4" s="442"/>
      <c r="M4" s="443"/>
      <c r="O4" s="4" t="s">
        <v>156</v>
      </c>
      <c r="R4" s="4" t="s">
        <v>157</v>
      </c>
    </row>
    <row r="5" spans="2:20" x14ac:dyDescent="0.35">
      <c r="B5" s="8"/>
      <c r="C5" s="444" t="str">
        <f>Adj!B1</f>
        <v>Morgan County Water District</v>
      </c>
      <c r="D5" s="444"/>
      <c r="E5" s="444"/>
      <c r="F5" s="444"/>
      <c r="G5" s="444"/>
      <c r="H5" s="444"/>
      <c r="I5" s="444"/>
      <c r="J5" s="444"/>
      <c r="K5" s="444"/>
      <c r="L5" s="444"/>
      <c r="M5" s="445"/>
      <c r="N5" s="70"/>
      <c r="O5" s="362"/>
      <c r="P5" s="70"/>
      <c r="Q5" s="70"/>
      <c r="R5" s="70"/>
      <c r="S5" s="70"/>
    </row>
    <row r="6" spans="2:20" x14ac:dyDescent="0.35">
      <c r="B6" s="8"/>
      <c r="M6" s="78"/>
      <c r="O6" s="363"/>
    </row>
    <row r="7" spans="2:20" x14ac:dyDescent="0.35">
      <c r="B7" s="9"/>
      <c r="C7" s="75"/>
      <c r="D7" s="75"/>
      <c r="E7" s="75"/>
      <c r="F7" s="76"/>
      <c r="G7" s="77"/>
      <c r="H7" s="9"/>
      <c r="I7" s="75"/>
      <c r="J7" s="75"/>
      <c r="K7" s="75"/>
      <c r="L7" s="76"/>
      <c r="M7" s="77"/>
      <c r="O7" s="363"/>
    </row>
    <row r="8" spans="2:20" x14ac:dyDescent="0.35">
      <c r="B8" s="8"/>
      <c r="C8" s="440" t="s">
        <v>416</v>
      </c>
      <c r="D8" s="440"/>
      <c r="E8" s="440"/>
      <c r="F8" s="440"/>
      <c r="G8" s="441"/>
      <c r="I8" s="440" t="s">
        <v>415</v>
      </c>
      <c r="J8" s="440"/>
      <c r="K8" s="440"/>
      <c r="L8" s="440"/>
      <c r="M8" s="441"/>
      <c r="O8" s="17">
        <f>'Working Capital Phas-In'!N3</f>
        <v>2.995782058960474E-2</v>
      </c>
      <c r="P8" s="17" t="s">
        <v>95</v>
      </c>
      <c r="Q8" s="17"/>
      <c r="R8" s="17"/>
      <c r="S8" s="17"/>
    </row>
    <row r="9" spans="2:20" x14ac:dyDescent="0.35">
      <c r="B9" s="8"/>
      <c r="G9" s="78"/>
      <c r="M9" s="78"/>
    </row>
    <row r="10" spans="2:20" x14ac:dyDescent="0.35">
      <c r="B10" s="8"/>
      <c r="C10" s="16"/>
      <c r="G10" s="78"/>
      <c r="I10" s="16"/>
      <c r="L10" s="79"/>
      <c r="M10" s="78"/>
    </row>
    <row r="11" spans="2:20" x14ac:dyDescent="0.35">
      <c r="B11" s="9"/>
      <c r="C11" s="235" t="s">
        <v>295</v>
      </c>
      <c r="D11" s="236"/>
      <c r="E11" s="243"/>
      <c r="F11" s="236"/>
      <c r="G11" s="237"/>
      <c r="H11" s="9"/>
      <c r="I11" s="235" t="s">
        <v>295</v>
      </c>
      <c r="J11" s="236"/>
      <c r="K11" s="236"/>
      <c r="L11" s="76"/>
      <c r="M11" s="77"/>
      <c r="T11" s="81"/>
    </row>
    <row r="12" spans="2:20" x14ac:dyDescent="0.35">
      <c r="B12" s="8"/>
      <c r="C12" s="45" t="s">
        <v>51</v>
      </c>
      <c r="D12" s="51">
        <v>2000</v>
      </c>
      <c r="E12" s="242" t="s">
        <v>145</v>
      </c>
      <c r="F12" s="144">
        <f>'Interim Rate Comp'!L12</f>
        <v>39.97</v>
      </c>
      <c r="G12" s="143" t="s">
        <v>173</v>
      </c>
      <c r="H12" s="8"/>
      <c r="I12" s="45" t="s">
        <v>51</v>
      </c>
      <c r="J12" s="51">
        <v>2000</v>
      </c>
      <c r="K12" s="242" t="s">
        <v>145</v>
      </c>
      <c r="L12" s="144">
        <f>R12</f>
        <v>41.17</v>
      </c>
      <c r="M12" s="143" t="s">
        <v>173</v>
      </c>
      <c r="O12" s="144">
        <f>F12</f>
        <v>39.97</v>
      </c>
      <c r="P12" s="144">
        <f>ROUND(O$8*O12,2)</f>
        <v>1.2</v>
      </c>
      <c r="Q12" s="61">
        <v>0</v>
      </c>
      <c r="R12" s="144">
        <f>SUM(O12:Q12)</f>
        <v>41.17</v>
      </c>
      <c r="S12" s="144"/>
      <c r="T12" s="81"/>
    </row>
    <row r="13" spans="2:20" x14ac:dyDescent="0.35">
      <c r="B13" s="8"/>
      <c r="C13" s="45" t="s">
        <v>52</v>
      </c>
      <c r="D13" s="51">
        <v>3000</v>
      </c>
      <c r="E13" s="242" t="s">
        <v>145</v>
      </c>
      <c r="F13" s="364">
        <f>'Interim Rate Comp'!L13</f>
        <v>1.481E-2</v>
      </c>
      <c r="G13" s="143" t="s">
        <v>174</v>
      </c>
      <c r="H13" s="8"/>
      <c r="I13" s="45" t="s">
        <v>52</v>
      </c>
      <c r="J13" s="51">
        <v>3000</v>
      </c>
      <c r="K13" s="242" t="s">
        <v>145</v>
      </c>
      <c r="L13" s="364">
        <f>R13</f>
        <v>1.525E-2</v>
      </c>
      <c r="M13" s="143" t="s">
        <v>174</v>
      </c>
      <c r="N13" s="18"/>
      <c r="O13" s="61">
        <f t="shared" ref="O13:O33" si="0">F13</f>
        <v>1.481E-2</v>
      </c>
      <c r="P13" s="61">
        <f>ROUND(O$8*O13,5)</f>
        <v>4.4000000000000002E-4</v>
      </c>
      <c r="Q13" s="61">
        <v>0</v>
      </c>
      <c r="R13" s="61">
        <f>SUM(O13:Q13)</f>
        <v>1.525E-2</v>
      </c>
      <c r="S13" s="61"/>
      <c r="T13" s="81"/>
    </row>
    <row r="14" spans="2:20" x14ac:dyDescent="0.35">
      <c r="B14" s="8"/>
      <c r="C14" s="45" t="s">
        <v>52</v>
      </c>
      <c r="D14" s="51">
        <v>5000</v>
      </c>
      <c r="E14" s="242" t="s">
        <v>145</v>
      </c>
      <c r="F14" s="364">
        <f>'Interim Rate Comp'!L14</f>
        <v>1.3739999999999999E-2</v>
      </c>
      <c r="G14" s="143" t="s">
        <v>174</v>
      </c>
      <c r="H14" s="8"/>
      <c r="I14" s="45" t="s">
        <v>52</v>
      </c>
      <c r="J14" s="51">
        <v>5000</v>
      </c>
      <c r="K14" s="242" t="s">
        <v>145</v>
      </c>
      <c r="L14" s="364">
        <f t="shared" ref="L14:L16" si="1">R14</f>
        <v>1.4149999999999999E-2</v>
      </c>
      <c r="M14" s="143" t="s">
        <v>174</v>
      </c>
      <c r="O14" s="61">
        <f t="shared" si="0"/>
        <v>1.3739999999999999E-2</v>
      </c>
      <c r="P14" s="61">
        <f t="shared" ref="P14:P16" si="2">ROUND(O$8*O14,5)</f>
        <v>4.0999999999999999E-4</v>
      </c>
      <c r="Q14" s="61">
        <f>Q13</f>
        <v>0</v>
      </c>
      <c r="R14" s="61">
        <f t="shared" ref="R14:R16" si="3">SUM(O14:Q14)</f>
        <v>1.4149999999999999E-2</v>
      </c>
      <c r="S14" s="61">
        <v>-1.0000000000000001E-5</v>
      </c>
    </row>
    <row r="15" spans="2:20" x14ac:dyDescent="0.35">
      <c r="B15" s="8"/>
      <c r="C15" s="45" t="s">
        <v>52</v>
      </c>
      <c r="D15" s="51">
        <v>15000</v>
      </c>
      <c r="E15" s="242" t="s">
        <v>145</v>
      </c>
      <c r="F15" s="364">
        <f>'Interim Rate Comp'!L15</f>
        <v>1.2669999999999999E-2</v>
      </c>
      <c r="G15" s="143" t="s">
        <v>174</v>
      </c>
      <c r="H15" s="8"/>
      <c r="I15" s="45" t="s">
        <v>52</v>
      </c>
      <c r="J15" s="51">
        <v>15000</v>
      </c>
      <c r="K15" s="242" t="s">
        <v>145</v>
      </c>
      <c r="L15" s="364">
        <f t="shared" si="1"/>
        <v>1.3049999999999999E-2</v>
      </c>
      <c r="M15" s="143" t="s">
        <v>174</v>
      </c>
      <c r="O15" s="61">
        <f t="shared" si="0"/>
        <v>1.2669999999999999E-2</v>
      </c>
      <c r="P15" s="61">
        <f t="shared" si="2"/>
        <v>3.8000000000000002E-4</v>
      </c>
      <c r="Q15" s="61">
        <f>Q13</f>
        <v>0</v>
      </c>
      <c r="R15" s="61">
        <f t="shared" si="3"/>
        <v>1.3049999999999999E-2</v>
      </c>
      <c r="S15" s="61"/>
    </row>
    <row r="16" spans="2:20" x14ac:dyDescent="0.35">
      <c r="B16" s="8"/>
      <c r="C16" s="45" t="s">
        <v>96</v>
      </c>
      <c r="D16" s="51">
        <v>15000</v>
      </c>
      <c r="E16" s="242" t="s">
        <v>145</v>
      </c>
      <c r="F16" s="364">
        <f>'Interim Rate Comp'!L16</f>
        <v>1.1599999999999999E-2</v>
      </c>
      <c r="G16" s="143" t="s">
        <v>174</v>
      </c>
      <c r="H16" s="8"/>
      <c r="I16" s="45" t="s">
        <v>96</v>
      </c>
      <c r="J16" s="51">
        <v>15000</v>
      </c>
      <c r="K16" s="242" t="s">
        <v>145</v>
      </c>
      <c r="L16" s="364">
        <f t="shared" si="1"/>
        <v>1.1949999999999999E-2</v>
      </c>
      <c r="M16" s="143" t="s">
        <v>174</v>
      </c>
      <c r="O16" s="61">
        <f t="shared" si="0"/>
        <v>1.1599999999999999E-2</v>
      </c>
      <c r="P16" s="61">
        <f t="shared" si="2"/>
        <v>3.5E-4</v>
      </c>
      <c r="Q16" s="61">
        <f>Q13</f>
        <v>0</v>
      </c>
      <c r="R16" s="61">
        <f t="shared" si="3"/>
        <v>1.1949999999999999E-2</v>
      </c>
      <c r="S16" s="61"/>
    </row>
    <row r="17" spans="2:19" x14ac:dyDescent="0.35">
      <c r="B17" s="8"/>
      <c r="C17"/>
      <c r="D17"/>
      <c r="E17" s="242"/>
      <c r="F17"/>
      <c r="G17" s="143"/>
      <c r="H17" s="8"/>
      <c r="I17"/>
      <c r="J17"/>
      <c r="K17" s="242"/>
      <c r="L17"/>
      <c r="M17" s="143"/>
      <c r="O17"/>
      <c r="P17"/>
      <c r="Q17"/>
      <c r="R17"/>
      <c r="S17"/>
    </row>
    <row r="18" spans="2:19" x14ac:dyDescent="0.35">
      <c r="B18" s="8"/>
      <c r="C18" s="72" t="s">
        <v>164</v>
      </c>
      <c r="D18"/>
      <c r="E18" s="242"/>
      <c r="F18"/>
      <c r="G18" s="143"/>
      <c r="H18" s="8"/>
      <c r="I18" s="72" t="s">
        <v>164</v>
      </c>
      <c r="J18"/>
      <c r="K18" s="242"/>
      <c r="L18"/>
      <c r="M18" s="143"/>
      <c r="O18"/>
      <c r="P18"/>
      <c r="Q18"/>
      <c r="R18"/>
      <c r="S18"/>
    </row>
    <row r="19" spans="2:19" x14ac:dyDescent="0.35">
      <c r="B19" s="8"/>
      <c r="C19" s="45" t="s">
        <v>51</v>
      </c>
      <c r="D19" s="51">
        <v>5000</v>
      </c>
      <c r="E19" s="242" t="s">
        <v>145</v>
      </c>
      <c r="F19" s="144">
        <f>'Interim Rate Comp'!L19</f>
        <v>84.72</v>
      </c>
      <c r="G19" s="143" t="s">
        <v>173</v>
      </c>
      <c r="H19" s="8"/>
      <c r="I19" s="45" t="s">
        <v>51</v>
      </c>
      <c r="J19" s="51">
        <v>5000</v>
      </c>
      <c r="K19" s="242" t="s">
        <v>145</v>
      </c>
      <c r="L19" s="144">
        <f>R19</f>
        <v>87.26</v>
      </c>
      <c r="M19" s="143" t="s">
        <v>173</v>
      </c>
      <c r="O19" s="144">
        <f t="shared" si="0"/>
        <v>84.72</v>
      </c>
      <c r="P19" s="144">
        <f>ROUND(O$8*O19,2)</f>
        <v>2.54</v>
      </c>
      <c r="Q19" s="61">
        <f>Q12</f>
        <v>0</v>
      </c>
      <c r="R19" s="144">
        <f>SUM(O19:Q19)</f>
        <v>87.26</v>
      </c>
      <c r="S19" s="144"/>
    </row>
    <row r="20" spans="2:19" x14ac:dyDescent="0.35">
      <c r="B20" s="8"/>
      <c r="C20" s="45" t="s">
        <v>52</v>
      </c>
      <c r="D20" s="51">
        <v>5000</v>
      </c>
      <c r="E20" s="242" t="s">
        <v>145</v>
      </c>
      <c r="F20" s="364">
        <f>'Interim Rate Comp'!L20</f>
        <v>1.3739999999999999E-2</v>
      </c>
      <c r="G20" s="143" t="s">
        <v>174</v>
      </c>
      <c r="H20" s="8"/>
      <c r="I20" s="45" t="s">
        <v>52</v>
      </c>
      <c r="J20" s="51">
        <v>5000</v>
      </c>
      <c r="K20" s="242" t="s">
        <v>145</v>
      </c>
      <c r="L20" s="364">
        <f t="shared" ref="L20:L22" si="4">R20</f>
        <v>1.4149999999999999E-2</v>
      </c>
      <c r="M20" s="143" t="s">
        <v>174</v>
      </c>
      <c r="O20" s="61">
        <f t="shared" si="0"/>
        <v>1.3739999999999999E-2</v>
      </c>
      <c r="P20" s="61">
        <f>P14</f>
        <v>4.0999999999999999E-4</v>
      </c>
      <c r="Q20" s="61">
        <f>Q13</f>
        <v>0</v>
      </c>
      <c r="R20" s="61">
        <f t="shared" ref="R20:R22" si="5">SUM(O20:Q20)</f>
        <v>1.4149999999999999E-2</v>
      </c>
      <c r="S20" s="61"/>
    </row>
    <row r="21" spans="2:19" x14ac:dyDescent="0.35">
      <c r="B21" s="8"/>
      <c r="C21" s="45" t="s">
        <v>52</v>
      </c>
      <c r="D21" s="51">
        <v>5000</v>
      </c>
      <c r="E21" s="242" t="s">
        <v>145</v>
      </c>
      <c r="F21" s="364">
        <f>'Interim Rate Comp'!L21</f>
        <v>1.2669999999999999E-2</v>
      </c>
      <c r="G21" s="143" t="s">
        <v>174</v>
      </c>
      <c r="H21" s="8"/>
      <c r="I21" s="45" t="s">
        <v>52</v>
      </c>
      <c r="J21" s="51">
        <v>5000</v>
      </c>
      <c r="K21" s="242" t="s">
        <v>145</v>
      </c>
      <c r="L21" s="364">
        <f t="shared" si="4"/>
        <v>1.3049999999999999E-2</v>
      </c>
      <c r="M21" s="143" t="s">
        <v>174</v>
      </c>
      <c r="O21" s="61">
        <f t="shared" si="0"/>
        <v>1.2669999999999999E-2</v>
      </c>
      <c r="P21" s="61">
        <f t="shared" ref="P21:P22" si="6">P15</f>
        <v>3.8000000000000002E-4</v>
      </c>
      <c r="Q21" s="61">
        <f>Q20</f>
        <v>0</v>
      </c>
      <c r="R21" s="61">
        <f t="shared" si="5"/>
        <v>1.3049999999999999E-2</v>
      </c>
      <c r="S21" s="61"/>
    </row>
    <row r="22" spans="2:19" x14ac:dyDescent="0.35">
      <c r="B22" s="8"/>
      <c r="C22" s="45" t="s">
        <v>96</v>
      </c>
      <c r="D22" s="51">
        <v>15000</v>
      </c>
      <c r="E22" s="242" t="s">
        <v>145</v>
      </c>
      <c r="F22" s="364">
        <f>'Interim Rate Comp'!L22</f>
        <v>1.1599999999999999E-2</v>
      </c>
      <c r="G22" s="143" t="s">
        <v>174</v>
      </c>
      <c r="H22" s="8"/>
      <c r="I22" s="45" t="s">
        <v>96</v>
      </c>
      <c r="J22" s="51">
        <v>15000</v>
      </c>
      <c r="K22" s="242" t="s">
        <v>145</v>
      </c>
      <c r="L22" s="364">
        <f t="shared" si="4"/>
        <v>1.1949999999999999E-2</v>
      </c>
      <c r="M22" s="143" t="s">
        <v>174</v>
      </c>
      <c r="O22" s="61">
        <f t="shared" si="0"/>
        <v>1.1599999999999999E-2</v>
      </c>
      <c r="P22" s="61">
        <f t="shared" si="6"/>
        <v>3.5E-4</v>
      </c>
      <c r="Q22" s="61">
        <f>Q21</f>
        <v>0</v>
      </c>
      <c r="R22" s="61">
        <f t="shared" si="5"/>
        <v>1.1949999999999999E-2</v>
      </c>
      <c r="S22" s="61"/>
    </row>
    <row r="23" spans="2:19" x14ac:dyDescent="0.35">
      <c r="B23" s="8"/>
      <c r="C23" s="45"/>
      <c r="D23" s="51"/>
      <c r="E23" s="242"/>
      <c r="F23" s="238"/>
      <c r="G23" s="143"/>
      <c r="H23" s="8"/>
      <c r="I23" s="45"/>
      <c r="J23" s="51"/>
      <c r="K23" s="242"/>
      <c r="L23" s="238"/>
      <c r="M23" s="143"/>
      <c r="O23" s="238"/>
      <c r="P23" s="238"/>
      <c r="Q23" s="238"/>
      <c r="R23" s="238"/>
      <c r="S23" s="238"/>
    </row>
    <row r="24" spans="2:19" x14ac:dyDescent="0.35">
      <c r="B24" s="8"/>
      <c r="C24" s="72" t="s">
        <v>165</v>
      </c>
      <c r="D24"/>
      <c r="E24" s="242"/>
      <c r="F24"/>
      <c r="G24" s="143"/>
      <c r="H24" s="8"/>
      <c r="I24" s="72" t="s">
        <v>165</v>
      </c>
      <c r="J24"/>
      <c r="K24" s="242"/>
      <c r="L24"/>
      <c r="M24" s="143"/>
      <c r="O24"/>
      <c r="P24"/>
      <c r="Q24"/>
      <c r="R24"/>
      <c r="S24"/>
    </row>
    <row r="25" spans="2:19" x14ac:dyDescent="0.35">
      <c r="B25" s="8"/>
      <c r="C25" s="45" t="s">
        <v>51</v>
      </c>
      <c r="D25" s="51">
        <v>15000</v>
      </c>
      <c r="E25" s="242" t="s">
        <v>145</v>
      </c>
      <c r="F25" s="144">
        <f>'Interim Rate Comp'!L25</f>
        <v>215.37</v>
      </c>
      <c r="G25" s="143" t="s">
        <v>173</v>
      </c>
      <c r="H25" s="8"/>
      <c r="I25" s="45" t="s">
        <v>51</v>
      </c>
      <c r="J25" s="51">
        <v>15000</v>
      </c>
      <c r="K25" s="242" t="s">
        <v>145</v>
      </c>
      <c r="L25" s="144">
        <f>R25</f>
        <v>221.82</v>
      </c>
      <c r="M25" s="143" t="s">
        <v>173</v>
      </c>
      <c r="O25" s="144">
        <f t="shared" si="0"/>
        <v>215.37</v>
      </c>
      <c r="P25" s="144">
        <f>ROUND(O$8*O25,2)</f>
        <v>6.45</v>
      </c>
      <c r="Q25" s="61">
        <f>Q12</f>
        <v>0</v>
      </c>
      <c r="R25" s="144">
        <f>SUM(O25:Q25)</f>
        <v>221.82</v>
      </c>
      <c r="S25" s="144"/>
    </row>
    <row r="26" spans="2:19" x14ac:dyDescent="0.35">
      <c r="B26" s="8"/>
      <c r="C26" s="45" t="s">
        <v>96</v>
      </c>
      <c r="D26" s="51">
        <v>15000</v>
      </c>
      <c r="E26" s="242" t="s">
        <v>145</v>
      </c>
      <c r="F26" s="364">
        <f>'Interim Rate Comp'!L26</f>
        <v>1.1599999999999999E-2</v>
      </c>
      <c r="G26" s="143" t="s">
        <v>174</v>
      </c>
      <c r="H26" s="8"/>
      <c r="I26" s="45" t="s">
        <v>96</v>
      </c>
      <c r="J26" s="51">
        <v>15000</v>
      </c>
      <c r="K26" s="242" t="s">
        <v>145</v>
      </c>
      <c r="L26" s="364">
        <f>R26</f>
        <v>1.1949999999999999E-2</v>
      </c>
      <c r="M26" s="143" t="s">
        <v>174</v>
      </c>
      <c r="O26" s="61">
        <f t="shared" si="0"/>
        <v>1.1599999999999999E-2</v>
      </c>
      <c r="P26" s="61">
        <f>P22</f>
        <v>3.5E-4</v>
      </c>
      <c r="Q26" s="61">
        <f>Q22</f>
        <v>0</v>
      </c>
      <c r="R26" s="61">
        <f>SUM(O26:Q26)</f>
        <v>1.1949999999999999E-2</v>
      </c>
      <c r="S26" s="61"/>
    </row>
    <row r="27" spans="2:19" x14ac:dyDescent="0.35">
      <c r="B27" s="8"/>
      <c r="C27"/>
      <c r="D27"/>
      <c r="E27" s="242"/>
      <c r="F27" s="61"/>
      <c r="G27" s="143"/>
      <c r="H27" s="8"/>
      <c r="I27"/>
      <c r="J27"/>
      <c r="K27" s="242"/>
      <c r="L27" s="61"/>
      <c r="M27" s="143"/>
      <c r="O27" s="61"/>
      <c r="P27" s="61"/>
      <c r="Q27" s="61"/>
      <c r="R27" s="61"/>
      <c r="S27" s="61"/>
    </row>
    <row r="28" spans="2:19" x14ac:dyDescent="0.35">
      <c r="B28" s="8"/>
      <c r="C28" s="72" t="s">
        <v>166</v>
      </c>
      <c r="D28"/>
      <c r="E28" s="242"/>
      <c r="F28" s="61"/>
      <c r="G28" s="143"/>
      <c r="H28" s="8"/>
      <c r="I28" s="72" t="s">
        <v>166</v>
      </c>
      <c r="J28"/>
      <c r="K28" s="242"/>
      <c r="L28" s="61"/>
      <c r="M28" s="143"/>
      <c r="O28" s="61"/>
      <c r="P28" s="61"/>
      <c r="Q28" s="61"/>
      <c r="R28" s="61"/>
      <c r="S28" s="61"/>
    </row>
    <row r="29" spans="2:19" x14ac:dyDescent="0.35">
      <c r="B29" s="8"/>
      <c r="C29" s="45" t="s">
        <v>51</v>
      </c>
      <c r="D29" s="51">
        <v>100000</v>
      </c>
      <c r="E29" s="242" t="s">
        <v>145</v>
      </c>
      <c r="F29" s="144">
        <f>'Interim Rate Comp'!L29</f>
        <v>1206.23</v>
      </c>
      <c r="G29" s="143" t="s">
        <v>173</v>
      </c>
      <c r="H29" s="8"/>
      <c r="I29" s="45" t="s">
        <v>51</v>
      </c>
      <c r="J29" s="51">
        <v>100000</v>
      </c>
      <c r="K29" s="242" t="s">
        <v>145</v>
      </c>
      <c r="L29" s="144">
        <f>R29</f>
        <v>1242.3700000000001</v>
      </c>
      <c r="M29" s="143" t="s">
        <v>173</v>
      </c>
      <c r="O29" s="144">
        <f t="shared" si="0"/>
        <v>1206.23</v>
      </c>
      <c r="P29" s="144">
        <f>ROUND(O$8*O29,2)</f>
        <v>36.14</v>
      </c>
      <c r="Q29" s="61">
        <f>Q12</f>
        <v>0</v>
      </c>
      <c r="R29" s="144">
        <f>SUM(O29:Q29)</f>
        <v>1242.3700000000001</v>
      </c>
      <c r="S29" s="144"/>
    </row>
    <row r="30" spans="2:19" x14ac:dyDescent="0.35">
      <c r="B30" s="8"/>
      <c r="C30" s="45" t="s">
        <v>96</v>
      </c>
      <c r="D30" s="51">
        <v>100000</v>
      </c>
      <c r="E30" s="242" t="s">
        <v>145</v>
      </c>
      <c r="F30" s="364">
        <f>'Interim Rate Comp'!L30</f>
        <v>1.1599999999999999E-2</v>
      </c>
      <c r="G30" s="143" t="s">
        <v>174</v>
      </c>
      <c r="H30" s="8"/>
      <c r="I30" s="45" t="s">
        <v>96</v>
      </c>
      <c r="J30" s="51">
        <v>100000</v>
      </c>
      <c r="K30" s="242" t="s">
        <v>145</v>
      </c>
      <c r="L30" s="364">
        <f>R30</f>
        <v>1.1949999999999999E-2</v>
      </c>
      <c r="M30" s="143" t="s">
        <v>174</v>
      </c>
      <c r="O30" s="61">
        <f t="shared" si="0"/>
        <v>1.1599999999999999E-2</v>
      </c>
      <c r="P30" s="61">
        <f>P22</f>
        <v>3.5E-4</v>
      </c>
      <c r="Q30" s="61">
        <f>Q26</f>
        <v>0</v>
      </c>
      <c r="R30" s="61">
        <f>SUM(O30:Q30)</f>
        <v>1.1949999999999999E-2</v>
      </c>
      <c r="S30" s="61"/>
    </row>
    <row r="31" spans="2:19" x14ac:dyDescent="0.35">
      <c r="B31" s="8"/>
      <c r="C31"/>
      <c r="D31"/>
      <c r="E31"/>
      <c r="F31" s="61"/>
      <c r="G31" s="143"/>
      <c r="H31" s="8"/>
      <c r="I31"/>
      <c r="J31"/>
      <c r="K31"/>
      <c r="M31" s="143"/>
      <c r="O31" s="61"/>
      <c r="P31" s="61"/>
      <c r="Q31" s="61"/>
      <c r="R31" s="61"/>
      <c r="S31" s="61"/>
    </row>
    <row r="32" spans="2:19" x14ac:dyDescent="0.35">
      <c r="B32" s="8"/>
      <c r="C32" s="72" t="s">
        <v>175</v>
      </c>
      <c r="D32"/>
      <c r="E32"/>
      <c r="F32" s="61"/>
      <c r="G32" s="143"/>
      <c r="H32" s="8"/>
      <c r="I32" s="72" t="s">
        <v>175</v>
      </c>
      <c r="J32"/>
      <c r="K32"/>
      <c r="M32" s="143"/>
      <c r="O32" s="61"/>
      <c r="P32" s="61"/>
      <c r="Q32" s="61"/>
      <c r="R32" s="61"/>
      <c r="S32" s="61"/>
    </row>
    <row r="33" spans="2:19" x14ac:dyDescent="0.35">
      <c r="B33" s="10"/>
      <c r="C33" s="47"/>
      <c r="D33" s="48"/>
      <c r="E33" s="48"/>
      <c r="F33" s="243">
        <f>'Interim Rate Comp'!L33</f>
        <v>5.6600000000000001E-3</v>
      </c>
      <c r="G33" s="241" t="s">
        <v>174</v>
      </c>
      <c r="H33" s="10"/>
      <c r="I33" s="80"/>
      <c r="J33" s="80"/>
      <c r="K33" s="80"/>
      <c r="L33" s="243">
        <f>R33</f>
        <v>5.8300000000000001E-3</v>
      </c>
      <c r="M33" s="241" t="s">
        <v>174</v>
      </c>
      <c r="O33" s="243">
        <f t="shared" si="0"/>
        <v>5.6600000000000001E-3</v>
      </c>
      <c r="P33" s="243">
        <f t="shared" ref="P33" si="7">ROUND(O$8*O33,5)</f>
        <v>1.7000000000000001E-4</v>
      </c>
      <c r="Q33" s="61">
        <v>0</v>
      </c>
      <c r="R33" s="61">
        <f>SUM(O33:Q33)</f>
        <v>5.8300000000000001E-3</v>
      </c>
      <c r="S33" s="243"/>
    </row>
  </sheetData>
  <mergeCells count="5">
    <mergeCell ref="C3:M3"/>
    <mergeCell ref="C4:M4"/>
    <mergeCell ref="C5:M5"/>
    <mergeCell ref="C8:G8"/>
    <mergeCell ref="I8:M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9930D-EC93-45EB-B6D4-2755571F2DB3}">
  <dimension ref="A1:P102"/>
  <sheetViews>
    <sheetView workbookViewId="0">
      <selection sqref="A1:K1"/>
    </sheetView>
  </sheetViews>
  <sheetFormatPr defaultColWidth="14.765625" defaultRowHeight="15.5" x14ac:dyDescent="0.35"/>
  <cols>
    <col min="8" max="9" width="14.765625" style="55"/>
  </cols>
  <sheetData>
    <row r="1" spans="1:14" ht="18.5" x14ac:dyDescent="0.45">
      <c r="A1" s="429" t="s">
        <v>500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147"/>
      <c r="M1" s="147"/>
      <c r="N1" s="147"/>
    </row>
    <row r="2" spans="1:14" ht="18.5" x14ac:dyDescent="0.35">
      <c r="A2" s="432" t="s">
        <v>160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146"/>
      <c r="M2" s="146"/>
      <c r="N2" s="146"/>
    </row>
    <row r="3" spans="1:14" x14ac:dyDescent="0.35">
      <c r="A3" s="437"/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1"/>
      <c r="M3" s="1"/>
      <c r="N3" s="1"/>
    </row>
    <row r="4" spans="1:14" ht="18.5" x14ac:dyDescent="0.45">
      <c r="A4" s="438" t="s">
        <v>93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147"/>
      <c r="M4" s="147"/>
      <c r="N4" s="147"/>
    </row>
    <row r="6" spans="1:14" x14ac:dyDescent="0.35">
      <c r="B6" s="72"/>
      <c r="C6" s="439" t="s">
        <v>161</v>
      </c>
      <c r="D6" s="439"/>
      <c r="F6" s="47" t="s">
        <v>162</v>
      </c>
      <c r="G6" s="47" t="s">
        <v>34</v>
      </c>
      <c r="H6" s="49" t="s">
        <v>32</v>
      </c>
      <c r="M6" s="27" t="s">
        <v>417</v>
      </c>
    </row>
    <row r="7" spans="1:14" x14ac:dyDescent="0.35">
      <c r="B7" s="72"/>
      <c r="C7" s="435" t="s">
        <v>163</v>
      </c>
      <c r="D7" s="435"/>
      <c r="F7" s="51">
        <f>D36</f>
        <v>35191</v>
      </c>
      <c r="G7" s="51">
        <f>E41</f>
        <v>106282790</v>
      </c>
      <c r="H7" s="148">
        <f>H41</f>
        <v>2201518.65</v>
      </c>
      <c r="M7" s="27" t="s">
        <v>418</v>
      </c>
    </row>
    <row r="8" spans="1:14" x14ac:dyDescent="0.35">
      <c r="B8" s="72"/>
      <c r="C8" s="436" t="s">
        <v>164</v>
      </c>
      <c r="D8" s="436"/>
      <c r="F8" s="51">
        <f>D56</f>
        <v>200</v>
      </c>
      <c r="G8" s="51">
        <f>E60</f>
        <v>1076140</v>
      </c>
      <c r="H8" s="150">
        <f>H60</f>
        <v>25465.83</v>
      </c>
      <c r="M8" s="27" t="s">
        <v>112</v>
      </c>
    </row>
    <row r="9" spans="1:14" x14ac:dyDescent="0.35">
      <c r="B9" s="72"/>
      <c r="C9" s="149" t="s">
        <v>165</v>
      </c>
      <c r="D9" s="149"/>
      <c r="F9" s="51">
        <f>D72</f>
        <v>96</v>
      </c>
      <c r="G9" s="51">
        <f>E74</f>
        <v>12676300</v>
      </c>
      <c r="H9" s="150">
        <f>H74</f>
        <v>158129.03</v>
      </c>
    </row>
    <row r="10" spans="1:14" x14ac:dyDescent="0.35">
      <c r="B10" s="72"/>
      <c r="C10" s="149" t="s">
        <v>166</v>
      </c>
      <c r="D10" s="149"/>
      <c r="F10" s="51">
        <f>D86</f>
        <v>12</v>
      </c>
      <c r="G10" s="51">
        <f>E88</f>
        <v>1136710</v>
      </c>
      <c r="H10" s="150">
        <f>H88</f>
        <v>19142.68</v>
      </c>
    </row>
    <row r="11" spans="1:14" x14ac:dyDescent="0.35">
      <c r="B11" s="72"/>
      <c r="C11" s="149" t="s">
        <v>167</v>
      </c>
      <c r="D11" s="149"/>
      <c r="F11" s="48">
        <f>D100</f>
        <v>12</v>
      </c>
      <c r="G11" s="48">
        <f>E101</f>
        <v>6280000</v>
      </c>
      <c r="H11" s="151">
        <f>H101</f>
        <v>36612.400000000001</v>
      </c>
    </row>
    <row r="12" spans="1:14" x14ac:dyDescent="0.35">
      <c r="B12" s="72"/>
      <c r="C12" s="149" t="s">
        <v>168</v>
      </c>
      <c r="D12" s="149"/>
      <c r="F12" s="51">
        <f>SUM(F7:F11)</f>
        <v>35511</v>
      </c>
      <c r="G12" s="51">
        <f>SUM(G7:G11)</f>
        <v>127451940</v>
      </c>
      <c r="H12" s="150">
        <f>SUM(H7:H11)</f>
        <v>2440868.59</v>
      </c>
    </row>
    <row r="13" spans="1:14" x14ac:dyDescent="0.35">
      <c r="B13" s="72"/>
      <c r="C13" s="149" t="s">
        <v>169</v>
      </c>
      <c r="D13" s="149"/>
      <c r="F13" s="45"/>
      <c r="G13" s="45"/>
      <c r="H13" s="151">
        <f>-ROUND('BA Adj'!B5,0)</f>
        <v>-12088</v>
      </c>
    </row>
    <row r="14" spans="1:14" x14ac:dyDescent="0.35">
      <c r="B14" s="72"/>
      <c r="C14" s="149" t="s">
        <v>170</v>
      </c>
      <c r="D14" s="149"/>
      <c r="F14" s="45"/>
      <c r="G14" s="45"/>
      <c r="H14" s="150">
        <f>SUM(H12:H13)</f>
        <v>2428780.59</v>
      </c>
    </row>
    <row r="15" spans="1:14" x14ac:dyDescent="0.35">
      <c r="B15" s="72"/>
      <c r="C15" s="245" t="s">
        <v>299</v>
      </c>
      <c r="D15" s="149"/>
      <c r="F15" s="45"/>
      <c r="G15" s="45"/>
      <c r="H15" s="151">
        <f>-'PropBA - Interim Rates'!H14</f>
        <v>-2357785.2600000002</v>
      </c>
    </row>
    <row r="16" spans="1:14" ht="16" thickBot="1" x14ac:dyDescent="0.4">
      <c r="B16" s="72"/>
      <c r="C16" s="152" t="s">
        <v>171</v>
      </c>
      <c r="D16" s="152"/>
      <c r="H16" s="153">
        <f>SUM(H14:H15)</f>
        <v>70995.329999999609</v>
      </c>
    </row>
    <row r="17" spans="1:16" ht="16" thickTop="1" x14ac:dyDescent="0.35">
      <c r="B17" s="72"/>
      <c r="C17" s="152"/>
      <c r="D17" s="152"/>
      <c r="H17" s="246"/>
    </row>
    <row r="18" spans="1:16" x14ac:dyDescent="0.35">
      <c r="B18" s="72"/>
      <c r="C18" s="27" t="s">
        <v>502</v>
      </c>
      <c r="D18" s="152"/>
      <c r="H18" s="150">
        <f>H14</f>
        <v>2428780.59</v>
      </c>
    </row>
    <row r="19" spans="1:16" x14ac:dyDescent="0.35">
      <c r="B19" s="72"/>
      <c r="C19" s="27" t="s">
        <v>418</v>
      </c>
      <c r="D19" s="152"/>
      <c r="H19" s="151">
        <f>-'Working Capital Phas-In'!N6</f>
        <v>-2426971.6902000001</v>
      </c>
    </row>
    <row r="20" spans="1:16" ht="16" thickBot="1" x14ac:dyDescent="0.4">
      <c r="B20" s="72"/>
      <c r="C20" s="27" t="s">
        <v>112</v>
      </c>
      <c r="D20" s="152"/>
      <c r="H20" s="153">
        <f>SUM(H18:H19)</f>
        <v>1808.899799999781</v>
      </c>
    </row>
    <row r="21" spans="1:16" ht="16" thickTop="1" x14ac:dyDescent="0.35">
      <c r="B21" s="72"/>
    </row>
    <row r="22" spans="1:16" x14ac:dyDescent="0.35">
      <c r="B22" s="72"/>
    </row>
    <row r="23" spans="1:16" x14ac:dyDescent="0.35">
      <c r="A23" t="s">
        <v>172</v>
      </c>
      <c r="B23" s="62" t="s">
        <v>295</v>
      </c>
    </row>
    <row r="24" spans="1:16" x14ac:dyDescent="0.35">
      <c r="B24" s="45"/>
      <c r="C24" s="45"/>
      <c r="D24" s="45"/>
      <c r="E24" s="45"/>
      <c r="F24" s="45" t="s">
        <v>51</v>
      </c>
      <c r="G24" s="45" t="s">
        <v>52</v>
      </c>
      <c r="H24" s="46" t="s">
        <v>52</v>
      </c>
      <c r="I24" s="46" t="s">
        <v>52</v>
      </c>
      <c r="J24" s="45" t="s">
        <v>96</v>
      </c>
      <c r="K24" s="45" t="s">
        <v>57</v>
      </c>
      <c r="L24" s="45"/>
      <c r="M24" s="45"/>
      <c r="N24" s="45"/>
    </row>
    <row r="25" spans="1:16" x14ac:dyDescent="0.35">
      <c r="B25" s="45"/>
      <c r="C25" s="47" t="s">
        <v>143</v>
      </c>
      <c r="D25" s="47" t="s">
        <v>144</v>
      </c>
      <c r="E25" s="47" t="s">
        <v>145</v>
      </c>
      <c r="F25" s="154">
        <f>C26</f>
        <v>2000</v>
      </c>
      <c r="G25" s="48">
        <f>C27</f>
        <v>3000</v>
      </c>
      <c r="H25" s="49">
        <f>C29</f>
        <v>5000</v>
      </c>
      <c r="I25" s="49">
        <f>C29</f>
        <v>5000</v>
      </c>
      <c r="J25" s="50">
        <f>SUM(F25:H25)</f>
        <v>10000</v>
      </c>
      <c r="K25" s="47"/>
      <c r="L25" s="45"/>
      <c r="M25" s="45"/>
      <c r="N25" s="45"/>
    </row>
    <row r="26" spans="1:16" x14ac:dyDescent="0.35">
      <c r="B26" s="45" t="s">
        <v>51</v>
      </c>
      <c r="C26" s="46">
        <v>2000</v>
      </c>
      <c r="D26" s="51">
        <v>14898</v>
      </c>
      <c r="E26" s="51">
        <v>14083390</v>
      </c>
      <c r="F26" s="51">
        <f>E26</f>
        <v>14083390</v>
      </c>
      <c r="G26" s="51">
        <v>0</v>
      </c>
      <c r="H26" s="52">
        <v>0</v>
      </c>
      <c r="I26" s="52"/>
      <c r="J26" s="51">
        <v>0</v>
      </c>
      <c r="K26" s="51">
        <f>SUM(F26:J26)</f>
        <v>14083390</v>
      </c>
      <c r="L26" s="51"/>
      <c r="M26" s="51"/>
      <c r="N26" s="51"/>
    </row>
    <row r="27" spans="1:16" x14ac:dyDescent="0.35">
      <c r="B27" s="45" t="s">
        <v>52</v>
      </c>
      <c r="C27" s="46">
        <v>3000</v>
      </c>
      <c r="D27" s="51">
        <v>15472</v>
      </c>
      <c r="E27" s="51">
        <v>49891280</v>
      </c>
      <c r="F27" s="51">
        <f>$D27*F$25</f>
        <v>30944000</v>
      </c>
      <c r="G27" s="51">
        <f>E27-F27</f>
        <v>18947280</v>
      </c>
      <c r="H27" s="52">
        <v>0</v>
      </c>
      <c r="I27" s="52"/>
      <c r="J27" s="51">
        <v>0</v>
      </c>
      <c r="K27" s="51">
        <f t="shared" ref="K27:K30" si="0">SUM(F27:J27)</f>
        <v>49891280</v>
      </c>
      <c r="L27" s="51"/>
      <c r="M27" s="51"/>
      <c r="N27" s="51"/>
      <c r="O27" s="51">
        <f>SUM(G27:K27)</f>
        <v>68838560</v>
      </c>
      <c r="P27" s="51">
        <f>SUM(H27:O27)</f>
        <v>118729840</v>
      </c>
    </row>
    <row r="28" spans="1:16" x14ac:dyDescent="0.35">
      <c r="B28" s="45" t="s">
        <v>52</v>
      </c>
      <c r="C28" s="46">
        <v>5000</v>
      </c>
      <c r="D28" s="51">
        <v>3998</v>
      </c>
      <c r="E28" s="51">
        <v>26273360</v>
      </c>
      <c r="F28" s="51">
        <f>$D28*F$25</f>
        <v>7996000</v>
      </c>
      <c r="G28" s="51">
        <f>$D28*G$25</f>
        <v>11994000</v>
      </c>
      <c r="H28" s="52">
        <f>E28-F28-G28</f>
        <v>6283360</v>
      </c>
      <c r="I28" s="52"/>
      <c r="J28" s="51"/>
      <c r="K28" s="51">
        <f t="shared" si="0"/>
        <v>26273360</v>
      </c>
      <c r="L28" s="51"/>
      <c r="M28" s="51"/>
      <c r="N28" s="51"/>
    </row>
    <row r="29" spans="1:16" x14ac:dyDescent="0.35">
      <c r="B29" s="45" t="s">
        <v>52</v>
      </c>
      <c r="C29" s="46">
        <v>5000</v>
      </c>
      <c r="D29" s="51">
        <v>504</v>
      </c>
      <c r="E29" s="51">
        <v>5985670</v>
      </c>
      <c r="F29" s="51">
        <f t="shared" ref="F29:I30" si="1">$D29*F$25</f>
        <v>1008000</v>
      </c>
      <c r="G29" s="51">
        <f t="shared" si="1"/>
        <v>1512000</v>
      </c>
      <c r="H29" s="51">
        <f t="shared" si="1"/>
        <v>2520000</v>
      </c>
      <c r="I29" s="51">
        <f>E29-F29-G29-H29</f>
        <v>945670</v>
      </c>
      <c r="J29" s="51">
        <v>0</v>
      </c>
      <c r="K29" s="51">
        <f t="shared" si="0"/>
        <v>5985670</v>
      </c>
      <c r="L29" s="51"/>
      <c r="M29" s="51"/>
      <c r="N29" s="51"/>
    </row>
    <row r="30" spans="1:16" x14ac:dyDescent="0.35">
      <c r="B30" s="45" t="s">
        <v>96</v>
      </c>
      <c r="C30" s="46">
        <f>SUM(C26:C29)</f>
        <v>15000</v>
      </c>
      <c r="D30" s="51">
        <v>319</v>
      </c>
      <c r="E30" s="51">
        <v>10049090</v>
      </c>
      <c r="F30" s="51">
        <f t="shared" si="1"/>
        <v>638000</v>
      </c>
      <c r="G30" s="51">
        <f t="shared" si="1"/>
        <v>957000</v>
      </c>
      <c r="H30" s="51">
        <f t="shared" si="1"/>
        <v>1595000</v>
      </c>
      <c r="I30" s="51">
        <f t="shared" si="1"/>
        <v>1595000</v>
      </c>
      <c r="J30" s="51">
        <f>E30-F30-G30-H30-I30</f>
        <v>5264090</v>
      </c>
      <c r="K30" s="51">
        <f t="shared" si="0"/>
        <v>10049090</v>
      </c>
      <c r="L30" s="51"/>
      <c r="M30" s="51"/>
      <c r="N30" s="51"/>
    </row>
    <row r="31" spans="1:16" ht="16" thickBot="1" x14ac:dyDescent="0.4">
      <c r="B31" s="45"/>
      <c r="C31" t="s">
        <v>0</v>
      </c>
      <c r="D31" s="53">
        <f t="shared" ref="D31:K31" si="2">SUM(D26:D30)</f>
        <v>35191</v>
      </c>
      <c r="E31" s="53">
        <f t="shared" si="2"/>
        <v>106282790</v>
      </c>
      <c r="F31" s="53">
        <f t="shared" si="2"/>
        <v>54669390</v>
      </c>
      <c r="G31" s="53">
        <f t="shared" si="2"/>
        <v>33410280</v>
      </c>
      <c r="H31" s="54">
        <f t="shared" si="2"/>
        <v>10398360</v>
      </c>
      <c r="I31" s="54">
        <f t="shared" si="2"/>
        <v>2540670</v>
      </c>
      <c r="J31" s="53">
        <f t="shared" si="2"/>
        <v>5264090</v>
      </c>
      <c r="K31" s="53">
        <f t="shared" si="2"/>
        <v>106282790</v>
      </c>
      <c r="L31" s="57"/>
      <c r="M31" s="57"/>
      <c r="N31" s="57"/>
    </row>
    <row r="32" spans="1:16" ht="16" thickTop="1" x14ac:dyDescent="0.35"/>
    <row r="34" spans="1:16" x14ac:dyDescent="0.35">
      <c r="B34" s="434" t="s">
        <v>146</v>
      </c>
      <c r="C34" s="434"/>
      <c r="D34" s="434"/>
      <c r="E34" s="434"/>
      <c r="F34" s="434"/>
      <c r="G34" s="434"/>
      <c r="H34" s="434"/>
    </row>
    <row r="35" spans="1:16" x14ac:dyDescent="0.35">
      <c r="C35" s="56"/>
      <c r="D35" s="155" t="s">
        <v>144</v>
      </c>
      <c r="E35" s="155" t="s">
        <v>145</v>
      </c>
      <c r="F35" s="434" t="s">
        <v>147</v>
      </c>
      <c r="G35" s="434"/>
      <c r="H35" s="155" t="s">
        <v>32</v>
      </c>
    </row>
    <row r="36" spans="1:16" x14ac:dyDescent="0.35">
      <c r="B36" s="45" t="s">
        <v>51</v>
      </c>
      <c r="C36" s="51">
        <f>C26</f>
        <v>2000</v>
      </c>
      <c r="D36" s="57">
        <f>D31</f>
        <v>35191</v>
      </c>
      <c r="E36" s="57">
        <f>F31</f>
        <v>54669390</v>
      </c>
      <c r="F36" s="58">
        <f>'Year 1 Rate Comp'!L12</f>
        <v>41.17</v>
      </c>
      <c r="G36" t="s">
        <v>173</v>
      </c>
      <c r="H36" s="58">
        <f>F36*D36</f>
        <v>1448813.47</v>
      </c>
    </row>
    <row r="37" spans="1:16" x14ac:dyDescent="0.35">
      <c r="B37" s="45" t="s">
        <v>52</v>
      </c>
      <c r="C37" s="51">
        <f>C27</f>
        <v>3000</v>
      </c>
      <c r="E37" s="57">
        <f>G31</f>
        <v>33410280</v>
      </c>
      <c r="F37" s="156">
        <f>'Year 1 Rate Comp'!L13</f>
        <v>1.525E-2</v>
      </c>
      <c r="G37" t="s">
        <v>174</v>
      </c>
      <c r="H37" s="157">
        <f>ROUND(E37*F37,2)</f>
        <v>509506.77</v>
      </c>
      <c r="P37" s="158">
        <v>11.86</v>
      </c>
    </row>
    <row r="38" spans="1:16" x14ac:dyDescent="0.35">
      <c r="B38" s="45" t="s">
        <v>52</v>
      </c>
      <c r="C38" s="51">
        <f>C29</f>
        <v>5000</v>
      </c>
      <c r="E38" s="57">
        <f>H31</f>
        <v>10398360</v>
      </c>
      <c r="F38" s="156">
        <f>'Year 1 Rate Comp'!L14</f>
        <v>1.4149999999999999E-2</v>
      </c>
      <c r="G38" t="s">
        <v>174</v>
      </c>
      <c r="H38" s="157">
        <f>ROUND(E38*F38,2)</f>
        <v>147136.79</v>
      </c>
      <c r="P38" s="158">
        <v>11</v>
      </c>
    </row>
    <row r="39" spans="1:16" x14ac:dyDescent="0.35">
      <c r="B39" s="45" t="s">
        <v>52</v>
      </c>
      <c r="C39" s="51">
        <v>5000</v>
      </c>
      <c r="E39" s="57">
        <f>I31</f>
        <v>2540670</v>
      </c>
      <c r="F39" s="156">
        <f>'Year 1 Rate Comp'!L15</f>
        <v>1.3049999999999999E-2</v>
      </c>
      <c r="G39" t="s">
        <v>174</v>
      </c>
      <c r="H39" s="157">
        <f>ROUND(E39*F39,2)</f>
        <v>33155.74</v>
      </c>
      <c r="P39" s="158">
        <v>10.15</v>
      </c>
    </row>
    <row r="40" spans="1:16" x14ac:dyDescent="0.35">
      <c r="B40" s="45" t="s">
        <v>96</v>
      </c>
      <c r="C40" s="51">
        <f>C30</f>
        <v>15000</v>
      </c>
      <c r="D40" s="56"/>
      <c r="E40" s="59">
        <f>J30</f>
        <v>5264090</v>
      </c>
      <c r="F40" s="156">
        <f>'Year 1 Rate Comp'!L16</f>
        <v>1.1949999999999999E-2</v>
      </c>
      <c r="G40" t="s">
        <v>174</v>
      </c>
      <c r="H40" s="157">
        <f>ROUND(E40*F40,2)</f>
        <v>62905.88</v>
      </c>
      <c r="P40" s="158">
        <v>9.2899999999999991</v>
      </c>
    </row>
    <row r="41" spans="1:16" ht="16" thickBot="1" x14ac:dyDescent="0.4">
      <c r="C41" t="s">
        <v>35</v>
      </c>
      <c r="E41" s="53">
        <f>SUM(E36:E40)</f>
        <v>106282790</v>
      </c>
      <c r="H41" s="159">
        <f>SUM(H36:H40)</f>
        <v>2201518.65</v>
      </c>
      <c r="K41" t="s">
        <v>148</v>
      </c>
    </row>
    <row r="42" spans="1:16" ht="16" thickTop="1" x14ac:dyDescent="0.35"/>
    <row r="44" spans="1:16" x14ac:dyDescent="0.35">
      <c r="A44" t="s">
        <v>172</v>
      </c>
      <c r="B44" s="72" t="s">
        <v>164</v>
      </c>
      <c r="I44"/>
    </row>
    <row r="45" spans="1:16" x14ac:dyDescent="0.35">
      <c r="B45" s="45"/>
      <c r="C45" s="45"/>
      <c r="D45" s="45"/>
      <c r="E45" s="45"/>
      <c r="F45" s="45" t="s">
        <v>51</v>
      </c>
      <c r="G45" s="45" t="s">
        <v>52</v>
      </c>
      <c r="H45" s="46" t="s">
        <v>52</v>
      </c>
      <c r="I45" s="45" t="s">
        <v>96</v>
      </c>
      <c r="J45" s="45" t="s">
        <v>57</v>
      </c>
    </row>
    <row r="46" spans="1:16" x14ac:dyDescent="0.35">
      <c r="B46" s="45"/>
      <c r="C46" s="47" t="s">
        <v>143</v>
      </c>
      <c r="D46" s="47" t="s">
        <v>144</v>
      </c>
      <c r="E46" s="47" t="s">
        <v>145</v>
      </c>
      <c r="F46" s="48">
        <f>C47</f>
        <v>5000</v>
      </c>
      <c r="G46" s="48">
        <f>C48</f>
        <v>5000</v>
      </c>
      <c r="H46" s="49">
        <f>C48</f>
        <v>5000</v>
      </c>
      <c r="I46" s="50">
        <f>SUM(F46:H46)</f>
        <v>15000</v>
      </c>
      <c r="J46" s="47"/>
    </row>
    <row r="47" spans="1:16" x14ac:dyDescent="0.35">
      <c r="B47" s="45" t="s">
        <v>51</v>
      </c>
      <c r="C47" s="46">
        <v>5000</v>
      </c>
      <c r="D47" s="51">
        <v>173</v>
      </c>
      <c r="E47" s="51">
        <v>291950</v>
      </c>
      <c r="F47" s="51">
        <f>E47</f>
        <v>291950</v>
      </c>
      <c r="G47" s="51">
        <v>0</v>
      </c>
      <c r="H47" s="52">
        <v>0</v>
      </c>
      <c r="I47" s="51">
        <v>0</v>
      </c>
      <c r="J47" s="51">
        <f>SUM(F47:I47)</f>
        <v>291950</v>
      </c>
    </row>
    <row r="48" spans="1:16" x14ac:dyDescent="0.35">
      <c r="B48" s="45" t="s">
        <v>52</v>
      </c>
      <c r="C48" s="46">
        <v>5000</v>
      </c>
      <c r="D48" s="51">
        <v>15</v>
      </c>
      <c r="E48" s="51">
        <v>103990</v>
      </c>
      <c r="F48" s="51">
        <f>$D48*F$46</f>
        <v>75000</v>
      </c>
      <c r="G48" s="51">
        <f>E48-F48</f>
        <v>28990</v>
      </c>
      <c r="H48" s="52">
        <v>0</v>
      </c>
      <c r="I48" s="51">
        <v>0</v>
      </c>
      <c r="J48" s="51">
        <f>SUM(F48:I48)</f>
        <v>103990</v>
      </c>
      <c r="K48" s="51"/>
      <c r="L48" s="51"/>
      <c r="M48" s="51"/>
      <c r="N48" s="51"/>
      <c r="O48" s="51"/>
    </row>
    <row r="49" spans="1:16" x14ac:dyDescent="0.35">
      <c r="B49" s="45" t="s">
        <v>52</v>
      </c>
      <c r="C49" s="46">
        <v>5000</v>
      </c>
      <c r="D49" s="51">
        <v>2</v>
      </c>
      <c r="E49" s="51">
        <v>24750</v>
      </c>
      <c r="F49" s="51">
        <f t="shared" ref="F49:F50" si="3">$D49*F$46</f>
        <v>10000</v>
      </c>
      <c r="G49" s="51">
        <f>$D49*G$46</f>
        <v>10000</v>
      </c>
      <c r="H49" s="52">
        <f>E49-F49-G49</f>
        <v>4750</v>
      </c>
      <c r="I49" s="51"/>
      <c r="J49" s="51">
        <f>SUM(F49:I49)</f>
        <v>24750</v>
      </c>
    </row>
    <row r="50" spans="1:16" x14ac:dyDescent="0.35">
      <c r="B50" s="45" t="s">
        <v>96</v>
      </c>
      <c r="C50" s="46">
        <f>SUM(C47:C49)</f>
        <v>15000</v>
      </c>
      <c r="D50" s="51">
        <v>10</v>
      </c>
      <c r="E50" s="51">
        <v>655450</v>
      </c>
      <c r="F50" s="51">
        <f t="shared" si="3"/>
        <v>50000</v>
      </c>
      <c r="G50" s="51">
        <f>$D50*G$46</f>
        <v>50000</v>
      </c>
      <c r="H50" s="51">
        <f>$D50*H$46</f>
        <v>50000</v>
      </c>
      <c r="I50" s="51">
        <f>E50-F50-G50-H50</f>
        <v>505450</v>
      </c>
      <c r="J50" s="51">
        <f>SUM(F50:I50)</f>
        <v>655450</v>
      </c>
    </row>
    <row r="51" spans="1:16" ht="16" thickBot="1" x14ac:dyDescent="0.4">
      <c r="B51" s="45"/>
      <c r="C51" t="s">
        <v>0</v>
      </c>
      <c r="D51" s="53">
        <f t="shared" ref="D51:J51" si="4">SUM(D47:D50)</f>
        <v>200</v>
      </c>
      <c r="E51" s="53">
        <f t="shared" si="4"/>
        <v>1076140</v>
      </c>
      <c r="F51" s="53">
        <f t="shared" si="4"/>
        <v>426950</v>
      </c>
      <c r="G51" s="53">
        <f t="shared" si="4"/>
        <v>88990</v>
      </c>
      <c r="H51" s="54">
        <f t="shared" si="4"/>
        <v>54750</v>
      </c>
      <c r="I51" s="53">
        <f t="shared" si="4"/>
        <v>505450</v>
      </c>
      <c r="J51" s="53">
        <f t="shared" si="4"/>
        <v>1076140</v>
      </c>
    </row>
    <row r="52" spans="1:16" ht="16" thickTop="1" x14ac:dyDescent="0.35">
      <c r="I52"/>
    </row>
    <row r="53" spans="1:16" x14ac:dyDescent="0.35">
      <c r="I53"/>
    </row>
    <row r="54" spans="1:16" x14ac:dyDescent="0.35">
      <c r="B54" s="434" t="s">
        <v>146</v>
      </c>
      <c r="C54" s="434"/>
      <c r="D54" s="434"/>
      <c r="E54" s="434"/>
      <c r="F54" s="434"/>
      <c r="G54" s="434"/>
      <c r="H54" s="434"/>
      <c r="I54"/>
    </row>
    <row r="55" spans="1:16" x14ac:dyDescent="0.35">
      <c r="C55" s="56"/>
      <c r="D55" s="155" t="s">
        <v>144</v>
      </c>
      <c r="E55" s="155" t="s">
        <v>145</v>
      </c>
      <c r="F55" s="434" t="s">
        <v>147</v>
      </c>
      <c r="G55" s="434"/>
      <c r="H55" s="155" t="s">
        <v>32</v>
      </c>
      <c r="I55"/>
    </row>
    <row r="56" spans="1:16" x14ac:dyDescent="0.35">
      <c r="B56" s="45" t="s">
        <v>51</v>
      </c>
      <c r="C56" s="51">
        <f>C47</f>
        <v>5000</v>
      </c>
      <c r="D56" s="57">
        <f>D51</f>
        <v>200</v>
      </c>
      <c r="E56" s="57">
        <f>F51</f>
        <v>426950</v>
      </c>
      <c r="F56" s="58">
        <f>'Year 1 Rate Comp'!L19</f>
        <v>87.26</v>
      </c>
      <c r="G56" t="s">
        <v>173</v>
      </c>
      <c r="H56" s="58">
        <f>F56*D56</f>
        <v>17452</v>
      </c>
      <c r="I56"/>
    </row>
    <row r="57" spans="1:16" x14ac:dyDescent="0.35">
      <c r="B57" s="45" t="s">
        <v>52</v>
      </c>
      <c r="C57" s="51">
        <f>C48</f>
        <v>5000</v>
      </c>
      <c r="E57" s="57">
        <f>G51</f>
        <v>88990</v>
      </c>
      <c r="F57" s="156">
        <f>'Year 1 Rate Comp'!L20</f>
        <v>1.4149999999999999E-2</v>
      </c>
      <c r="G57" t="s">
        <v>174</v>
      </c>
      <c r="H57" s="157">
        <f>ROUND(E57*F57,2)</f>
        <v>1259.21</v>
      </c>
      <c r="I57"/>
      <c r="P57" s="158">
        <v>11</v>
      </c>
    </row>
    <row r="58" spans="1:16" x14ac:dyDescent="0.35">
      <c r="B58" s="45" t="s">
        <v>52</v>
      </c>
      <c r="C58" s="51">
        <f>C49</f>
        <v>5000</v>
      </c>
      <c r="E58" s="57">
        <f>H51</f>
        <v>54750</v>
      </c>
      <c r="F58" s="156">
        <f>'Year 1 Rate Comp'!L21</f>
        <v>1.3049999999999999E-2</v>
      </c>
      <c r="G58" t="s">
        <v>174</v>
      </c>
      <c r="H58" s="157">
        <f>ROUND(E58*F58,2)</f>
        <v>714.49</v>
      </c>
      <c r="I58"/>
      <c r="P58" s="158">
        <v>10.15</v>
      </c>
    </row>
    <row r="59" spans="1:16" x14ac:dyDescent="0.35">
      <c r="B59" s="45" t="s">
        <v>96</v>
      </c>
      <c r="C59" s="51">
        <f>C50</f>
        <v>15000</v>
      </c>
      <c r="D59" s="56"/>
      <c r="E59" s="59">
        <f>I50</f>
        <v>505450</v>
      </c>
      <c r="F59" s="156">
        <f>'Year 1 Rate Comp'!L22</f>
        <v>1.1949999999999999E-2</v>
      </c>
      <c r="G59" t="s">
        <v>174</v>
      </c>
      <c r="H59" s="157">
        <f>ROUND(E59*F59,2)</f>
        <v>6040.13</v>
      </c>
      <c r="I59"/>
      <c r="P59" s="158">
        <v>9.2899999999999991</v>
      </c>
    </row>
    <row r="60" spans="1:16" ht="16" thickBot="1" x14ac:dyDescent="0.4">
      <c r="C60" t="s">
        <v>35</v>
      </c>
      <c r="E60" s="53">
        <f>SUM(E56:E59)</f>
        <v>1076140</v>
      </c>
      <c r="H60" s="159">
        <f>SUM(H56:H59)</f>
        <v>25465.83</v>
      </c>
      <c r="I60"/>
      <c r="J60" t="s">
        <v>148</v>
      </c>
    </row>
    <row r="61" spans="1:16" ht="16" thickTop="1" x14ac:dyDescent="0.35"/>
    <row r="62" spans="1:16" x14ac:dyDescent="0.35">
      <c r="A62" t="s">
        <v>172</v>
      </c>
      <c r="B62" s="72" t="s">
        <v>165</v>
      </c>
      <c r="H62"/>
      <c r="I62"/>
    </row>
    <row r="63" spans="1:16" x14ac:dyDescent="0.35">
      <c r="B63" s="45"/>
      <c r="C63" s="45"/>
      <c r="D63" s="45"/>
      <c r="E63" s="45"/>
      <c r="F63" s="45" t="s">
        <v>51</v>
      </c>
      <c r="G63" s="45" t="s">
        <v>96</v>
      </c>
      <c r="H63" s="45" t="s">
        <v>57</v>
      </c>
      <c r="I63"/>
    </row>
    <row r="64" spans="1:16" x14ac:dyDescent="0.35">
      <c r="B64" s="45"/>
      <c r="C64" s="47" t="s">
        <v>143</v>
      </c>
      <c r="D64" s="47" t="s">
        <v>144</v>
      </c>
      <c r="E64" s="47" t="s">
        <v>145</v>
      </c>
      <c r="F64" s="48">
        <f>C65</f>
        <v>15000</v>
      </c>
      <c r="G64" s="50">
        <f>SUM(F64:F64)</f>
        <v>15000</v>
      </c>
      <c r="H64" s="47"/>
      <c r="I64"/>
    </row>
    <row r="65" spans="1:16" x14ac:dyDescent="0.35">
      <c r="B65" s="45" t="s">
        <v>51</v>
      </c>
      <c r="C65" s="46">
        <v>15000</v>
      </c>
      <c r="D65" s="51">
        <v>24</v>
      </c>
      <c r="E65" s="51">
        <v>145730</v>
      </c>
      <c r="F65" s="51">
        <f>E65</f>
        <v>145730</v>
      </c>
      <c r="G65" s="51">
        <v>0</v>
      </c>
      <c r="H65" s="51">
        <f>SUM(F65:G65)</f>
        <v>145730</v>
      </c>
      <c r="I65"/>
    </row>
    <row r="66" spans="1:16" x14ac:dyDescent="0.35">
      <c r="B66" s="45" t="s">
        <v>96</v>
      </c>
      <c r="C66" s="46">
        <f>SUM(C65:C65)</f>
        <v>15000</v>
      </c>
      <c r="D66" s="51">
        <v>72</v>
      </c>
      <c r="E66" s="51">
        <v>12530570</v>
      </c>
      <c r="F66" s="51">
        <f>$D66*F$64</f>
        <v>1080000</v>
      </c>
      <c r="G66" s="51">
        <f>E66-F66</f>
        <v>11450570</v>
      </c>
      <c r="H66" s="51">
        <f>SUM(F66:G66)</f>
        <v>12530570</v>
      </c>
      <c r="I66"/>
    </row>
    <row r="67" spans="1:16" ht="16" thickBot="1" x14ac:dyDescent="0.4">
      <c r="B67" s="45"/>
      <c r="C67" t="s">
        <v>0</v>
      </c>
      <c r="D67" s="53">
        <f>SUM(D65:D66)</f>
        <v>96</v>
      </c>
      <c r="E67" s="53">
        <f>SUM(E65:E66)</f>
        <v>12676300</v>
      </c>
      <c r="F67" s="53">
        <f>SUM(F65:F66)</f>
        <v>1225730</v>
      </c>
      <c r="G67" s="53">
        <f>SUM(G65:G66)</f>
        <v>11450570</v>
      </c>
      <c r="H67" s="53">
        <f>SUM(H65:H66)</f>
        <v>12676300</v>
      </c>
      <c r="I67"/>
    </row>
    <row r="68" spans="1:16" ht="16" thickTop="1" x14ac:dyDescent="0.35">
      <c r="H68"/>
      <c r="I68"/>
    </row>
    <row r="69" spans="1:16" x14ac:dyDescent="0.35">
      <c r="H69"/>
      <c r="I69"/>
    </row>
    <row r="70" spans="1:16" x14ac:dyDescent="0.35">
      <c r="B70" s="434" t="s">
        <v>146</v>
      </c>
      <c r="C70" s="434"/>
      <c r="D70" s="434"/>
      <c r="E70" s="434"/>
      <c r="F70" s="434"/>
      <c r="G70" s="434"/>
      <c r="H70" s="434"/>
      <c r="I70"/>
    </row>
    <row r="71" spans="1:16" x14ac:dyDescent="0.35">
      <c r="C71" s="56"/>
      <c r="D71" s="155" t="s">
        <v>144</v>
      </c>
      <c r="E71" s="155" t="s">
        <v>145</v>
      </c>
      <c r="F71" s="434" t="s">
        <v>147</v>
      </c>
      <c r="G71" s="434"/>
      <c r="H71" s="155" t="s">
        <v>32</v>
      </c>
      <c r="I71"/>
    </row>
    <row r="72" spans="1:16" x14ac:dyDescent="0.35">
      <c r="B72" s="45" t="s">
        <v>51</v>
      </c>
      <c r="C72" s="51">
        <f>C65</f>
        <v>15000</v>
      </c>
      <c r="D72" s="57">
        <f>D67</f>
        <v>96</v>
      </c>
      <c r="E72" s="57">
        <f>F67</f>
        <v>1225730</v>
      </c>
      <c r="F72" s="58">
        <f>'Year 1 Rate Comp'!L25</f>
        <v>221.82</v>
      </c>
      <c r="G72" t="s">
        <v>173</v>
      </c>
      <c r="H72" s="58">
        <f>F72*D72</f>
        <v>21294.720000000001</v>
      </c>
      <c r="I72"/>
    </row>
    <row r="73" spans="1:16" x14ac:dyDescent="0.35">
      <c r="B73" s="45" t="s">
        <v>96</v>
      </c>
      <c r="C73" s="51">
        <f>C66</f>
        <v>15000</v>
      </c>
      <c r="D73" s="56"/>
      <c r="E73" s="59">
        <f>G66</f>
        <v>11450570</v>
      </c>
      <c r="F73" s="156">
        <f>'Year 1 Rate Comp'!L26</f>
        <v>1.1949999999999999E-2</v>
      </c>
      <c r="G73" t="s">
        <v>174</v>
      </c>
      <c r="H73" s="157">
        <f>ROUND(E73*F73,2)</f>
        <v>136834.31</v>
      </c>
      <c r="I73"/>
      <c r="P73" s="158">
        <v>9.2899999999999991</v>
      </c>
    </row>
    <row r="74" spans="1:16" ht="16" thickBot="1" x14ac:dyDescent="0.4">
      <c r="C74" t="s">
        <v>35</v>
      </c>
      <c r="E74" s="53">
        <f>SUM(E72:E73)</f>
        <v>12676300</v>
      </c>
      <c r="H74" s="159">
        <f>SUM(H72:H73)</f>
        <v>158129.03</v>
      </c>
      <c r="I74"/>
    </row>
    <row r="75" spans="1:16" ht="16" thickTop="1" x14ac:dyDescent="0.35"/>
    <row r="76" spans="1:16" x14ac:dyDescent="0.35">
      <c r="A76" t="s">
        <v>172</v>
      </c>
      <c r="B76" s="72" t="s">
        <v>166</v>
      </c>
      <c r="H76"/>
      <c r="I76"/>
    </row>
    <row r="77" spans="1:16" x14ac:dyDescent="0.35">
      <c r="B77" s="45"/>
      <c r="C77" s="45"/>
      <c r="D77" s="45"/>
      <c r="E77" s="45"/>
      <c r="F77" s="45" t="s">
        <v>51</v>
      </c>
      <c r="G77" s="45" t="s">
        <v>96</v>
      </c>
      <c r="H77" s="45" t="s">
        <v>57</v>
      </c>
      <c r="I77"/>
    </row>
    <row r="78" spans="1:16" x14ac:dyDescent="0.35">
      <c r="B78" s="45"/>
      <c r="C78" s="47" t="s">
        <v>143</v>
      </c>
      <c r="D78" s="47" t="s">
        <v>144</v>
      </c>
      <c r="E78" s="47" t="s">
        <v>145</v>
      </c>
      <c r="F78" s="48">
        <f>C79</f>
        <v>100000</v>
      </c>
      <c r="G78" s="50">
        <f>SUM(F78:F78)</f>
        <v>100000</v>
      </c>
      <c r="H78" s="47"/>
      <c r="I78"/>
    </row>
    <row r="79" spans="1:16" x14ac:dyDescent="0.35">
      <c r="B79" s="45" t="s">
        <v>51</v>
      </c>
      <c r="C79" s="46">
        <v>100000</v>
      </c>
      <c r="D79" s="51">
        <v>8</v>
      </c>
      <c r="E79" s="51">
        <v>382380</v>
      </c>
      <c r="F79" s="51">
        <f>E79</f>
        <v>382380</v>
      </c>
      <c r="G79" s="51">
        <v>0</v>
      </c>
      <c r="H79" s="51">
        <f>SUM(F79:G79)</f>
        <v>382380</v>
      </c>
      <c r="I79"/>
    </row>
    <row r="80" spans="1:16" x14ac:dyDescent="0.35">
      <c r="B80" s="45" t="s">
        <v>96</v>
      </c>
      <c r="C80" s="46">
        <f>SUM(C79:C79)</f>
        <v>100000</v>
      </c>
      <c r="D80" s="51">
        <v>4</v>
      </c>
      <c r="E80" s="51">
        <v>754330</v>
      </c>
      <c r="F80" s="51">
        <f>$D80*F$78</f>
        <v>400000</v>
      </c>
      <c r="G80" s="51">
        <f>E80-F80</f>
        <v>354330</v>
      </c>
      <c r="H80" s="51">
        <f>SUM(F80:G80)</f>
        <v>754330</v>
      </c>
      <c r="I80"/>
    </row>
    <row r="81" spans="1:16" ht="16" thickBot="1" x14ac:dyDescent="0.4">
      <c r="B81" s="45"/>
      <c r="C81" t="s">
        <v>0</v>
      </c>
      <c r="D81" s="53">
        <f>SUM(D79:D80)</f>
        <v>12</v>
      </c>
      <c r="E81" s="53">
        <f>SUM(E79:E80)</f>
        <v>1136710</v>
      </c>
      <c r="F81" s="53">
        <f>SUM(F79:F80)</f>
        <v>782380</v>
      </c>
      <c r="G81" s="53">
        <f>SUM(G79:G80)</f>
        <v>354330</v>
      </c>
      <c r="H81" s="53">
        <f>SUM(H79:H80)</f>
        <v>1136710</v>
      </c>
      <c r="I81"/>
    </row>
    <row r="82" spans="1:16" ht="16" thickTop="1" x14ac:dyDescent="0.35">
      <c r="H82"/>
      <c r="I82"/>
    </row>
    <row r="83" spans="1:16" x14ac:dyDescent="0.35">
      <c r="H83"/>
      <c r="I83"/>
    </row>
    <row r="84" spans="1:16" x14ac:dyDescent="0.35">
      <c r="B84" s="434" t="s">
        <v>146</v>
      </c>
      <c r="C84" s="434"/>
      <c r="D84" s="434"/>
      <c r="E84" s="434"/>
      <c r="F84" s="434"/>
      <c r="G84" s="434"/>
      <c r="H84" s="434"/>
      <c r="I84"/>
    </row>
    <row r="85" spans="1:16" x14ac:dyDescent="0.35">
      <c r="C85" s="56"/>
      <c r="D85" s="155" t="s">
        <v>144</v>
      </c>
      <c r="E85" s="155" t="s">
        <v>145</v>
      </c>
      <c r="F85" s="434" t="s">
        <v>147</v>
      </c>
      <c r="G85" s="434"/>
      <c r="H85" s="155" t="s">
        <v>32</v>
      </c>
      <c r="I85"/>
    </row>
    <row r="86" spans="1:16" x14ac:dyDescent="0.35">
      <c r="B86" s="45" t="s">
        <v>51</v>
      </c>
      <c r="C86" s="51">
        <f>C79</f>
        <v>100000</v>
      </c>
      <c r="D86" s="57">
        <f>D81</f>
        <v>12</v>
      </c>
      <c r="E86" s="57">
        <f>F81</f>
        <v>782380</v>
      </c>
      <c r="F86" s="58">
        <f>'Year 1 Rate Comp'!L29</f>
        <v>1242.3700000000001</v>
      </c>
      <c r="G86" t="s">
        <v>173</v>
      </c>
      <c r="H86" s="58">
        <f>F86*D86</f>
        <v>14908.440000000002</v>
      </c>
      <c r="I86"/>
    </row>
    <row r="87" spans="1:16" x14ac:dyDescent="0.35">
      <c r="B87" s="45" t="s">
        <v>96</v>
      </c>
      <c r="C87" s="51">
        <f>C80</f>
        <v>100000</v>
      </c>
      <c r="D87" s="56"/>
      <c r="E87" s="59">
        <f>G80</f>
        <v>354330</v>
      </c>
      <c r="F87" s="156">
        <f>'Year 1 Rate Comp'!L30</f>
        <v>1.1949999999999999E-2</v>
      </c>
      <c r="G87" t="s">
        <v>174</v>
      </c>
      <c r="H87" s="157">
        <f>ROUND(E87*F87,2)</f>
        <v>4234.24</v>
      </c>
      <c r="I87"/>
      <c r="P87" s="158">
        <v>9.2899999999999991</v>
      </c>
    </row>
    <row r="88" spans="1:16" ht="16" thickBot="1" x14ac:dyDescent="0.4">
      <c r="C88" t="s">
        <v>35</v>
      </c>
      <c r="E88" s="53">
        <f>SUM(E86:E87)</f>
        <v>1136710</v>
      </c>
      <c r="H88" s="159">
        <f>SUM(H86:H87)</f>
        <v>19142.68</v>
      </c>
      <c r="I88"/>
    </row>
    <row r="89" spans="1:16" ht="16" thickTop="1" x14ac:dyDescent="0.35"/>
    <row r="90" spans="1:16" x14ac:dyDescent="0.35">
      <c r="A90" t="s">
        <v>172</v>
      </c>
      <c r="B90" s="72" t="s">
        <v>175</v>
      </c>
      <c r="H90"/>
      <c r="I90"/>
    </row>
    <row r="91" spans="1:16" x14ac:dyDescent="0.35">
      <c r="H91"/>
      <c r="I91"/>
    </row>
    <row r="92" spans="1:16" x14ac:dyDescent="0.35">
      <c r="B92" s="45"/>
      <c r="C92" s="45"/>
      <c r="D92" s="45"/>
      <c r="E92" s="45"/>
      <c r="H92"/>
      <c r="I92"/>
    </row>
    <row r="93" spans="1:16" x14ac:dyDescent="0.35">
      <c r="B93" s="45"/>
      <c r="C93" s="47" t="s">
        <v>143</v>
      </c>
      <c r="D93" s="47" t="s">
        <v>144</v>
      </c>
      <c r="E93" s="47" t="s">
        <v>145</v>
      </c>
      <c r="H93"/>
      <c r="I93"/>
    </row>
    <row r="94" spans="1:16" x14ac:dyDescent="0.35">
      <c r="B94" s="45" t="s">
        <v>96</v>
      </c>
      <c r="C94" s="46">
        <v>6280000</v>
      </c>
      <c r="D94" s="51">
        <v>12</v>
      </c>
      <c r="E94" s="51">
        <v>6280000</v>
      </c>
      <c r="H94"/>
      <c r="I94"/>
    </row>
    <row r="95" spans="1:16" ht="16" thickBot="1" x14ac:dyDescent="0.4">
      <c r="B95" s="45"/>
      <c r="C95" t="s">
        <v>0</v>
      </c>
      <c r="D95" s="53">
        <f>SUM(D94:D94)</f>
        <v>12</v>
      </c>
      <c r="E95" s="53">
        <f>SUM(E94:E94)</f>
        <v>6280000</v>
      </c>
      <c r="H95"/>
      <c r="I95"/>
    </row>
    <row r="96" spans="1:16" ht="16" thickTop="1" x14ac:dyDescent="0.35">
      <c r="H96"/>
      <c r="I96"/>
    </row>
    <row r="97" spans="2:16" x14ac:dyDescent="0.35">
      <c r="H97"/>
      <c r="I97"/>
    </row>
    <row r="98" spans="2:16" x14ac:dyDescent="0.35">
      <c r="B98" s="434" t="s">
        <v>146</v>
      </c>
      <c r="C98" s="434"/>
      <c r="D98" s="434"/>
      <c r="E98" s="434"/>
      <c r="F98" s="434"/>
      <c r="G98" s="434"/>
      <c r="H98" s="434"/>
      <c r="I98"/>
    </row>
    <row r="99" spans="2:16" x14ac:dyDescent="0.35">
      <c r="C99" s="56"/>
      <c r="D99" s="155" t="s">
        <v>144</v>
      </c>
      <c r="E99" s="155" t="s">
        <v>145</v>
      </c>
      <c r="F99" s="434" t="s">
        <v>147</v>
      </c>
      <c r="G99" s="434"/>
      <c r="H99" s="155" t="s">
        <v>32</v>
      </c>
      <c r="I99"/>
    </row>
    <row r="100" spans="2:16" x14ac:dyDescent="0.35">
      <c r="B100" s="45" t="s">
        <v>145</v>
      </c>
      <c r="C100" s="51"/>
      <c r="D100" s="59">
        <f>D95</f>
        <v>12</v>
      </c>
      <c r="E100" s="59">
        <f>E95</f>
        <v>6280000</v>
      </c>
      <c r="F100" s="156">
        <f>'Year 1 Rate Comp'!L33</f>
        <v>5.8300000000000001E-3</v>
      </c>
      <c r="G100" t="s">
        <v>174</v>
      </c>
      <c r="H100" s="157">
        <f>ROUND(E100*F100,2)</f>
        <v>36612.400000000001</v>
      </c>
      <c r="I100"/>
      <c r="P100" s="158">
        <v>4.5199999999999996</v>
      </c>
    </row>
    <row r="101" spans="2:16" ht="16" thickBot="1" x14ac:dyDescent="0.4">
      <c r="C101" t="s">
        <v>35</v>
      </c>
      <c r="E101" s="53">
        <f>SUM(E100:E100)</f>
        <v>6280000</v>
      </c>
      <c r="H101" s="159">
        <f>SUM(H100:H100)</f>
        <v>36612.400000000001</v>
      </c>
      <c r="I101"/>
    </row>
    <row r="102" spans="2:16" ht="16" thickTop="1" x14ac:dyDescent="0.35"/>
  </sheetData>
  <mergeCells count="17">
    <mergeCell ref="B70:H70"/>
    <mergeCell ref="A1:K1"/>
    <mergeCell ref="A2:K2"/>
    <mergeCell ref="A3:K3"/>
    <mergeCell ref="A4:K4"/>
    <mergeCell ref="C6:D6"/>
    <mergeCell ref="C7:D7"/>
    <mergeCell ref="C8:D8"/>
    <mergeCell ref="B34:H34"/>
    <mergeCell ref="F35:G35"/>
    <mergeCell ref="B54:H54"/>
    <mergeCell ref="F55:G55"/>
    <mergeCell ref="F71:G71"/>
    <mergeCell ref="B84:H84"/>
    <mergeCell ref="F85:G85"/>
    <mergeCell ref="B98:H98"/>
    <mergeCell ref="F99:G9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4F316-2044-4BA2-B75B-7CFAD59711B6}">
  <dimension ref="B2:T33"/>
  <sheetViews>
    <sheetView topLeftCell="C1" workbookViewId="0">
      <selection activeCell="C4" sqref="C4:M5"/>
    </sheetView>
  </sheetViews>
  <sheetFormatPr defaultColWidth="8.84375" defaultRowHeight="15.5" x14ac:dyDescent="0.35"/>
  <cols>
    <col min="1" max="1" width="9.69140625" style="4" customWidth="1"/>
    <col min="2" max="2" width="1.07421875" style="4" customWidth="1"/>
    <col min="3" max="3" width="4.765625" style="4" customWidth="1"/>
    <col min="4" max="5" width="10.765625" style="4" customWidth="1"/>
    <col min="6" max="6" width="11.765625" style="15" customWidth="1"/>
    <col min="7" max="7" width="10.765625" style="4" customWidth="1"/>
    <col min="8" max="8" width="1.23046875" style="4" customWidth="1"/>
    <col min="9" max="11" width="10.765625" style="4" customWidth="1"/>
    <col min="12" max="12" width="10.765625" style="15" customWidth="1"/>
    <col min="13" max="13" width="10.765625" style="4" customWidth="1"/>
    <col min="14" max="14" width="9.69140625" style="4" customWidth="1"/>
    <col min="15" max="19" width="12.765625" style="4" customWidth="1"/>
    <col min="20" max="206" width="9.69140625" style="4" customWidth="1"/>
    <col min="207" max="16384" width="8.84375" style="4"/>
  </cols>
  <sheetData>
    <row r="2" spans="2:20" x14ac:dyDescent="0.35">
      <c r="B2" s="9"/>
      <c r="C2" s="75"/>
      <c r="D2" s="75"/>
      <c r="E2" s="75"/>
      <c r="F2" s="76"/>
      <c r="G2" s="75"/>
      <c r="H2" s="75"/>
      <c r="I2" s="75"/>
      <c r="J2" s="75"/>
      <c r="K2" s="75"/>
      <c r="L2" s="76"/>
      <c r="M2" s="77"/>
    </row>
    <row r="3" spans="2:20" x14ac:dyDescent="0.35">
      <c r="B3" s="8"/>
      <c r="C3" s="442" t="s">
        <v>85</v>
      </c>
      <c r="D3" s="442"/>
      <c r="E3" s="442"/>
      <c r="F3" s="442"/>
      <c r="G3" s="442"/>
      <c r="H3" s="442"/>
      <c r="I3" s="442"/>
      <c r="J3" s="442"/>
      <c r="K3" s="442"/>
      <c r="L3" s="442"/>
      <c r="M3" s="443"/>
    </row>
    <row r="4" spans="2:20" x14ac:dyDescent="0.35">
      <c r="B4" s="8"/>
      <c r="C4" s="442" t="s">
        <v>504</v>
      </c>
      <c r="D4" s="442"/>
      <c r="E4" s="442"/>
      <c r="F4" s="442"/>
      <c r="G4" s="442"/>
      <c r="H4" s="442"/>
      <c r="I4" s="442"/>
      <c r="J4" s="442"/>
      <c r="K4" s="442"/>
      <c r="L4" s="442"/>
      <c r="M4" s="443"/>
      <c r="O4" s="4" t="s">
        <v>156</v>
      </c>
      <c r="R4" s="4" t="s">
        <v>157</v>
      </c>
    </row>
    <row r="5" spans="2:20" x14ac:dyDescent="0.35">
      <c r="B5" s="8"/>
      <c r="C5" s="444" t="str">
        <f>Adj!B1</f>
        <v>Morgan County Water District</v>
      </c>
      <c r="D5" s="444"/>
      <c r="E5" s="444"/>
      <c r="F5" s="444"/>
      <c r="G5" s="444"/>
      <c r="H5" s="444"/>
      <c r="I5" s="444"/>
      <c r="J5" s="444"/>
      <c r="K5" s="444"/>
      <c r="L5" s="444"/>
      <c r="M5" s="445"/>
      <c r="N5" s="70"/>
      <c r="O5" s="362"/>
      <c r="P5" s="70"/>
      <c r="Q5" s="70"/>
      <c r="R5" s="70"/>
      <c r="S5" s="70"/>
    </row>
    <row r="6" spans="2:20" x14ac:dyDescent="0.35">
      <c r="B6" s="8"/>
      <c r="M6" s="78"/>
      <c r="O6" s="363"/>
    </row>
    <row r="7" spans="2:20" x14ac:dyDescent="0.35">
      <c r="B7" s="9"/>
      <c r="C7" s="75"/>
      <c r="D7" s="75"/>
      <c r="E7" s="75"/>
      <c r="F7" s="76"/>
      <c r="G7" s="77"/>
      <c r="H7" s="9"/>
      <c r="I7" s="75"/>
      <c r="J7" s="75"/>
      <c r="K7" s="75"/>
      <c r="L7" s="76"/>
      <c r="M7" s="77"/>
      <c r="O7" s="363"/>
    </row>
    <row r="8" spans="2:20" x14ac:dyDescent="0.35">
      <c r="B8" s="8"/>
      <c r="C8" s="440" t="s">
        <v>415</v>
      </c>
      <c r="D8" s="440"/>
      <c r="E8" s="440"/>
      <c r="F8" s="440"/>
      <c r="G8" s="441"/>
      <c r="I8" s="440" t="s">
        <v>414</v>
      </c>
      <c r="J8" s="440"/>
      <c r="K8" s="440"/>
      <c r="L8" s="440"/>
      <c r="M8" s="441"/>
      <c r="O8" s="17">
        <f>'Working Capital Phas-In'!P3</f>
        <v>2.9086453824347127E-2</v>
      </c>
      <c r="P8" s="17" t="s">
        <v>95</v>
      </c>
      <c r="Q8" s="17"/>
      <c r="R8" s="17"/>
      <c r="S8" s="17"/>
    </row>
    <row r="9" spans="2:20" x14ac:dyDescent="0.35">
      <c r="B9" s="8"/>
      <c r="G9" s="78"/>
      <c r="M9" s="78"/>
    </row>
    <row r="10" spans="2:20" x14ac:dyDescent="0.35">
      <c r="B10" s="8"/>
      <c r="C10" s="16"/>
      <c r="G10" s="78"/>
      <c r="I10" s="16"/>
      <c r="L10" s="79"/>
      <c r="M10" s="78"/>
    </row>
    <row r="11" spans="2:20" x14ac:dyDescent="0.35">
      <c r="B11" s="9"/>
      <c r="C11" s="235" t="s">
        <v>295</v>
      </c>
      <c r="D11" s="236"/>
      <c r="E11" s="236"/>
      <c r="F11" s="236"/>
      <c r="G11" s="237"/>
      <c r="H11" s="9"/>
      <c r="I11" s="235" t="s">
        <v>295</v>
      </c>
      <c r="J11" s="236"/>
      <c r="K11" s="236"/>
      <c r="L11" s="76"/>
      <c r="M11" s="77"/>
      <c r="T11" s="81"/>
    </row>
    <row r="12" spans="2:20" x14ac:dyDescent="0.35">
      <c r="B12" s="8"/>
      <c r="C12" s="45" t="s">
        <v>51</v>
      </c>
      <c r="D12" s="51">
        <v>2000</v>
      </c>
      <c r="E12" s="242" t="s">
        <v>145</v>
      </c>
      <c r="F12" s="144">
        <f>'Year 1 Rate Comp'!L12</f>
        <v>41.17</v>
      </c>
      <c r="G12" s="143" t="s">
        <v>173</v>
      </c>
      <c r="H12" s="8"/>
      <c r="I12" s="45" t="s">
        <v>51</v>
      </c>
      <c r="J12" s="51">
        <v>2000</v>
      </c>
      <c r="K12" s="242" t="s">
        <v>145</v>
      </c>
      <c r="L12" s="144">
        <f>R12</f>
        <v>42.370000000000005</v>
      </c>
      <c r="M12" s="143" t="s">
        <v>173</v>
      </c>
      <c r="O12" s="144">
        <f>F12</f>
        <v>41.17</v>
      </c>
      <c r="P12" s="144">
        <f>ROUND(O$8*O12,2)</f>
        <v>1.2</v>
      </c>
      <c r="Q12" s="61"/>
      <c r="R12" s="144">
        <f>SUM(O12:Q12)</f>
        <v>42.370000000000005</v>
      </c>
      <c r="S12" s="144"/>
      <c r="T12" s="81"/>
    </row>
    <row r="13" spans="2:20" x14ac:dyDescent="0.35">
      <c r="B13" s="8"/>
      <c r="C13" s="45" t="s">
        <v>52</v>
      </c>
      <c r="D13" s="51">
        <v>3000</v>
      </c>
      <c r="E13" s="242" t="s">
        <v>145</v>
      </c>
      <c r="F13" s="364">
        <f>'Year 1 Rate Comp'!L13</f>
        <v>1.525E-2</v>
      </c>
      <c r="G13" s="143" t="s">
        <v>174</v>
      </c>
      <c r="H13" s="8"/>
      <c r="I13" s="45" t="s">
        <v>52</v>
      </c>
      <c r="J13" s="51">
        <v>3000</v>
      </c>
      <c r="K13" s="242" t="s">
        <v>145</v>
      </c>
      <c r="L13" s="364">
        <f>R13</f>
        <v>1.5689999999999999E-2</v>
      </c>
      <c r="M13" s="143" t="s">
        <v>174</v>
      </c>
      <c r="N13" s="18"/>
      <c r="O13" s="61">
        <f t="shared" ref="O13:O33" si="0">F13</f>
        <v>1.525E-2</v>
      </c>
      <c r="P13" s="61">
        <f>ROUND(O$8*O13,5)</f>
        <v>4.4000000000000002E-4</v>
      </c>
      <c r="Q13" s="61"/>
      <c r="R13" s="61">
        <f>SUM(O13:Q13)</f>
        <v>1.5689999999999999E-2</v>
      </c>
      <c r="S13" s="61"/>
      <c r="T13" s="81"/>
    </row>
    <row r="14" spans="2:20" x14ac:dyDescent="0.35">
      <c r="B14" s="8"/>
      <c r="C14" s="45" t="s">
        <v>52</v>
      </c>
      <c r="D14" s="51">
        <v>5000</v>
      </c>
      <c r="E14" s="242" t="s">
        <v>145</v>
      </c>
      <c r="F14" s="364">
        <f>'Year 1 Rate Comp'!L14</f>
        <v>1.4149999999999999E-2</v>
      </c>
      <c r="G14" s="143" t="s">
        <v>174</v>
      </c>
      <c r="H14" s="8"/>
      <c r="I14" s="45" t="s">
        <v>52</v>
      </c>
      <c r="J14" s="51">
        <v>5000</v>
      </c>
      <c r="K14" s="242" t="s">
        <v>145</v>
      </c>
      <c r="L14" s="364">
        <f t="shared" ref="L14:L16" si="1">R14</f>
        <v>1.456E-2</v>
      </c>
      <c r="M14" s="143" t="s">
        <v>174</v>
      </c>
      <c r="O14" s="61">
        <f t="shared" si="0"/>
        <v>1.4149999999999999E-2</v>
      </c>
      <c r="P14" s="61">
        <f t="shared" ref="P14:P16" si="2">ROUND(O$8*O14,5)</f>
        <v>4.0999999999999999E-4</v>
      </c>
      <c r="Q14" s="61">
        <f>Q13</f>
        <v>0</v>
      </c>
      <c r="R14" s="61">
        <f t="shared" ref="R14:R16" si="3">SUM(O14:Q14)</f>
        <v>1.456E-2</v>
      </c>
      <c r="S14" s="61">
        <v>-1.0000000000000001E-5</v>
      </c>
    </row>
    <row r="15" spans="2:20" x14ac:dyDescent="0.35">
      <c r="B15" s="8"/>
      <c r="C15" s="45" t="s">
        <v>52</v>
      </c>
      <c r="D15" s="51">
        <v>15000</v>
      </c>
      <c r="E15" s="242" t="s">
        <v>145</v>
      </c>
      <c r="F15" s="364">
        <f>'Year 1 Rate Comp'!L15</f>
        <v>1.3049999999999999E-2</v>
      </c>
      <c r="G15" s="143" t="s">
        <v>174</v>
      </c>
      <c r="H15" s="8"/>
      <c r="I15" s="45" t="s">
        <v>52</v>
      </c>
      <c r="J15" s="51">
        <v>15000</v>
      </c>
      <c r="K15" s="242" t="s">
        <v>145</v>
      </c>
      <c r="L15" s="364">
        <f t="shared" si="1"/>
        <v>1.3429999999999999E-2</v>
      </c>
      <c r="M15" s="143" t="s">
        <v>174</v>
      </c>
      <c r="O15" s="61">
        <f t="shared" si="0"/>
        <v>1.3049999999999999E-2</v>
      </c>
      <c r="P15" s="61">
        <f t="shared" si="2"/>
        <v>3.8000000000000002E-4</v>
      </c>
      <c r="Q15" s="61">
        <f>Q13</f>
        <v>0</v>
      </c>
      <c r="R15" s="61">
        <f t="shared" si="3"/>
        <v>1.3429999999999999E-2</v>
      </c>
      <c r="S15" s="61"/>
    </row>
    <row r="16" spans="2:20" x14ac:dyDescent="0.35">
      <c r="B16" s="8"/>
      <c r="C16" s="45" t="s">
        <v>96</v>
      </c>
      <c r="D16" s="51">
        <v>15000</v>
      </c>
      <c r="E16" s="242" t="s">
        <v>145</v>
      </c>
      <c r="F16" s="364">
        <f>'Year 1 Rate Comp'!L16</f>
        <v>1.1949999999999999E-2</v>
      </c>
      <c r="G16" s="143" t="s">
        <v>174</v>
      </c>
      <c r="H16" s="8"/>
      <c r="I16" s="45" t="s">
        <v>96</v>
      </c>
      <c r="J16" s="51">
        <v>15000</v>
      </c>
      <c r="K16" s="242" t="s">
        <v>145</v>
      </c>
      <c r="L16" s="364">
        <f t="shared" si="1"/>
        <v>1.2299999999999998E-2</v>
      </c>
      <c r="M16" s="143" t="s">
        <v>174</v>
      </c>
      <c r="O16" s="61">
        <f t="shared" si="0"/>
        <v>1.1949999999999999E-2</v>
      </c>
      <c r="P16" s="61">
        <f t="shared" si="2"/>
        <v>3.5E-4</v>
      </c>
      <c r="Q16" s="61">
        <f>Q13</f>
        <v>0</v>
      </c>
      <c r="R16" s="61">
        <f t="shared" si="3"/>
        <v>1.2299999999999998E-2</v>
      </c>
      <c r="S16" s="61"/>
    </row>
    <row r="17" spans="2:19" x14ac:dyDescent="0.35">
      <c r="B17" s="8"/>
      <c r="C17"/>
      <c r="D17"/>
      <c r="E17" s="242"/>
      <c r="F17"/>
      <c r="G17" s="143"/>
      <c r="H17" s="8"/>
      <c r="I17"/>
      <c r="J17"/>
      <c r="K17" s="242"/>
      <c r="L17"/>
      <c r="M17" s="143"/>
      <c r="O17"/>
      <c r="P17"/>
      <c r="Q17"/>
      <c r="R17"/>
      <c r="S17"/>
    </row>
    <row r="18" spans="2:19" x14ac:dyDescent="0.35">
      <c r="B18" s="8"/>
      <c r="C18" s="72" t="s">
        <v>164</v>
      </c>
      <c r="D18"/>
      <c r="E18" s="242"/>
      <c r="F18"/>
      <c r="G18" s="143"/>
      <c r="H18" s="8"/>
      <c r="I18" s="72" t="s">
        <v>164</v>
      </c>
      <c r="J18"/>
      <c r="K18" s="242"/>
      <c r="L18"/>
      <c r="M18" s="143"/>
      <c r="O18"/>
      <c r="P18"/>
      <c r="Q18"/>
      <c r="R18"/>
      <c r="S18"/>
    </row>
    <row r="19" spans="2:19" x14ac:dyDescent="0.35">
      <c r="B19" s="8"/>
      <c r="C19" s="45" t="s">
        <v>51</v>
      </c>
      <c r="D19" s="51">
        <v>5000</v>
      </c>
      <c r="E19" s="242" t="s">
        <v>145</v>
      </c>
      <c r="F19" s="144">
        <f>'Year 1 Rate Comp'!L19</f>
        <v>87.26</v>
      </c>
      <c r="G19" s="143" t="s">
        <v>173</v>
      </c>
      <c r="H19" s="8"/>
      <c r="I19" s="45" t="s">
        <v>51</v>
      </c>
      <c r="J19" s="51">
        <v>5000</v>
      </c>
      <c r="K19" s="242" t="s">
        <v>145</v>
      </c>
      <c r="L19" s="144">
        <f>R19</f>
        <v>89.800000000000011</v>
      </c>
      <c r="M19" s="143" t="s">
        <v>173</v>
      </c>
      <c r="O19" s="144">
        <f t="shared" si="0"/>
        <v>87.26</v>
      </c>
      <c r="P19" s="144">
        <f>ROUND(O$8*O19,2)</f>
        <v>2.54</v>
      </c>
      <c r="Q19" s="61">
        <f>Q12</f>
        <v>0</v>
      </c>
      <c r="R19" s="144">
        <f>SUM(O19:Q19)</f>
        <v>89.800000000000011</v>
      </c>
      <c r="S19" s="144"/>
    </row>
    <row r="20" spans="2:19" x14ac:dyDescent="0.35">
      <c r="B20" s="8"/>
      <c r="C20" s="45" t="s">
        <v>52</v>
      </c>
      <c r="D20" s="51">
        <v>5000</v>
      </c>
      <c r="E20" s="242" t="s">
        <v>145</v>
      </c>
      <c r="F20" s="364">
        <f>'Year 1 Rate Comp'!L20</f>
        <v>1.4149999999999999E-2</v>
      </c>
      <c r="G20" s="143" t="s">
        <v>174</v>
      </c>
      <c r="H20" s="8"/>
      <c r="I20" s="45" t="s">
        <v>52</v>
      </c>
      <c r="J20" s="51">
        <v>5000</v>
      </c>
      <c r="K20" s="242" t="s">
        <v>145</v>
      </c>
      <c r="L20" s="364">
        <f t="shared" ref="L20:L22" si="4">R20</f>
        <v>1.456E-2</v>
      </c>
      <c r="M20" s="143" t="s">
        <v>174</v>
      </c>
      <c r="O20" s="61">
        <f t="shared" si="0"/>
        <v>1.4149999999999999E-2</v>
      </c>
      <c r="P20" s="61">
        <f>P14</f>
        <v>4.0999999999999999E-4</v>
      </c>
      <c r="Q20" s="61">
        <f>Q13</f>
        <v>0</v>
      </c>
      <c r="R20" s="61">
        <f t="shared" ref="R20:R22" si="5">SUM(O20:Q20)</f>
        <v>1.456E-2</v>
      </c>
      <c r="S20" s="61"/>
    </row>
    <row r="21" spans="2:19" x14ac:dyDescent="0.35">
      <c r="B21" s="8"/>
      <c r="C21" s="45" t="s">
        <v>52</v>
      </c>
      <c r="D21" s="51">
        <v>5000</v>
      </c>
      <c r="E21" s="242" t="s">
        <v>145</v>
      </c>
      <c r="F21" s="364">
        <f>'Year 1 Rate Comp'!L21</f>
        <v>1.3049999999999999E-2</v>
      </c>
      <c r="G21" s="143" t="s">
        <v>174</v>
      </c>
      <c r="H21" s="8"/>
      <c r="I21" s="45" t="s">
        <v>52</v>
      </c>
      <c r="J21" s="51">
        <v>5000</v>
      </c>
      <c r="K21" s="242" t="s">
        <v>145</v>
      </c>
      <c r="L21" s="364">
        <f t="shared" si="4"/>
        <v>1.3429999999999999E-2</v>
      </c>
      <c r="M21" s="143" t="s">
        <v>174</v>
      </c>
      <c r="O21" s="61">
        <f t="shared" si="0"/>
        <v>1.3049999999999999E-2</v>
      </c>
      <c r="P21" s="61">
        <f t="shared" ref="P21:P22" si="6">P15</f>
        <v>3.8000000000000002E-4</v>
      </c>
      <c r="Q21" s="61">
        <f>Q20</f>
        <v>0</v>
      </c>
      <c r="R21" s="61">
        <f t="shared" si="5"/>
        <v>1.3429999999999999E-2</v>
      </c>
      <c r="S21" s="61"/>
    </row>
    <row r="22" spans="2:19" x14ac:dyDescent="0.35">
      <c r="B22" s="8"/>
      <c r="C22" s="45" t="s">
        <v>96</v>
      </c>
      <c r="D22" s="51">
        <v>15000</v>
      </c>
      <c r="E22" s="242" t="s">
        <v>145</v>
      </c>
      <c r="F22" s="364">
        <f>'Year 1 Rate Comp'!L22</f>
        <v>1.1949999999999999E-2</v>
      </c>
      <c r="G22" s="143" t="s">
        <v>174</v>
      </c>
      <c r="H22" s="8"/>
      <c r="I22" s="45" t="s">
        <v>96</v>
      </c>
      <c r="J22" s="51">
        <v>15000</v>
      </c>
      <c r="K22" s="242" t="s">
        <v>145</v>
      </c>
      <c r="L22" s="364">
        <f t="shared" si="4"/>
        <v>1.2299999999999998E-2</v>
      </c>
      <c r="M22" s="143" t="s">
        <v>174</v>
      </c>
      <c r="O22" s="61">
        <f t="shared" si="0"/>
        <v>1.1949999999999999E-2</v>
      </c>
      <c r="P22" s="61">
        <f t="shared" si="6"/>
        <v>3.5E-4</v>
      </c>
      <c r="Q22" s="61">
        <f>Q21</f>
        <v>0</v>
      </c>
      <c r="R22" s="61">
        <f t="shared" si="5"/>
        <v>1.2299999999999998E-2</v>
      </c>
      <c r="S22" s="61"/>
    </row>
    <row r="23" spans="2:19" x14ac:dyDescent="0.35">
      <c r="B23" s="8"/>
      <c r="C23" s="45"/>
      <c r="D23" s="51"/>
      <c r="E23" s="242"/>
      <c r="F23" s="238"/>
      <c r="G23" s="143"/>
      <c r="H23" s="8"/>
      <c r="I23" s="45"/>
      <c r="J23" s="51"/>
      <c r="K23" s="242"/>
      <c r="L23" s="238"/>
      <c r="M23" s="143"/>
      <c r="O23" s="238"/>
      <c r="P23" s="238"/>
      <c r="Q23" s="238"/>
      <c r="R23" s="238"/>
      <c r="S23" s="238"/>
    </row>
    <row r="24" spans="2:19" x14ac:dyDescent="0.35">
      <c r="B24" s="8"/>
      <c r="C24" s="72" t="s">
        <v>165</v>
      </c>
      <c r="D24"/>
      <c r="E24" s="242"/>
      <c r="F24"/>
      <c r="G24" s="143"/>
      <c r="H24" s="8"/>
      <c r="I24" s="72" t="s">
        <v>165</v>
      </c>
      <c r="J24"/>
      <c r="K24" s="242"/>
      <c r="L24"/>
      <c r="M24" s="143"/>
      <c r="O24"/>
      <c r="P24"/>
      <c r="Q24"/>
      <c r="R24"/>
      <c r="S24"/>
    </row>
    <row r="25" spans="2:19" x14ac:dyDescent="0.35">
      <c r="B25" s="8"/>
      <c r="C25" s="45" t="s">
        <v>51</v>
      </c>
      <c r="D25" s="51">
        <v>15000</v>
      </c>
      <c r="E25" s="242" t="s">
        <v>145</v>
      </c>
      <c r="F25" s="144">
        <f>'Year 1 Rate Comp'!L25</f>
        <v>221.82</v>
      </c>
      <c r="G25" s="143" t="s">
        <v>173</v>
      </c>
      <c r="H25" s="8"/>
      <c r="I25" s="45" t="s">
        <v>51</v>
      </c>
      <c r="J25" s="51">
        <v>15000</v>
      </c>
      <c r="K25" s="242" t="s">
        <v>145</v>
      </c>
      <c r="L25" s="144">
        <f>R25</f>
        <v>228.26999999999998</v>
      </c>
      <c r="M25" s="143" t="s">
        <v>173</v>
      </c>
      <c r="O25" s="144">
        <f t="shared" si="0"/>
        <v>221.82</v>
      </c>
      <c r="P25" s="144">
        <f>ROUND(O$8*O25,2)</f>
        <v>6.45</v>
      </c>
      <c r="Q25" s="61">
        <f>Q12</f>
        <v>0</v>
      </c>
      <c r="R25" s="144">
        <f>SUM(O25:Q25)</f>
        <v>228.26999999999998</v>
      </c>
      <c r="S25" s="144"/>
    </row>
    <row r="26" spans="2:19" x14ac:dyDescent="0.35">
      <c r="B26" s="8"/>
      <c r="C26" s="45" t="s">
        <v>96</v>
      </c>
      <c r="D26" s="51">
        <v>15000</v>
      </c>
      <c r="E26" s="242" t="s">
        <v>145</v>
      </c>
      <c r="F26" s="364">
        <f>'Year 1 Rate Comp'!L26</f>
        <v>1.1949999999999999E-2</v>
      </c>
      <c r="G26" s="143" t="s">
        <v>174</v>
      </c>
      <c r="H26" s="8"/>
      <c r="I26" s="45" t="s">
        <v>96</v>
      </c>
      <c r="J26" s="51">
        <v>15000</v>
      </c>
      <c r="K26" s="242" t="s">
        <v>145</v>
      </c>
      <c r="L26" s="364">
        <f>R26</f>
        <v>1.2299999999999998E-2</v>
      </c>
      <c r="M26" s="143" t="s">
        <v>174</v>
      </c>
      <c r="O26" s="61">
        <f t="shared" si="0"/>
        <v>1.1949999999999999E-2</v>
      </c>
      <c r="P26" s="61">
        <f>P22</f>
        <v>3.5E-4</v>
      </c>
      <c r="Q26" s="61">
        <f>Q22</f>
        <v>0</v>
      </c>
      <c r="R26" s="61">
        <f>SUM(O26:Q26)</f>
        <v>1.2299999999999998E-2</v>
      </c>
      <c r="S26" s="61"/>
    </row>
    <row r="27" spans="2:19" x14ac:dyDescent="0.35">
      <c r="B27" s="8"/>
      <c r="C27"/>
      <c r="D27"/>
      <c r="E27" s="242"/>
      <c r="F27" s="61"/>
      <c r="G27" s="143"/>
      <c r="H27" s="8"/>
      <c r="I27"/>
      <c r="J27"/>
      <c r="K27" s="242"/>
      <c r="L27" s="61"/>
      <c r="M27" s="143"/>
      <c r="O27" s="61"/>
      <c r="P27" s="61"/>
      <c r="Q27" s="61"/>
      <c r="R27" s="61"/>
      <c r="S27" s="61"/>
    </row>
    <row r="28" spans="2:19" x14ac:dyDescent="0.35">
      <c r="B28" s="8"/>
      <c r="C28" s="72" t="s">
        <v>166</v>
      </c>
      <c r="D28"/>
      <c r="E28" s="242"/>
      <c r="F28" s="61"/>
      <c r="G28" s="143"/>
      <c r="H28" s="8"/>
      <c r="I28" s="72" t="s">
        <v>166</v>
      </c>
      <c r="J28"/>
      <c r="K28" s="242"/>
      <c r="L28" s="61"/>
      <c r="M28" s="143"/>
      <c r="O28" s="61"/>
      <c r="P28" s="61"/>
      <c r="Q28" s="61"/>
      <c r="R28" s="61"/>
      <c r="S28" s="61"/>
    </row>
    <row r="29" spans="2:19" x14ac:dyDescent="0.35">
      <c r="B29" s="8"/>
      <c r="C29" s="45" t="s">
        <v>51</v>
      </c>
      <c r="D29" s="51">
        <v>100000</v>
      </c>
      <c r="E29" s="242" t="s">
        <v>145</v>
      </c>
      <c r="F29" s="144">
        <f>'Year 1 Rate Comp'!L29</f>
        <v>1242.3700000000001</v>
      </c>
      <c r="G29" s="143" t="s">
        <v>173</v>
      </c>
      <c r="H29" s="8"/>
      <c r="I29" s="45" t="s">
        <v>51</v>
      </c>
      <c r="J29" s="51">
        <v>100000</v>
      </c>
      <c r="K29" s="242" t="s">
        <v>145</v>
      </c>
      <c r="L29" s="144">
        <f>R29</f>
        <v>1278.5100000000002</v>
      </c>
      <c r="M29" s="143" t="s">
        <v>173</v>
      </c>
      <c r="O29" s="144">
        <f t="shared" si="0"/>
        <v>1242.3700000000001</v>
      </c>
      <c r="P29" s="144">
        <f>ROUND(O$8*O29,2)</f>
        <v>36.14</v>
      </c>
      <c r="Q29" s="61">
        <f>Q12</f>
        <v>0</v>
      </c>
      <c r="R29" s="144">
        <f>SUM(O29:Q29)</f>
        <v>1278.5100000000002</v>
      </c>
      <c r="S29" s="144"/>
    </row>
    <row r="30" spans="2:19" x14ac:dyDescent="0.35">
      <c r="B30" s="8"/>
      <c r="C30" s="45" t="s">
        <v>96</v>
      </c>
      <c r="D30" s="51">
        <v>100000</v>
      </c>
      <c r="E30" s="242" t="s">
        <v>145</v>
      </c>
      <c r="F30" s="364">
        <f>'Year 1 Rate Comp'!L30</f>
        <v>1.1949999999999999E-2</v>
      </c>
      <c r="G30" s="143" t="s">
        <v>174</v>
      </c>
      <c r="H30" s="8"/>
      <c r="I30" s="45" t="s">
        <v>96</v>
      </c>
      <c r="J30" s="51">
        <v>100000</v>
      </c>
      <c r="K30" s="242" t="s">
        <v>145</v>
      </c>
      <c r="L30" s="364">
        <f>R30</f>
        <v>1.2299999999999998E-2</v>
      </c>
      <c r="M30" s="143" t="s">
        <v>174</v>
      </c>
      <c r="O30" s="61">
        <f t="shared" si="0"/>
        <v>1.1949999999999999E-2</v>
      </c>
      <c r="P30" s="61">
        <f>P22</f>
        <v>3.5E-4</v>
      </c>
      <c r="Q30" s="61">
        <f>Q26</f>
        <v>0</v>
      </c>
      <c r="R30" s="61">
        <f>SUM(O30:Q30)</f>
        <v>1.2299999999999998E-2</v>
      </c>
      <c r="S30" s="61"/>
    </row>
    <row r="31" spans="2:19" x14ac:dyDescent="0.35">
      <c r="B31" s="8"/>
      <c r="C31"/>
      <c r="D31"/>
      <c r="E31"/>
      <c r="F31" s="61"/>
      <c r="G31" s="143"/>
      <c r="H31" s="8"/>
      <c r="I31"/>
      <c r="J31"/>
      <c r="K31"/>
      <c r="M31" s="143"/>
      <c r="O31" s="61"/>
      <c r="P31" s="61"/>
      <c r="Q31" s="61"/>
      <c r="R31" s="61"/>
      <c r="S31" s="61"/>
    </row>
    <row r="32" spans="2:19" x14ac:dyDescent="0.35">
      <c r="B32" s="8"/>
      <c r="C32" s="72" t="s">
        <v>175</v>
      </c>
      <c r="D32"/>
      <c r="E32"/>
      <c r="F32" s="61"/>
      <c r="G32" s="143"/>
      <c r="H32" s="8"/>
      <c r="I32" s="72" t="s">
        <v>175</v>
      </c>
      <c r="J32"/>
      <c r="K32"/>
      <c r="M32" s="143"/>
      <c r="O32" s="61"/>
      <c r="P32" s="61"/>
      <c r="Q32" s="61"/>
      <c r="R32" s="61"/>
      <c r="S32" s="61"/>
    </row>
    <row r="33" spans="2:19" x14ac:dyDescent="0.35">
      <c r="B33" s="10"/>
      <c r="C33" s="47"/>
      <c r="D33" s="48"/>
      <c r="E33" s="48"/>
      <c r="F33" s="243">
        <f>'Year 1 Rate Comp'!L33</f>
        <v>5.8300000000000001E-3</v>
      </c>
      <c r="G33" s="241" t="s">
        <v>174</v>
      </c>
      <c r="H33" s="10"/>
      <c r="I33" s="80"/>
      <c r="J33" s="80"/>
      <c r="K33" s="80"/>
      <c r="L33" s="243">
        <f>R33</f>
        <v>6.0000000000000001E-3</v>
      </c>
      <c r="M33" s="241" t="s">
        <v>174</v>
      </c>
      <c r="O33" s="243">
        <f t="shared" si="0"/>
        <v>5.8300000000000001E-3</v>
      </c>
      <c r="P33" s="243">
        <f t="shared" ref="P33" si="7">ROUND(O$8*O33,5)</f>
        <v>1.7000000000000001E-4</v>
      </c>
      <c r="Q33" s="61">
        <v>0</v>
      </c>
      <c r="R33" s="61">
        <f>SUM(O33:Q33)</f>
        <v>6.0000000000000001E-3</v>
      </c>
      <c r="S33" s="243"/>
    </row>
  </sheetData>
  <mergeCells count="5">
    <mergeCell ref="C3:M3"/>
    <mergeCell ref="C4:M4"/>
    <mergeCell ref="C5:M5"/>
    <mergeCell ref="C8:G8"/>
    <mergeCell ref="I8:M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4C7D1-0FC9-441B-870B-46D2D0750C40}">
  <dimension ref="A1:P102"/>
  <sheetViews>
    <sheetView topLeftCell="A3" workbookViewId="0">
      <selection activeCell="C18" sqref="C18:C20"/>
    </sheetView>
  </sheetViews>
  <sheetFormatPr defaultColWidth="14.765625" defaultRowHeight="15.5" x14ac:dyDescent="0.35"/>
  <cols>
    <col min="8" max="9" width="14.765625" style="55"/>
  </cols>
  <sheetData>
    <row r="1" spans="1:14" ht="18.5" x14ac:dyDescent="0.45">
      <c r="A1" s="429" t="s">
        <v>501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147"/>
      <c r="M1" s="147"/>
      <c r="N1" s="147"/>
    </row>
    <row r="2" spans="1:14" ht="18.5" x14ac:dyDescent="0.35">
      <c r="A2" s="432" t="s">
        <v>160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146"/>
      <c r="M2" s="146"/>
      <c r="N2" s="146"/>
    </row>
    <row r="3" spans="1:14" x14ac:dyDescent="0.35">
      <c r="A3" s="437"/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1"/>
      <c r="M3" s="1"/>
      <c r="N3" s="1"/>
    </row>
    <row r="4" spans="1:14" ht="18.5" x14ac:dyDescent="0.45">
      <c r="A4" s="438" t="s">
        <v>93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147"/>
      <c r="M4" s="147"/>
      <c r="N4" s="147"/>
    </row>
    <row r="6" spans="1:14" x14ac:dyDescent="0.35">
      <c r="B6" s="72"/>
      <c r="C6" s="439" t="s">
        <v>161</v>
      </c>
      <c r="D6" s="439"/>
      <c r="F6" s="47" t="s">
        <v>162</v>
      </c>
      <c r="G6" s="47" t="s">
        <v>34</v>
      </c>
      <c r="H6" s="49" t="s">
        <v>32</v>
      </c>
    </row>
    <row r="7" spans="1:14" x14ac:dyDescent="0.35">
      <c r="B7" s="72"/>
      <c r="C7" s="435" t="s">
        <v>163</v>
      </c>
      <c r="D7" s="435"/>
      <c r="F7" s="51">
        <f>D36</f>
        <v>35191</v>
      </c>
      <c r="G7" s="51">
        <f>E41</f>
        <v>106282790</v>
      </c>
      <c r="H7" s="148">
        <f>H41</f>
        <v>2265519.5900000003</v>
      </c>
    </row>
    <row r="8" spans="1:14" x14ac:dyDescent="0.35">
      <c r="B8" s="72"/>
      <c r="C8" s="436" t="s">
        <v>164</v>
      </c>
      <c r="D8" s="436"/>
      <c r="F8" s="51">
        <f>D56</f>
        <v>200</v>
      </c>
      <c r="G8" s="51">
        <f>E60</f>
        <v>1076140</v>
      </c>
      <c r="H8" s="150">
        <f>H60</f>
        <v>26208.020000000004</v>
      </c>
    </row>
    <row r="9" spans="1:14" x14ac:dyDescent="0.35">
      <c r="B9" s="72"/>
      <c r="C9" s="149" t="s">
        <v>165</v>
      </c>
      <c r="D9" s="149"/>
      <c r="F9" s="51">
        <f>D72</f>
        <v>96</v>
      </c>
      <c r="G9" s="51">
        <f>E74</f>
        <v>12676300</v>
      </c>
      <c r="H9" s="150">
        <f>H74</f>
        <v>162755.93</v>
      </c>
    </row>
    <row r="10" spans="1:14" x14ac:dyDescent="0.35">
      <c r="B10" s="72"/>
      <c r="C10" s="149" t="s">
        <v>166</v>
      </c>
      <c r="D10" s="149"/>
      <c r="F10" s="51">
        <f>D86</f>
        <v>12</v>
      </c>
      <c r="G10" s="51">
        <f>E88</f>
        <v>1136710</v>
      </c>
      <c r="H10" s="150">
        <f>H88</f>
        <v>19700.380000000005</v>
      </c>
    </row>
    <row r="11" spans="1:14" x14ac:dyDescent="0.35">
      <c r="B11" s="72"/>
      <c r="C11" s="149" t="s">
        <v>167</v>
      </c>
      <c r="D11" s="149"/>
      <c r="F11" s="48">
        <f>D100</f>
        <v>12</v>
      </c>
      <c r="G11" s="48">
        <f>E101</f>
        <v>6280000</v>
      </c>
      <c r="H11" s="151">
        <f>H101</f>
        <v>37680</v>
      </c>
    </row>
    <row r="12" spans="1:14" x14ac:dyDescent="0.35">
      <c r="B12" s="72"/>
      <c r="C12" s="149" t="s">
        <v>168</v>
      </c>
      <c r="D12" s="149"/>
      <c r="F12" s="51">
        <f>SUM(F7:F11)</f>
        <v>35511</v>
      </c>
      <c r="G12" s="51">
        <f>SUM(G7:G11)</f>
        <v>127451940</v>
      </c>
      <c r="H12" s="150">
        <f>SUM(H7:H11)</f>
        <v>2511863.9200000004</v>
      </c>
    </row>
    <row r="13" spans="1:14" x14ac:dyDescent="0.35">
      <c r="B13" s="72"/>
      <c r="C13" s="149" t="s">
        <v>169</v>
      </c>
      <c r="D13" s="149"/>
      <c r="F13" s="45"/>
      <c r="G13" s="45"/>
      <c r="H13" s="151">
        <f>-ROUND('BA Adj'!B5,0)</f>
        <v>-12088</v>
      </c>
    </row>
    <row r="14" spans="1:14" x14ac:dyDescent="0.35">
      <c r="B14" s="72"/>
      <c r="C14" s="149" t="s">
        <v>170</v>
      </c>
      <c r="D14" s="149"/>
      <c r="F14" s="45"/>
      <c r="G14" s="45"/>
      <c r="H14" s="150">
        <f>SUM(H12:H13)</f>
        <v>2499775.9200000004</v>
      </c>
    </row>
    <row r="15" spans="1:14" x14ac:dyDescent="0.35">
      <c r="B15" s="72"/>
      <c r="C15" s="245" t="s">
        <v>299</v>
      </c>
      <c r="D15" s="149"/>
      <c r="F15" s="45"/>
      <c r="G15" s="45"/>
      <c r="H15" s="151">
        <f>-'PropBA - Interim Rates'!H14</f>
        <v>-2357785.2600000002</v>
      </c>
    </row>
    <row r="16" spans="1:14" ht="16" thickBot="1" x14ac:dyDescent="0.4">
      <c r="B16" s="72"/>
      <c r="C16" s="152" t="s">
        <v>171</v>
      </c>
      <c r="D16" s="152"/>
      <c r="H16" s="153">
        <f>SUM(H14:H15)</f>
        <v>141990.66000000015</v>
      </c>
    </row>
    <row r="17" spans="1:16" ht="16" thickTop="1" x14ac:dyDescent="0.35">
      <c r="B17" s="72"/>
      <c r="C17" s="152"/>
      <c r="D17" s="152"/>
      <c r="H17" s="246"/>
    </row>
    <row r="18" spans="1:16" x14ac:dyDescent="0.35">
      <c r="B18" s="72"/>
      <c r="C18" s="27" t="s">
        <v>499</v>
      </c>
      <c r="D18" s="152"/>
      <c r="H18" s="72">
        <f>H14</f>
        <v>2499775.9200000004</v>
      </c>
    </row>
    <row r="19" spans="1:16" x14ac:dyDescent="0.35">
      <c r="B19" s="72"/>
      <c r="C19" s="27" t="s">
        <v>418</v>
      </c>
      <c r="D19" s="152"/>
      <c r="H19" s="151">
        <f>-'Working Capital Phas-In'!P6</f>
        <v>-2497563.6902000001</v>
      </c>
    </row>
    <row r="20" spans="1:16" ht="16" thickBot="1" x14ac:dyDescent="0.4">
      <c r="B20" s="72"/>
      <c r="C20" s="27" t="s">
        <v>112</v>
      </c>
      <c r="D20" s="152"/>
      <c r="H20" s="153">
        <f>SUM(H18:H19)</f>
        <v>2212.2298000003211</v>
      </c>
    </row>
    <row r="21" spans="1:16" ht="16" thickTop="1" x14ac:dyDescent="0.35">
      <c r="B21" s="72"/>
    </row>
    <row r="22" spans="1:16" x14ac:dyDescent="0.35">
      <c r="B22" s="72"/>
    </row>
    <row r="23" spans="1:16" x14ac:dyDescent="0.35">
      <c r="A23" t="s">
        <v>172</v>
      </c>
      <c r="B23" s="62" t="s">
        <v>295</v>
      </c>
    </row>
    <row r="24" spans="1:16" x14ac:dyDescent="0.35">
      <c r="B24" s="45"/>
      <c r="C24" s="45"/>
      <c r="D24" s="45"/>
      <c r="E24" s="45"/>
      <c r="F24" s="45" t="s">
        <v>51</v>
      </c>
      <c r="G24" s="45" t="s">
        <v>52</v>
      </c>
      <c r="H24" s="46" t="s">
        <v>52</v>
      </c>
      <c r="I24" s="46" t="s">
        <v>52</v>
      </c>
      <c r="J24" s="45" t="s">
        <v>96</v>
      </c>
      <c r="K24" s="45" t="s">
        <v>57</v>
      </c>
      <c r="L24" s="45"/>
      <c r="M24" s="45"/>
      <c r="N24" s="45"/>
    </row>
    <row r="25" spans="1:16" x14ac:dyDescent="0.35">
      <c r="B25" s="45"/>
      <c r="C25" s="47" t="s">
        <v>143</v>
      </c>
      <c r="D25" s="47" t="s">
        <v>144</v>
      </c>
      <c r="E25" s="47" t="s">
        <v>145</v>
      </c>
      <c r="F25" s="154">
        <f>C26</f>
        <v>2000</v>
      </c>
      <c r="G25" s="48">
        <f>C27</f>
        <v>3000</v>
      </c>
      <c r="H25" s="49">
        <f>C29</f>
        <v>5000</v>
      </c>
      <c r="I25" s="49">
        <f>C29</f>
        <v>5000</v>
      </c>
      <c r="J25" s="50">
        <f>SUM(F25:H25)</f>
        <v>10000</v>
      </c>
      <c r="K25" s="47"/>
      <c r="L25" s="45"/>
      <c r="M25" s="45"/>
      <c r="N25" s="45"/>
    </row>
    <row r="26" spans="1:16" x14ac:dyDescent="0.35">
      <c r="B26" s="45" t="s">
        <v>51</v>
      </c>
      <c r="C26" s="46">
        <v>2000</v>
      </c>
      <c r="D26" s="51">
        <v>14898</v>
      </c>
      <c r="E26" s="51">
        <v>14083390</v>
      </c>
      <c r="F26" s="51">
        <f>E26</f>
        <v>14083390</v>
      </c>
      <c r="G26" s="51">
        <v>0</v>
      </c>
      <c r="H26" s="52">
        <v>0</v>
      </c>
      <c r="I26" s="52"/>
      <c r="J26" s="51">
        <v>0</v>
      </c>
      <c r="K26" s="51">
        <f>SUM(F26:J26)</f>
        <v>14083390</v>
      </c>
      <c r="L26" s="51"/>
      <c r="M26" s="51"/>
      <c r="N26" s="51"/>
    </row>
    <row r="27" spans="1:16" x14ac:dyDescent="0.35">
      <c r="B27" s="45" t="s">
        <v>52</v>
      </c>
      <c r="C27" s="46">
        <v>3000</v>
      </c>
      <c r="D27" s="51">
        <v>15472</v>
      </c>
      <c r="E27" s="51">
        <v>49891280</v>
      </c>
      <c r="F27" s="51">
        <f>$D27*F$25</f>
        <v>30944000</v>
      </c>
      <c r="G27" s="51">
        <f>E27-F27</f>
        <v>18947280</v>
      </c>
      <c r="H27" s="52">
        <v>0</v>
      </c>
      <c r="I27" s="52"/>
      <c r="J27" s="51">
        <v>0</v>
      </c>
      <c r="K27" s="51">
        <f t="shared" ref="K27:K30" si="0">SUM(F27:J27)</f>
        <v>49891280</v>
      </c>
      <c r="L27" s="51"/>
      <c r="M27" s="51"/>
      <c r="N27" s="51"/>
      <c r="O27" s="51">
        <f>SUM(G27:K27)</f>
        <v>68838560</v>
      </c>
      <c r="P27" s="51">
        <f>SUM(H27:O27)</f>
        <v>118729840</v>
      </c>
    </row>
    <row r="28" spans="1:16" x14ac:dyDescent="0.35">
      <c r="B28" s="45" t="s">
        <v>52</v>
      </c>
      <c r="C28" s="46">
        <v>5000</v>
      </c>
      <c r="D28" s="51">
        <v>3998</v>
      </c>
      <c r="E28" s="51">
        <v>26273360</v>
      </c>
      <c r="F28" s="51">
        <f>$D28*F$25</f>
        <v>7996000</v>
      </c>
      <c r="G28" s="51">
        <f>$D28*G$25</f>
        <v>11994000</v>
      </c>
      <c r="H28" s="52">
        <f>E28-F28-G28</f>
        <v>6283360</v>
      </c>
      <c r="I28" s="52"/>
      <c r="J28" s="51"/>
      <c r="K28" s="51">
        <f t="shared" si="0"/>
        <v>26273360</v>
      </c>
      <c r="L28" s="51"/>
      <c r="M28" s="51"/>
      <c r="N28" s="51"/>
    </row>
    <row r="29" spans="1:16" x14ac:dyDescent="0.35">
      <c r="B29" s="45" t="s">
        <v>52</v>
      </c>
      <c r="C29" s="46">
        <v>5000</v>
      </c>
      <c r="D29" s="51">
        <v>504</v>
      </c>
      <c r="E29" s="51">
        <v>5985670</v>
      </c>
      <c r="F29" s="51">
        <f t="shared" ref="F29:I30" si="1">$D29*F$25</f>
        <v>1008000</v>
      </c>
      <c r="G29" s="51">
        <f t="shared" si="1"/>
        <v>1512000</v>
      </c>
      <c r="H29" s="51">
        <f t="shared" si="1"/>
        <v>2520000</v>
      </c>
      <c r="I29" s="51">
        <f>E29-F29-G29-H29</f>
        <v>945670</v>
      </c>
      <c r="J29" s="51">
        <v>0</v>
      </c>
      <c r="K29" s="51">
        <f t="shared" si="0"/>
        <v>5985670</v>
      </c>
      <c r="L29" s="51"/>
      <c r="M29" s="51"/>
      <c r="N29" s="51"/>
    </row>
    <row r="30" spans="1:16" ht="14.25" customHeight="1" x14ac:dyDescent="0.35">
      <c r="B30" s="45" t="s">
        <v>96</v>
      </c>
      <c r="C30" s="46">
        <f>SUM(C26:C29)</f>
        <v>15000</v>
      </c>
      <c r="D30" s="51">
        <v>319</v>
      </c>
      <c r="E30" s="51">
        <v>10049090</v>
      </c>
      <c r="F30" s="51">
        <f t="shared" si="1"/>
        <v>638000</v>
      </c>
      <c r="G30" s="51">
        <f t="shared" si="1"/>
        <v>957000</v>
      </c>
      <c r="H30" s="51">
        <f t="shared" si="1"/>
        <v>1595000</v>
      </c>
      <c r="I30" s="51">
        <f t="shared" si="1"/>
        <v>1595000</v>
      </c>
      <c r="J30" s="51">
        <f>E30-F30-G30-H30-I30</f>
        <v>5264090</v>
      </c>
      <c r="K30" s="51">
        <f t="shared" si="0"/>
        <v>10049090</v>
      </c>
      <c r="L30" s="51"/>
      <c r="M30" s="51"/>
      <c r="N30" s="51"/>
    </row>
    <row r="31" spans="1:16" ht="16" thickBot="1" x14ac:dyDescent="0.4">
      <c r="B31" s="45"/>
      <c r="C31" t="s">
        <v>0</v>
      </c>
      <c r="D31" s="53">
        <f t="shared" ref="D31:K31" si="2">SUM(D26:D30)</f>
        <v>35191</v>
      </c>
      <c r="E31" s="53">
        <f t="shared" si="2"/>
        <v>106282790</v>
      </c>
      <c r="F31" s="53">
        <f t="shared" si="2"/>
        <v>54669390</v>
      </c>
      <c r="G31" s="53">
        <f t="shared" si="2"/>
        <v>33410280</v>
      </c>
      <c r="H31" s="54">
        <f t="shared" si="2"/>
        <v>10398360</v>
      </c>
      <c r="I31" s="54">
        <f t="shared" si="2"/>
        <v>2540670</v>
      </c>
      <c r="J31" s="53">
        <f t="shared" si="2"/>
        <v>5264090</v>
      </c>
      <c r="K31" s="53">
        <f t="shared" si="2"/>
        <v>106282790</v>
      </c>
      <c r="L31" s="57"/>
      <c r="M31" s="57"/>
      <c r="N31" s="57"/>
    </row>
    <row r="32" spans="1:16" ht="16" thickTop="1" x14ac:dyDescent="0.35"/>
    <row r="34" spans="1:16" x14ac:dyDescent="0.35">
      <c r="B34" s="434" t="s">
        <v>146</v>
      </c>
      <c r="C34" s="434"/>
      <c r="D34" s="434"/>
      <c r="E34" s="434"/>
      <c r="F34" s="434"/>
      <c r="G34" s="434"/>
      <c r="H34" s="434"/>
    </row>
    <row r="35" spans="1:16" x14ac:dyDescent="0.35">
      <c r="C35" s="56"/>
      <c r="D35" s="155" t="s">
        <v>144</v>
      </c>
      <c r="E35" s="155" t="s">
        <v>145</v>
      </c>
      <c r="F35" s="434" t="s">
        <v>147</v>
      </c>
      <c r="G35" s="434"/>
      <c r="H35" s="155" t="s">
        <v>32</v>
      </c>
    </row>
    <row r="36" spans="1:16" x14ac:dyDescent="0.35">
      <c r="B36" s="45" t="s">
        <v>51</v>
      </c>
      <c r="C36" s="51">
        <f>C26</f>
        <v>2000</v>
      </c>
      <c r="D36" s="57">
        <f>D31</f>
        <v>35191</v>
      </c>
      <c r="E36" s="57">
        <f>F31</f>
        <v>54669390</v>
      </c>
      <c r="F36" s="58">
        <f>'Year 2 Rate Comp'!L12</f>
        <v>42.370000000000005</v>
      </c>
      <c r="G36" t="s">
        <v>173</v>
      </c>
      <c r="H36" s="58">
        <f>F36*D36</f>
        <v>1491042.6700000002</v>
      </c>
    </row>
    <row r="37" spans="1:16" x14ac:dyDescent="0.35">
      <c r="B37" s="45" t="s">
        <v>52</v>
      </c>
      <c r="C37" s="51">
        <f>C27</f>
        <v>3000</v>
      </c>
      <c r="E37" s="57">
        <f>G31</f>
        <v>33410280</v>
      </c>
      <c r="F37" s="156">
        <f>'Year 2 Rate Comp'!L13</f>
        <v>1.5689999999999999E-2</v>
      </c>
      <c r="G37" t="s">
        <v>174</v>
      </c>
      <c r="H37" s="157">
        <f>ROUND(E37*F37,2)</f>
        <v>524207.29</v>
      </c>
      <c r="P37" s="158">
        <v>11.86</v>
      </c>
    </row>
    <row r="38" spans="1:16" x14ac:dyDescent="0.35">
      <c r="B38" s="45" t="s">
        <v>52</v>
      </c>
      <c r="C38" s="51">
        <f>C29</f>
        <v>5000</v>
      </c>
      <c r="E38" s="57">
        <f>H31</f>
        <v>10398360</v>
      </c>
      <c r="F38" s="156">
        <f>'Year 2 Rate Comp'!L14</f>
        <v>1.456E-2</v>
      </c>
      <c r="G38" t="s">
        <v>174</v>
      </c>
      <c r="H38" s="157">
        <f>ROUND(E38*F38,2)</f>
        <v>151400.12</v>
      </c>
      <c r="P38" s="158">
        <v>11</v>
      </c>
    </row>
    <row r="39" spans="1:16" x14ac:dyDescent="0.35">
      <c r="B39" s="45" t="s">
        <v>52</v>
      </c>
      <c r="C39" s="51">
        <v>5000</v>
      </c>
      <c r="E39" s="57">
        <f>I31</f>
        <v>2540670</v>
      </c>
      <c r="F39" s="156">
        <f>'Year 2 Rate Comp'!L15</f>
        <v>1.3429999999999999E-2</v>
      </c>
      <c r="G39" t="s">
        <v>174</v>
      </c>
      <c r="H39" s="157">
        <f>ROUND(E39*F39,2)</f>
        <v>34121.199999999997</v>
      </c>
      <c r="P39" s="158">
        <v>10.15</v>
      </c>
    </row>
    <row r="40" spans="1:16" x14ac:dyDescent="0.35">
      <c r="B40" s="45" t="s">
        <v>96</v>
      </c>
      <c r="C40" s="51">
        <f>C30</f>
        <v>15000</v>
      </c>
      <c r="D40" s="56"/>
      <c r="E40" s="59">
        <f>J30</f>
        <v>5264090</v>
      </c>
      <c r="F40" s="156">
        <f>'Year 2 Rate Comp'!L16</f>
        <v>1.2299999999999998E-2</v>
      </c>
      <c r="G40" t="s">
        <v>174</v>
      </c>
      <c r="H40" s="157">
        <f>ROUND(E40*F40,2)</f>
        <v>64748.31</v>
      </c>
      <c r="P40" s="158">
        <v>9.2899999999999991</v>
      </c>
    </row>
    <row r="41" spans="1:16" ht="16" thickBot="1" x14ac:dyDescent="0.4">
      <c r="C41" t="s">
        <v>35</v>
      </c>
      <c r="E41" s="53">
        <f>SUM(E36:E40)</f>
        <v>106282790</v>
      </c>
      <c r="H41" s="159">
        <f>SUM(H36:H40)</f>
        <v>2265519.5900000003</v>
      </c>
      <c r="K41" t="s">
        <v>148</v>
      </c>
    </row>
    <row r="42" spans="1:16" ht="16" thickTop="1" x14ac:dyDescent="0.35"/>
    <row r="44" spans="1:16" x14ac:dyDescent="0.35">
      <c r="A44" t="s">
        <v>172</v>
      </c>
      <c r="B44" s="72" t="s">
        <v>164</v>
      </c>
      <c r="I44"/>
    </row>
    <row r="45" spans="1:16" x14ac:dyDescent="0.35">
      <c r="B45" s="45"/>
      <c r="C45" s="45"/>
      <c r="D45" s="45"/>
      <c r="E45" s="45"/>
      <c r="F45" s="45" t="s">
        <v>51</v>
      </c>
      <c r="G45" s="45" t="s">
        <v>52</v>
      </c>
      <c r="H45" s="46" t="s">
        <v>52</v>
      </c>
      <c r="I45" s="45" t="s">
        <v>96</v>
      </c>
      <c r="J45" s="45" t="s">
        <v>57</v>
      </c>
    </row>
    <row r="46" spans="1:16" x14ac:dyDescent="0.35">
      <c r="B46" s="45"/>
      <c r="C46" s="47" t="s">
        <v>143</v>
      </c>
      <c r="D46" s="47" t="s">
        <v>144</v>
      </c>
      <c r="E46" s="47" t="s">
        <v>145</v>
      </c>
      <c r="F46" s="48">
        <f>C47</f>
        <v>5000</v>
      </c>
      <c r="G46" s="48">
        <f>C48</f>
        <v>5000</v>
      </c>
      <c r="H46" s="49">
        <f>C48</f>
        <v>5000</v>
      </c>
      <c r="I46" s="50">
        <f>SUM(F46:H46)</f>
        <v>15000</v>
      </c>
      <c r="J46" s="47"/>
    </row>
    <row r="47" spans="1:16" x14ac:dyDescent="0.35">
      <c r="B47" s="45" t="s">
        <v>51</v>
      </c>
      <c r="C47" s="46">
        <v>5000</v>
      </c>
      <c r="D47" s="51">
        <v>173</v>
      </c>
      <c r="E47" s="51">
        <v>291950</v>
      </c>
      <c r="F47" s="51">
        <f>E47</f>
        <v>291950</v>
      </c>
      <c r="G47" s="51">
        <v>0</v>
      </c>
      <c r="H47" s="52">
        <v>0</v>
      </c>
      <c r="I47" s="51">
        <v>0</v>
      </c>
      <c r="J47" s="51">
        <f>SUM(F47:I47)</f>
        <v>291950</v>
      </c>
    </row>
    <row r="48" spans="1:16" x14ac:dyDescent="0.35">
      <c r="B48" s="45" t="s">
        <v>52</v>
      </c>
      <c r="C48" s="46">
        <v>5000</v>
      </c>
      <c r="D48" s="51">
        <v>15</v>
      </c>
      <c r="E48" s="51">
        <v>103990</v>
      </c>
      <c r="F48" s="51">
        <f>$D48*F$46</f>
        <v>75000</v>
      </c>
      <c r="G48" s="51">
        <f>E48-F48</f>
        <v>28990</v>
      </c>
      <c r="H48" s="52">
        <v>0</v>
      </c>
      <c r="I48" s="51">
        <v>0</v>
      </c>
      <c r="J48" s="51">
        <f>SUM(F48:I48)</f>
        <v>103990</v>
      </c>
      <c r="K48" s="51"/>
      <c r="L48" s="51"/>
      <c r="M48" s="51"/>
      <c r="N48" s="51"/>
      <c r="O48" s="51"/>
    </row>
    <row r="49" spans="1:16" x14ac:dyDescent="0.35">
      <c r="B49" s="45" t="s">
        <v>52</v>
      </c>
      <c r="C49" s="46">
        <v>5000</v>
      </c>
      <c r="D49" s="51">
        <v>2</v>
      </c>
      <c r="E49" s="51">
        <v>24750</v>
      </c>
      <c r="F49" s="51">
        <f t="shared" ref="F49:F50" si="3">$D49*F$46</f>
        <v>10000</v>
      </c>
      <c r="G49" s="51">
        <f>$D49*G$46</f>
        <v>10000</v>
      </c>
      <c r="H49" s="52">
        <f>E49-F49-G49</f>
        <v>4750</v>
      </c>
      <c r="I49" s="51"/>
      <c r="J49" s="51">
        <f>SUM(F49:I49)</f>
        <v>24750</v>
      </c>
    </row>
    <row r="50" spans="1:16" x14ac:dyDescent="0.35">
      <c r="B50" s="45" t="s">
        <v>96</v>
      </c>
      <c r="C50" s="46">
        <f>SUM(C47:C49)</f>
        <v>15000</v>
      </c>
      <c r="D50" s="51">
        <v>10</v>
      </c>
      <c r="E50" s="51">
        <v>655450</v>
      </c>
      <c r="F50" s="51">
        <f t="shared" si="3"/>
        <v>50000</v>
      </c>
      <c r="G50" s="51">
        <f>$D50*G$46</f>
        <v>50000</v>
      </c>
      <c r="H50" s="51">
        <f>$D50*H$46</f>
        <v>50000</v>
      </c>
      <c r="I50" s="51">
        <f>E50-F50-G50-H50</f>
        <v>505450</v>
      </c>
      <c r="J50" s="51">
        <f>SUM(F50:I50)</f>
        <v>655450</v>
      </c>
    </row>
    <row r="51" spans="1:16" ht="16" thickBot="1" x14ac:dyDescent="0.4">
      <c r="B51" s="45"/>
      <c r="C51" t="s">
        <v>0</v>
      </c>
      <c r="D51" s="53">
        <f t="shared" ref="D51:J51" si="4">SUM(D47:D50)</f>
        <v>200</v>
      </c>
      <c r="E51" s="53">
        <f t="shared" si="4"/>
        <v>1076140</v>
      </c>
      <c r="F51" s="53">
        <f t="shared" si="4"/>
        <v>426950</v>
      </c>
      <c r="G51" s="53">
        <f t="shared" si="4"/>
        <v>88990</v>
      </c>
      <c r="H51" s="54">
        <f t="shared" si="4"/>
        <v>54750</v>
      </c>
      <c r="I51" s="53">
        <f t="shared" si="4"/>
        <v>505450</v>
      </c>
      <c r="J51" s="53">
        <f t="shared" si="4"/>
        <v>1076140</v>
      </c>
    </row>
    <row r="52" spans="1:16" ht="16" thickTop="1" x14ac:dyDescent="0.35">
      <c r="I52"/>
    </row>
    <row r="53" spans="1:16" x14ac:dyDescent="0.35">
      <c r="I53"/>
    </row>
    <row r="54" spans="1:16" x14ac:dyDescent="0.35">
      <c r="B54" s="434" t="s">
        <v>146</v>
      </c>
      <c r="C54" s="434"/>
      <c r="D54" s="434"/>
      <c r="E54" s="434"/>
      <c r="F54" s="434"/>
      <c r="G54" s="434"/>
      <c r="H54" s="434"/>
      <c r="I54"/>
    </row>
    <row r="55" spans="1:16" x14ac:dyDescent="0.35">
      <c r="C55" s="56"/>
      <c r="D55" s="155" t="s">
        <v>144</v>
      </c>
      <c r="E55" s="155" t="s">
        <v>145</v>
      </c>
      <c r="F55" s="434" t="s">
        <v>147</v>
      </c>
      <c r="G55" s="434"/>
      <c r="H55" s="155" t="s">
        <v>32</v>
      </c>
      <c r="I55"/>
    </row>
    <row r="56" spans="1:16" x14ac:dyDescent="0.35">
      <c r="B56" s="45" t="s">
        <v>51</v>
      </c>
      <c r="C56" s="51">
        <f>C47</f>
        <v>5000</v>
      </c>
      <c r="D56" s="57">
        <f>D51</f>
        <v>200</v>
      </c>
      <c r="E56" s="57">
        <f>F51</f>
        <v>426950</v>
      </c>
      <c r="F56" s="58">
        <f>'Year 2 Rate Comp'!L19</f>
        <v>89.800000000000011</v>
      </c>
      <c r="G56" t="s">
        <v>173</v>
      </c>
      <c r="H56" s="58">
        <f>F56*D56</f>
        <v>17960.000000000004</v>
      </c>
      <c r="I56"/>
    </row>
    <row r="57" spans="1:16" x14ac:dyDescent="0.35">
      <c r="B57" s="45" t="s">
        <v>52</v>
      </c>
      <c r="C57" s="51">
        <f>C48</f>
        <v>5000</v>
      </c>
      <c r="E57" s="57">
        <f>G51</f>
        <v>88990</v>
      </c>
      <c r="F57" s="156">
        <f>'Year 2 Rate Comp'!L20</f>
        <v>1.456E-2</v>
      </c>
      <c r="G57" t="s">
        <v>174</v>
      </c>
      <c r="H57" s="157">
        <f>ROUND(E57*F57,2)</f>
        <v>1295.69</v>
      </c>
      <c r="I57"/>
      <c r="P57" s="158">
        <v>11</v>
      </c>
    </row>
    <row r="58" spans="1:16" x14ac:dyDescent="0.35">
      <c r="B58" s="45" t="s">
        <v>52</v>
      </c>
      <c r="C58" s="51">
        <f>C49</f>
        <v>5000</v>
      </c>
      <c r="E58" s="57">
        <f>H51</f>
        <v>54750</v>
      </c>
      <c r="F58" s="156">
        <f>'Year 2 Rate Comp'!L21</f>
        <v>1.3429999999999999E-2</v>
      </c>
      <c r="G58" t="s">
        <v>174</v>
      </c>
      <c r="H58" s="157">
        <f>ROUND(E58*F58,2)</f>
        <v>735.29</v>
      </c>
      <c r="I58"/>
      <c r="P58" s="158">
        <v>10.15</v>
      </c>
    </row>
    <row r="59" spans="1:16" x14ac:dyDescent="0.35">
      <c r="B59" s="45" t="s">
        <v>96</v>
      </c>
      <c r="C59" s="51">
        <f>C50</f>
        <v>15000</v>
      </c>
      <c r="D59" s="56"/>
      <c r="E59" s="59">
        <f>I50</f>
        <v>505450</v>
      </c>
      <c r="F59" s="156">
        <f>'Year 2 Rate Comp'!L22</f>
        <v>1.2299999999999998E-2</v>
      </c>
      <c r="G59" t="s">
        <v>174</v>
      </c>
      <c r="H59" s="157">
        <f>ROUND(E59*F59,2)</f>
        <v>6217.04</v>
      </c>
      <c r="I59"/>
      <c r="P59" s="158">
        <v>9.2899999999999991</v>
      </c>
    </row>
    <row r="60" spans="1:16" ht="16" thickBot="1" x14ac:dyDescent="0.4">
      <c r="C60" t="s">
        <v>35</v>
      </c>
      <c r="E60" s="53">
        <f>SUM(E56:E59)</f>
        <v>1076140</v>
      </c>
      <c r="H60" s="159">
        <f>SUM(H56:H59)</f>
        <v>26208.020000000004</v>
      </c>
      <c r="I60"/>
      <c r="J60" t="s">
        <v>148</v>
      </c>
    </row>
    <row r="61" spans="1:16" ht="16" thickTop="1" x14ac:dyDescent="0.35"/>
    <row r="62" spans="1:16" x14ac:dyDescent="0.35">
      <c r="A62" t="s">
        <v>172</v>
      </c>
      <c r="B62" s="72" t="s">
        <v>165</v>
      </c>
      <c r="H62"/>
      <c r="I62"/>
    </row>
    <row r="63" spans="1:16" x14ac:dyDescent="0.35">
      <c r="B63" s="45"/>
      <c r="C63" s="45"/>
      <c r="D63" s="45"/>
      <c r="E63" s="45"/>
      <c r="F63" s="45" t="s">
        <v>51</v>
      </c>
      <c r="G63" s="45" t="s">
        <v>96</v>
      </c>
      <c r="H63" s="45" t="s">
        <v>57</v>
      </c>
      <c r="I63"/>
    </row>
    <row r="64" spans="1:16" x14ac:dyDescent="0.35">
      <c r="B64" s="45"/>
      <c r="C64" s="47" t="s">
        <v>143</v>
      </c>
      <c r="D64" s="47" t="s">
        <v>144</v>
      </c>
      <c r="E64" s="47" t="s">
        <v>145</v>
      </c>
      <c r="F64" s="48">
        <f>C65</f>
        <v>15000</v>
      </c>
      <c r="G64" s="50">
        <f>SUM(F64:F64)</f>
        <v>15000</v>
      </c>
      <c r="H64" s="47"/>
      <c r="I64"/>
    </row>
    <row r="65" spans="1:16" x14ac:dyDescent="0.35">
      <c r="B65" s="45" t="s">
        <v>51</v>
      </c>
      <c r="C65" s="46">
        <v>15000</v>
      </c>
      <c r="D65" s="51">
        <v>24</v>
      </c>
      <c r="E65" s="51">
        <v>145730</v>
      </c>
      <c r="F65" s="51">
        <f>E65</f>
        <v>145730</v>
      </c>
      <c r="G65" s="51">
        <v>0</v>
      </c>
      <c r="H65" s="51">
        <f>SUM(F65:G65)</f>
        <v>145730</v>
      </c>
      <c r="I65"/>
    </row>
    <row r="66" spans="1:16" x14ac:dyDescent="0.35">
      <c r="B66" s="45" t="s">
        <v>96</v>
      </c>
      <c r="C66" s="46">
        <f>SUM(C65:C65)</f>
        <v>15000</v>
      </c>
      <c r="D66" s="51">
        <v>72</v>
      </c>
      <c r="E66" s="51">
        <v>12530570</v>
      </c>
      <c r="F66" s="51">
        <f>$D66*F$64</f>
        <v>1080000</v>
      </c>
      <c r="G66" s="51">
        <f>E66-F66</f>
        <v>11450570</v>
      </c>
      <c r="H66" s="51">
        <f>SUM(F66:G66)</f>
        <v>12530570</v>
      </c>
      <c r="I66"/>
    </row>
    <row r="67" spans="1:16" ht="16" thickBot="1" x14ac:dyDescent="0.4">
      <c r="B67" s="45"/>
      <c r="C67" t="s">
        <v>0</v>
      </c>
      <c r="D67" s="53">
        <f>SUM(D65:D66)</f>
        <v>96</v>
      </c>
      <c r="E67" s="53">
        <f>SUM(E65:E66)</f>
        <v>12676300</v>
      </c>
      <c r="F67" s="53">
        <f>SUM(F65:F66)</f>
        <v>1225730</v>
      </c>
      <c r="G67" s="53">
        <f>SUM(G65:G66)</f>
        <v>11450570</v>
      </c>
      <c r="H67" s="53">
        <f>SUM(H65:H66)</f>
        <v>12676300</v>
      </c>
      <c r="I67"/>
    </row>
    <row r="68" spans="1:16" ht="16" thickTop="1" x14ac:dyDescent="0.35">
      <c r="H68"/>
      <c r="I68"/>
    </row>
    <row r="69" spans="1:16" x14ac:dyDescent="0.35">
      <c r="H69"/>
      <c r="I69"/>
    </row>
    <row r="70" spans="1:16" x14ac:dyDescent="0.35">
      <c r="B70" s="434" t="s">
        <v>146</v>
      </c>
      <c r="C70" s="434"/>
      <c r="D70" s="434"/>
      <c r="E70" s="434"/>
      <c r="F70" s="434"/>
      <c r="G70" s="434"/>
      <c r="H70" s="434"/>
      <c r="I70"/>
    </row>
    <row r="71" spans="1:16" x14ac:dyDescent="0.35">
      <c r="C71" s="56"/>
      <c r="D71" s="155" t="s">
        <v>144</v>
      </c>
      <c r="E71" s="155" t="s">
        <v>145</v>
      </c>
      <c r="F71" s="434" t="s">
        <v>147</v>
      </c>
      <c r="G71" s="434"/>
      <c r="H71" s="155" t="s">
        <v>32</v>
      </c>
      <c r="I71"/>
    </row>
    <row r="72" spans="1:16" x14ac:dyDescent="0.35">
      <c r="B72" s="45" t="s">
        <v>51</v>
      </c>
      <c r="C72" s="51">
        <f>C65</f>
        <v>15000</v>
      </c>
      <c r="D72" s="57">
        <f>D67</f>
        <v>96</v>
      </c>
      <c r="E72" s="57">
        <f>F67</f>
        <v>1225730</v>
      </c>
      <c r="F72" s="58">
        <f>'Year 2 Rate Comp'!L25</f>
        <v>228.26999999999998</v>
      </c>
      <c r="G72" t="s">
        <v>173</v>
      </c>
      <c r="H72" s="58">
        <f>F72*D72</f>
        <v>21913.919999999998</v>
      </c>
      <c r="I72"/>
    </row>
    <row r="73" spans="1:16" x14ac:dyDescent="0.35">
      <c r="B73" s="45" t="s">
        <v>96</v>
      </c>
      <c r="C73" s="51">
        <f>C66</f>
        <v>15000</v>
      </c>
      <c r="D73" s="56"/>
      <c r="E73" s="59">
        <f>G66</f>
        <v>11450570</v>
      </c>
      <c r="F73" s="156">
        <f>'Year 2 Rate Comp'!L26</f>
        <v>1.2299999999999998E-2</v>
      </c>
      <c r="G73" t="s">
        <v>174</v>
      </c>
      <c r="H73" s="157">
        <f>ROUND(E73*F73,2)</f>
        <v>140842.01</v>
      </c>
      <c r="I73"/>
      <c r="P73" s="158">
        <v>9.2899999999999991</v>
      </c>
    </row>
    <row r="74" spans="1:16" ht="16" thickBot="1" x14ac:dyDescent="0.4">
      <c r="C74" t="s">
        <v>35</v>
      </c>
      <c r="E74" s="53">
        <f>SUM(E72:E73)</f>
        <v>12676300</v>
      </c>
      <c r="H74" s="159">
        <f>SUM(H72:H73)</f>
        <v>162755.93</v>
      </c>
      <c r="I74"/>
    </row>
    <row r="75" spans="1:16" ht="16" thickTop="1" x14ac:dyDescent="0.35"/>
    <row r="76" spans="1:16" x14ac:dyDescent="0.35">
      <c r="A76" t="s">
        <v>172</v>
      </c>
      <c r="B76" s="72" t="s">
        <v>166</v>
      </c>
      <c r="H76"/>
      <c r="I76"/>
    </row>
    <row r="77" spans="1:16" x14ac:dyDescent="0.35">
      <c r="B77" s="45"/>
      <c r="C77" s="45"/>
      <c r="D77" s="45"/>
      <c r="E77" s="45"/>
      <c r="F77" s="45" t="s">
        <v>51</v>
      </c>
      <c r="G77" s="45" t="s">
        <v>96</v>
      </c>
      <c r="H77" s="45" t="s">
        <v>57</v>
      </c>
      <c r="I77"/>
    </row>
    <row r="78" spans="1:16" x14ac:dyDescent="0.35">
      <c r="B78" s="45"/>
      <c r="C78" s="47" t="s">
        <v>143</v>
      </c>
      <c r="D78" s="47" t="s">
        <v>144</v>
      </c>
      <c r="E78" s="47" t="s">
        <v>145</v>
      </c>
      <c r="F78" s="48">
        <f>C79</f>
        <v>100000</v>
      </c>
      <c r="G78" s="50">
        <f>SUM(F78:F78)</f>
        <v>100000</v>
      </c>
      <c r="H78" s="47"/>
      <c r="I78"/>
    </row>
    <row r="79" spans="1:16" x14ac:dyDescent="0.35">
      <c r="B79" s="45" t="s">
        <v>51</v>
      </c>
      <c r="C79" s="46">
        <v>100000</v>
      </c>
      <c r="D79" s="51">
        <v>8</v>
      </c>
      <c r="E79" s="51">
        <v>382380</v>
      </c>
      <c r="F79" s="51">
        <f>E79</f>
        <v>382380</v>
      </c>
      <c r="G79" s="51">
        <v>0</v>
      </c>
      <c r="H79" s="51">
        <f>SUM(F79:G79)</f>
        <v>382380</v>
      </c>
      <c r="I79"/>
    </row>
    <row r="80" spans="1:16" x14ac:dyDescent="0.35">
      <c r="B80" s="45" t="s">
        <v>96</v>
      </c>
      <c r="C80" s="46">
        <f>SUM(C79:C79)</f>
        <v>100000</v>
      </c>
      <c r="D80" s="51">
        <v>4</v>
      </c>
      <c r="E80" s="51">
        <v>754330</v>
      </c>
      <c r="F80" s="51">
        <f>$D80*F$78</f>
        <v>400000</v>
      </c>
      <c r="G80" s="51">
        <f>E80-F80</f>
        <v>354330</v>
      </c>
      <c r="H80" s="51">
        <f>SUM(F80:G80)</f>
        <v>754330</v>
      </c>
      <c r="I80"/>
    </row>
    <row r="81" spans="1:16" ht="16" thickBot="1" x14ac:dyDescent="0.4">
      <c r="B81" s="45"/>
      <c r="C81" t="s">
        <v>0</v>
      </c>
      <c r="D81" s="53">
        <f>SUM(D79:D80)</f>
        <v>12</v>
      </c>
      <c r="E81" s="53">
        <f>SUM(E79:E80)</f>
        <v>1136710</v>
      </c>
      <c r="F81" s="53">
        <f>SUM(F79:F80)</f>
        <v>782380</v>
      </c>
      <c r="G81" s="53">
        <f>SUM(G79:G80)</f>
        <v>354330</v>
      </c>
      <c r="H81" s="53">
        <f>SUM(H79:H80)</f>
        <v>1136710</v>
      </c>
      <c r="I81"/>
    </row>
    <row r="82" spans="1:16" ht="16" thickTop="1" x14ac:dyDescent="0.35">
      <c r="H82"/>
      <c r="I82"/>
    </row>
    <row r="83" spans="1:16" x14ac:dyDescent="0.35">
      <c r="H83"/>
      <c r="I83"/>
    </row>
    <row r="84" spans="1:16" x14ac:dyDescent="0.35">
      <c r="B84" s="434" t="s">
        <v>146</v>
      </c>
      <c r="C84" s="434"/>
      <c r="D84" s="434"/>
      <c r="E84" s="434"/>
      <c r="F84" s="434"/>
      <c r="G84" s="434"/>
      <c r="H84" s="434"/>
      <c r="I84"/>
    </row>
    <row r="85" spans="1:16" x14ac:dyDescent="0.35">
      <c r="C85" s="56"/>
      <c r="D85" s="155" t="s">
        <v>144</v>
      </c>
      <c r="E85" s="155" t="s">
        <v>145</v>
      </c>
      <c r="F85" s="434" t="s">
        <v>147</v>
      </c>
      <c r="G85" s="434"/>
      <c r="H85" s="155" t="s">
        <v>32</v>
      </c>
      <c r="I85"/>
    </row>
    <row r="86" spans="1:16" x14ac:dyDescent="0.35">
      <c r="B86" s="45" t="s">
        <v>51</v>
      </c>
      <c r="C86" s="51">
        <f>C79</f>
        <v>100000</v>
      </c>
      <c r="D86" s="57">
        <f>D81</f>
        <v>12</v>
      </c>
      <c r="E86" s="57">
        <f>F81</f>
        <v>782380</v>
      </c>
      <c r="F86" s="58">
        <f>'Year 2 Rate Comp'!L29</f>
        <v>1278.5100000000002</v>
      </c>
      <c r="G86" t="s">
        <v>173</v>
      </c>
      <c r="H86" s="58">
        <f>F86*D86</f>
        <v>15342.120000000003</v>
      </c>
      <c r="I86"/>
    </row>
    <row r="87" spans="1:16" x14ac:dyDescent="0.35">
      <c r="B87" s="45" t="s">
        <v>96</v>
      </c>
      <c r="C87" s="51">
        <f>C80</f>
        <v>100000</v>
      </c>
      <c r="D87" s="56"/>
      <c r="E87" s="59">
        <f>G80</f>
        <v>354330</v>
      </c>
      <c r="F87" s="156">
        <f>'Year 2 Rate Comp'!L30</f>
        <v>1.2299999999999998E-2</v>
      </c>
      <c r="G87" t="s">
        <v>174</v>
      </c>
      <c r="H87" s="157">
        <f>ROUND(E87*F87,2)</f>
        <v>4358.26</v>
      </c>
      <c r="I87"/>
      <c r="P87" s="158">
        <v>9.2899999999999991</v>
      </c>
    </row>
    <row r="88" spans="1:16" ht="16" thickBot="1" x14ac:dyDescent="0.4">
      <c r="C88" t="s">
        <v>35</v>
      </c>
      <c r="E88" s="53">
        <f>SUM(E86:E87)</f>
        <v>1136710</v>
      </c>
      <c r="H88" s="159">
        <f>SUM(H86:H87)</f>
        <v>19700.380000000005</v>
      </c>
      <c r="I88"/>
    </row>
    <row r="89" spans="1:16" ht="16" thickTop="1" x14ac:dyDescent="0.35"/>
    <row r="90" spans="1:16" x14ac:dyDescent="0.35">
      <c r="A90" t="s">
        <v>172</v>
      </c>
      <c r="B90" s="72" t="s">
        <v>175</v>
      </c>
      <c r="H90"/>
      <c r="I90"/>
    </row>
    <row r="91" spans="1:16" x14ac:dyDescent="0.35">
      <c r="H91"/>
      <c r="I91"/>
    </row>
    <row r="92" spans="1:16" x14ac:dyDescent="0.35">
      <c r="B92" s="45"/>
      <c r="C92" s="45"/>
      <c r="D92" s="45"/>
      <c r="E92" s="45"/>
      <c r="H92"/>
      <c r="I92"/>
    </row>
    <row r="93" spans="1:16" x14ac:dyDescent="0.35">
      <c r="B93" s="45"/>
      <c r="C93" s="47" t="s">
        <v>143</v>
      </c>
      <c r="D93" s="47" t="s">
        <v>144</v>
      </c>
      <c r="E93" s="47" t="s">
        <v>145</v>
      </c>
      <c r="H93"/>
      <c r="I93"/>
    </row>
    <row r="94" spans="1:16" x14ac:dyDescent="0.35">
      <c r="B94" s="45" t="s">
        <v>96</v>
      </c>
      <c r="C94" s="46">
        <v>6280000</v>
      </c>
      <c r="D94" s="51">
        <v>12</v>
      </c>
      <c r="E94" s="51">
        <v>6280000</v>
      </c>
      <c r="H94"/>
      <c r="I94"/>
    </row>
    <row r="95" spans="1:16" ht="16" thickBot="1" x14ac:dyDescent="0.4">
      <c r="B95" s="45"/>
      <c r="C95" t="s">
        <v>0</v>
      </c>
      <c r="D95" s="53">
        <f>SUM(D94:D94)</f>
        <v>12</v>
      </c>
      <c r="E95" s="53">
        <f>SUM(E94:E94)</f>
        <v>6280000</v>
      </c>
      <c r="H95"/>
      <c r="I95"/>
    </row>
    <row r="96" spans="1:16" ht="16" thickTop="1" x14ac:dyDescent="0.35">
      <c r="H96"/>
      <c r="I96"/>
    </row>
    <row r="97" spans="2:16" x14ac:dyDescent="0.35">
      <c r="H97"/>
      <c r="I97"/>
    </row>
    <row r="98" spans="2:16" x14ac:dyDescent="0.35">
      <c r="B98" s="434" t="s">
        <v>146</v>
      </c>
      <c r="C98" s="434"/>
      <c r="D98" s="434"/>
      <c r="E98" s="434"/>
      <c r="F98" s="434"/>
      <c r="G98" s="434"/>
      <c r="H98" s="434"/>
      <c r="I98"/>
    </row>
    <row r="99" spans="2:16" x14ac:dyDescent="0.35">
      <c r="C99" s="56"/>
      <c r="D99" s="155" t="s">
        <v>144</v>
      </c>
      <c r="E99" s="155" t="s">
        <v>145</v>
      </c>
      <c r="F99" s="434" t="s">
        <v>147</v>
      </c>
      <c r="G99" s="434"/>
      <c r="H99" s="155" t="s">
        <v>32</v>
      </c>
      <c r="I99"/>
    </row>
    <row r="100" spans="2:16" x14ac:dyDescent="0.35">
      <c r="B100" s="45" t="s">
        <v>145</v>
      </c>
      <c r="C100" s="51"/>
      <c r="D100" s="59">
        <f>D95</f>
        <v>12</v>
      </c>
      <c r="E100" s="59">
        <f>E95</f>
        <v>6280000</v>
      </c>
      <c r="F100" s="156">
        <f>'Year 2 Rate Comp'!L33</f>
        <v>6.0000000000000001E-3</v>
      </c>
      <c r="G100" t="s">
        <v>174</v>
      </c>
      <c r="H100" s="157">
        <f>ROUND(E100*F100,2)</f>
        <v>37680</v>
      </c>
      <c r="I100"/>
      <c r="P100" s="158">
        <v>4.5199999999999996</v>
      </c>
    </row>
    <row r="101" spans="2:16" ht="16" thickBot="1" x14ac:dyDescent="0.4">
      <c r="C101" t="s">
        <v>35</v>
      </c>
      <c r="E101" s="53">
        <f>SUM(E100:E100)</f>
        <v>6280000</v>
      </c>
      <c r="H101" s="159">
        <f>SUM(H100:H100)</f>
        <v>37680</v>
      </c>
      <c r="I101"/>
    </row>
    <row r="102" spans="2:16" ht="16" thickTop="1" x14ac:dyDescent="0.35"/>
  </sheetData>
  <mergeCells count="17">
    <mergeCell ref="B70:H70"/>
    <mergeCell ref="A1:K1"/>
    <mergeCell ref="A2:K2"/>
    <mergeCell ref="A3:K3"/>
    <mergeCell ref="A4:K4"/>
    <mergeCell ref="C6:D6"/>
    <mergeCell ref="C7:D7"/>
    <mergeCell ref="C8:D8"/>
    <mergeCell ref="B34:H34"/>
    <mergeCell ref="F35:G35"/>
    <mergeCell ref="B54:H54"/>
    <mergeCell ref="F55:G55"/>
    <mergeCell ref="F71:G71"/>
    <mergeCell ref="B84:H84"/>
    <mergeCell ref="F85:G85"/>
    <mergeCell ref="B98:H98"/>
    <mergeCell ref="F99:G99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CEAC9-546B-4275-804A-7D8B20FBAA43}">
  <dimension ref="A1:B7"/>
  <sheetViews>
    <sheetView workbookViewId="0">
      <selection activeCell="B2" sqref="B2:B5"/>
    </sheetView>
  </sheetViews>
  <sheetFormatPr defaultColWidth="8.84375" defaultRowHeight="15.5" x14ac:dyDescent="0.35"/>
  <cols>
    <col min="1" max="1" width="19.4609375" style="27" customWidth="1"/>
    <col min="2" max="2" width="11.53515625" style="264" customWidth="1"/>
    <col min="3" max="3" width="14.3046875" style="27" customWidth="1"/>
    <col min="4" max="16384" width="8.84375" style="27"/>
  </cols>
  <sheetData>
    <row r="1" spans="1:2" x14ac:dyDescent="0.35">
      <c r="A1" s="259" t="s">
        <v>307</v>
      </c>
      <c r="B1" s="260" t="s">
        <v>30</v>
      </c>
    </row>
    <row r="2" spans="1:2" x14ac:dyDescent="0.35">
      <c r="A2" s="261" t="s">
        <v>308</v>
      </c>
      <c r="B2" s="265">
        <v>9228.59</v>
      </c>
    </row>
    <row r="3" spans="1:2" x14ac:dyDescent="0.35">
      <c r="A3" s="263" t="s">
        <v>309</v>
      </c>
      <c r="B3" s="266">
        <v>398.75</v>
      </c>
    </row>
    <row r="4" spans="1:2" x14ac:dyDescent="0.35">
      <c r="A4" s="263" t="s">
        <v>310</v>
      </c>
      <c r="B4" s="267">
        <v>2460.69</v>
      </c>
    </row>
    <row r="5" spans="1:2" ht="16" thickBot="1" x14ac:dyDescent="0.4">
      <c r="A5" s="263" t="s">
        <v>57</v>
      </c>
      <c r="B5" s="268">
        <f>SUM(B2:B4)</f>
        <v>12088.03</v>
      </c>
    </row>
    <row r="6" spans="1:2" ht="16" thickTop="1" x14ac:dyDescent="0.35">
      <c r="A6" s="263"/>
      <c r="B6" s="262"/>
    </row>
    <row r="7" spans="1:2" x14ac:dyDescent="0.35">
      <c r="A7" s="263"/>
      <c r="B7" s="262"/>
    </row>
  </sheetData>
  <sortState xmlns:xlrd2="http://schemas.microsoft.com/office/spreadsheetml/2017/richdata2" ref="A5:E22">
    <sortCondition ref="A5:A22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7BB05-1922-4A09-9594-1144168203D1}">
  <dimension ref="B3:L27"/>
  <sheetViews>
    <sheetView showGridLines="0" topLeftCell="A6" workbookViewId="0">
      <selection activeCell="C1" sqref="C1:L1048576"/>
    </sheetView>
  </sheetViews>
  <sheetFormatPr defaultRowHeight="15.5" x14ac:dyDescent="0.35"/>
  <cols>
    <col min="3" max="3" width="7.3046875" customWidth="1"/>
    <col min="4" max="4" width="8.84375" customWidth="1"/>
    <col min="5" max="5" width="7.4609375" customWidth="1"/>
    <col min="6" max="7" width="10.765625" customWidth="1"/>
    <col min="8" max="8" width="1.765625" customWidth="1"/>
    <col min="9" max="10" width="10.765625" customWidth="1"/>
    <col min="11" max="11" width="1.765625" customWidth="1"/>
    <col min="12" max="12" width="12.765625" customWidth="1"/>
  </cols>
  <sheetData>
    <row r="3" spans="2:12" x14ac:dyDescent="0.35">
      <c r="B3" s="4"/>
      <c r="C3" s="4"/>
      <c r="D3" s="4"/>
      <c r="E3" s="4"/>
      <c r="F3" s="15"/>
      <c r="G3" s="4"/>
      <c r="H3" s="4"/>
      <c r="I3" s="15"/>
      <c r="J3" s="4"/>
      <c r="K3" s="4"/>
    </row>
    <row r="4" spans="2:12" ht="21" x14ac:dyDescent="0.5">
      <c r="B4" s="4"/>
      <c r="C4" s="449" t="s">
        <v>363</v>
      </c>
      <c r="D4" s="449"/>
      <c r="E4" s="449"/>
      <c r="F4" s="449"/>
      <c r="G4" s="449"/>
      <c r="H4" s="449"/>
      <c r="I4" s="449"/>
      <c r="J4" s="449"/>
      <c r="K4" s="449"/>
      <c r="L4" s="449"/>
    </row>
    <row r="5" spans="2:12" ht="21" x14ac:dyDescent="0.5">
      <c r="B5" s="4"/>
      <c r="C5" s="450" t="s">
        <v>364</v>
      </c>
      <c r="D5" s="450"/>
      <c r="E5" s="450"/>
      <c r="F5" s="450"/>
      <c r="G5" s="450"/>
      <c r="H5" s="450"/>
      <c r="I5" s="450"/>
      <c r="J5" s="450"/>
      <c r="K5" s="450"/>
      <c r="L5" s="450"/>
    </row>
    <row r="6" spans="2:12" ht="21" x14ac:dyDescent="0.5">
      <c r="B6" s="4"/>
      <c r="C6" s="449" t="s">
        <v>160</v>
      </c>
      <c r="D6" s="449"/>
      <c r="E6" s="449"/>
      <c r="F6" s="449"/>
      <c r="G6" s="449"/>
      <c r="H6" s="449"/>
      <c r="I6" s="449"/>
      <c r="J6" s="449"/>
      <c r="K6" s="449"/>
      <c r="L6" s="449"/>
    </row>
    <row r="7" spans="2:12" x14ac:dyDescent="0.35">
      <c r="B7" s="4"/>
      <c r="C7" s="16"/>
      <c r="D7" s="4"/>
      <c r="E7" s="4"/>
      <c r="F7" s="15"/>
      <c r="G7" s="4"/>
      <c r="H7" s="4"/>
      <c r="I7" s="79"/>
      <c r="J7" s="4"/>
      <c r="K7" s="4"/>
    </row>
    <row r="8" spans="2:12" x14ac:dyDescent="0.35">
      <c r="B8" s="4"/>
      <c r="F8" s="434" t="s">
        <v>342</v>
      </c>
      <c r="G8" s="434"/>
      <c r="H8" s="325"/>
      <c r="I8" s="434" t="s">
        <v>342</v>
      </c>
      <c r="J8" s="434"/>
      <c r="K8" s="325"/>
      <c r="L8" s="155" t="s">
        <v>343</v>
      </c>
    </row>
    <row r="9" spans="2:12" x14ac:dyDescent="0.35">
      <c r="B9" s="4"/>
      <c r="C9" s="62" t="s">
        <v>295</v>
      </c>
      <c r="F9" s="325"/>
      <c r="G9" s="325"/>
      <c r="H9" s="325"/>
      <c r="I9" s="325"/>
      <c r="J9" s="325"/>
      <c r="K9" s="325"/>
      <c r="L9" s="325"/>
    </row>
    <row r="10" spans="2:12" x14ac:dyDescent="0.35">
      <c r="B10" s="4"/>
      <c r="C10" s="45" t="s">
        <v>51</v>
      </c>
      <c r="D10" s="51">
        <v>2000</v>
      </c>
      <c r="E10" s="242" t="s">
        <v>145</v>
      </c>
      <c r="F10" s="144">
        <f>'Rates Comp'!F12</f>
        <v>31.89</v>
      </c>
      <c r="G10" t="s">
        <v>173</v>
      </c>
      <c r="I10" s="144">
        <f>'Rates Comp'!L12</f>
        <v>42.37</v>
      </c>
      <c r="J10" t="s">
        <v>173</v>
      </c>
      <c r="L10" s="158">
        <f>I10-F10</f>
        <v>10.479999999999997</v>
      </c>
    </row>
    <row r="11" spans="2:12" x14ac:dyDescent="0.35">
      <c r="B11" s="4"/>
      <c r="C11" s="45" t="s">
        <v>52</v>
      </c>
      <c r="D11" s="51">
        <v>3000</v>
      </c>
      <c r="E11" s="242" t="s">
        <v>145</v>
      </c>
      <c r="F11" s="61">
        <f>'Rates Comp'!F13</f>
        <v>1.1860000000000001E-2</v>
      </c>
      <c r="G11" t="s">
        <v>174</v>
      </c>
      <c r="I11" s="61">
        <f>'Rates Comp'!L13</f>
        <v>1.5689999999999999E-2</v>
      </c>
      <c r="J11" t="s">
        <v>174</v>
      </c>
      <c r="L11" s="61">
        <f t="shared" ref="L11:L14" si="0">I11-F11</f>
        <v>3.8299999999999983E-3</v>
      </c>
    </row>
    <row r="12" spans="2:12" x14ac:dyDescent="0.35">
      <c r="B12" s="4"/>
      <c r="C12" s="45" t="s">
        <v>52</v>
      </c>
      <c r="D12" s="51">
        <v>5000</v>
      </c>
      <c r="E12" s="242" t="s">
        <v>145</v>
      </c>
      <c r="F12" s="61">
        <f>'Rates Comp'!F14</f>
        <v>1.0999999999999999E-2</v>
      </c>
      <c r="G12" t="s">
        <v>174</v>
      </c>
      <c r="I12" s="61">
        <f>'Rates Comp'!L14</f>
        <v>1.4549999999999999E-2</v>
      </c>
      <c r="J12" t="s">
        <v>174</v>
      </c>
      <c r="L12" s="61">
        <f t="shared" si="0"/>
        <v>3.5499999999999993E-3</v>
      </c>
    </row>
    <row r="13" spans="2:12" x14ac:dyDescent="0.35">
      <c r="B13" s="4"/>
      <c r="C13" s="45" t="s">
        <v>52</v>
      </c>
      <c r="D13" s="51">
        <v>15000</v>
      </c>
      <c r="E13" s="242" t="s">
        <v>145</v>
      </c>
      <c r="F13" s="61">
        <f>'Rates Comp'!F15</f>
        <v>1.0149999999999999E-2</v>
      </c>
      <c r="G13" t="s">
        <v>174</v>
      </c>
      <c r="I13" s="61">
        <f>'Rates Comp'!L15</f>
        <v>1.342E-2</v>
      </c>
      <c r="J13" t="s">
        <v>174</v>
      </c>
      <c r="L13" s="61">
        <f t="shared" si="0"/>
        <v>3.2700000000000003E-3</v>
      </c>
    </row>
    <row r="14" spans="2:12" x14ac:dyDescent="0.35">
      <c r="B14" s="4"/>
      <c r="C14" s="45" t="s">
        <v>96</v>
      </c>
      <c r="D14" s="51">
        <v>15000</v>
      </c>
      <c r="E14" s="242" t="s">
        <v>145</v>
      </c>
      <c r="F14" s="61">
        <f>'Rates Comp'!F16</f>
        <v>9.2899999999999996E-3</v>
      </c>
      <c r="G14" t="s">
        <v>174</v>
      </c>
      <c r="I14" s="61">
        <f>'Rates Comp'!L16</f>
        <v>1.2280000000000001E-2</v>
      </c>
      <c r="J14" t="s">
        <v>174</v>
      </c>
      <c r="L14" s="61">
        <f t="shared" si="0"/>
        <v>2.9900000000000013E-3</v>
      </c>
    </row>
    <row r="15" spans="2:12" x14ac:dyDescent="0.35">
      <c r="B15" s="4"/>
      <c r="C15" s="72" t="s">
        <v>164</v>
      </c>
      <c r="E15" s="242"/>
    </row>
    <row r="16" spans="2:12" x14ac:dyDescent="0.35">
      <c r="B16" s="4"/>
      <c r="C16" s="45" t="s">
        <v>51</v>
      </c>
      <c r="D16" s="51">
        <v>5000</v>
      </c>
      <c r="E16" s="242" t="s">
        <v>145</v>
      </c>
      <c r="F16" s="144">
        <f>'Rates Comp'!F19</f>
        <v>67.62</v>
      </c>
      <c r="G16" t="s">
        <v>173</v>
      </c>
      <c r="I16" s="144">
        <f>'Rates Comp'!L19</f>
        <v>89.810000000000016</v>
      </c>
      <c r="J16" t="s">
        <v>173</v>
      </c>
      <c r="L16" s="158">
        <f>I16-F16</f>
        <v>22.190000000000012</v>
      </c>
    </row>
    <row r="17" spans="2:12" x14ac:dyDescent="0.35">
      <c r="B17" s="4"/>
      <c r="C17" s="45" t="s">
        <v>52</v>
      </c>
      <c r="D17" s="51">
        <v>5000</v>
      </c>
      <c r="E17" s="242" t="s">
        <v>145</v>
      </c>
      <c r="F17" s="61">
        <f>'Rates Comp'!F20</f>
        <v>1.0999999999999999E-2</v>
      </c>
      <c r="G17" t="s">
        <v>174</v>
      </c>
      <c r="I17" s="61">
        <f>'Rates Comp'!L20</f>
        <v>1.4549999999999999E-2</v>
      </c>
      <c r="J17" t="s">
        <v>174</v>
      </c>
      <c r="L17" s="61">
        <f t="shared" ref="L17:L19" si="1">I17-F17</f>
        <v>3.5499999999999993E-3</v>
      </c>
    </row>
    <row r="18" spans="2:12" x14ac:dyDescent="0.35">
      <c r="B18" s="4"/>
      <c r="C18" s="45" t="s">
        <v>52</v>
      </c>
      <c r="D18" s="51">
        <v>5000</v>
      </c>
      <c r="E18" s="242" t="s">
        <v>145</v>
      </c>
      <c r="F18" s="61">
        <f>'Rates Comp'!F21</f>
        <v>1.0149999999999999E-2</v>
      </c>
      <c r="G18" t="s">
        <v>174</v>
      </c>
      <c r="I18" s="61">
        <f>'Rates Comp'!L21</f>
        <v>1.342E-2</v>
      </c>
      <c r="J18" t="s">
        <v>174</v>
      </c>
      <c r="L18" s="61">
        <f t="shared" si="1"/>
        <v>3.2700000000000003E-3</v>
      </c>
    </row>
    <row r="19" spans="2:12" x14ac:dyDescent="0.35">
      <c r="B19" s="4"/>
      <c r="C19" s="45" t="s">
        <v>96</v>
      </c>
      <c r="D19" s="51">
        <v>15000</v>
      </c>
      <c r="E19" s="242" t="s">
        <v>145</v>
      </c>
      <c r="F19" s="61">
        <f>'Rates Comp'!F22</f>
        <v>9.2899999999999996E-3</v>
      </c>
      <c r="G19" t="s">
        <v>174</v>
      </c>
      <c r="I19" s="61">
        <f>'Rates Comp'!L22</f>
        <v>1.2280000000000001E-2</v>
      </c>
      <c r="J19" t="s">
        <v>174</v>
      </c>
      <c r="L19" s="61">
        <f t="shared" si="1"/>
        <v>2.9900000000000013E-3</v>
      </c>
    </row>
    <row r="20" spans="2:12" x14ac:dyDescent="0.35">
      <c r="B20" s="4"/>
      <c r="C20" s="72" t="s">
        <v>165</v>
      </c>
      <c r="E20" s="242"/>
    </row>
    <row r="21" spans="2:12" x14ac:dyDescent="0.35">
      <c r="B21" s="4"/>
      <c r="C21" s="45" t="s">
        <v>51</v>
      </c>
      <c r="D21" s="51">
        <v>15000</v>
      </c>
      <c r="E21" s="242" t="s">
        <v>145</v>
      </c>
      <c r="F21" s="144">
        <f>'Rates Comp'!F25</f>
        <v>171.93</v>
      </c>
      <c r="G21" t="s">
        <v>173</v>
      </c>
      <c r="I21" s="144">
        <f>'Rates Comp'!L25</f>
        <v>228.28</v>
      </c>
      <c r="J21" t="s">
        <v>173</v>
      </c>
      <c r="L21" s="158">
        <f>I21-F21</f>
        <v>56.349999999999994</v>
      </c>
    </row>
    <row r="22" spans="2:12" x14ac:dyDescent="0.35">
      <c r="B22" s="4"/>
      <c r="C22" s="45" t="s">
        <v>96</v>
      </c>
      <c r="D22" s="51">
        <v>15000</v>
      </c>
      <c r="E22" s="242" t="s">
        <v>145</v>
      </c>
      <c r="F22" s="61">
        <f>'Rates Comp'!F26</f>
        <v>9.2899999999999996E-3</v>
      </c>
      <c r="G22" t="s">
        <v>174</v>
      </c>
      <c r="I22" s="61">
        <f>'Rates Comp'!L26</f>
        <v>1.2280000000000001E-2</v>
      </c>
      <c r="J22" t="s">
        <v>174</v>
      </c>
      <c r="L22" s="61">
        <f t="shared" ref="L22" si="2">I22-F22</f>
        <v>2.9900000000000013E-3</v>
      </c>
    </row>
    <row r="23" spans="2:12" x14ac:dyDescent="0.35">
      <c r="B23" s="4"/>
      <c r="C23" s="72" t="s">
        <v>166</v>
      </c>
      <c r="E23" s="242"/>
      <c r="F23" s="61"/>
      <c r="I23" s="61"/>
    </row>
    <row r="24" spans="2:12" x14ac:dyDescent="0.35">
      <c r="B24" s="4"/>
      <c r="C24" s="45" t="s">
        <v>51</v>
      </c>
      <c r="D24" s="51">
        <v>100000</v>
      </c>
      <c r="E24" s="242" t="s">
        <v>145</v>
      </c>
      <c r="F24" s="144">
        <f>'Rates Comp'!F29</f>
        <v>963.03</v>
      </c>
      <c r="G24" t="s">
        <v>173</v>
      </c>
      <c r="I24" s="144">
        <f>'Rates Comp'!L29</f>
        <v>1278.46</v>
      </c>
      <c r="J24" t="s">
        <v>173</v>
      </c>
      <c r="L24" s="158">
        <f>I24-F24</f>
        <v>315.43000000000006</v>
      </c>
    </row>
    <row r="25" spans="2:12" x14ac:dyDescent="0.35">
      <c r="B25" s="4"/>
      <c r="C25" s="45" t="s">
        <v>96</v>
      </c>
      <c r="D25" s="51">
        <v>100000</v>
      </c>
      <c r="E25" s="242" t="s">
        <v>145</v>
      </c>
      <c r="F25" s="61">
        <f>'Rates Comp'!F30</f>
        <v>9.2899999999999996E-3</v>
      </c>
      <c r="G25" t="s">
        <v>174</v>
      </c>
      <c r="I25" s="61">
        <f>'Rates Comp'!L30</f>
        <v>1.2280000000000001E-2</v>
      </c>
      <c r="J25" t="s">
        <v>174</v>
      </c>
      <c r="L25" s="61">
        <f t="shared" ref="L25" si="3">I25-F25</f>
        <v>2.9900000000000013E-3</v>
      </c>
    </row>
    <row r="26" spans="2:12" x14ac:dyDescent="0.35">
      <c r="B26" s="4"/>
      <c r="C26" s="72" t="s">
        <v>175</v>
      </c>
      <c r="F26" s="61"/>
      <c r="I26" s="61"/>
    </row>
    <row r="27" spans="2:12" x14ac:dyDescent="0.35">
      <c r="B27" s="4"/>
      <c r="C27" s="45"/>
      <c r="D27" s="51"/>
      <c r="E27" s="51"/>
      <c r="F27" s="61">
        <f>'Rates Comp'!F33</f>
        <v>4.5199999999999997E-3</v>
      </c>
      <c r="G27" t="s">
        <v>174</v>
      </c>
      <c r="I27" s="61">
        <f>'Rates Comp'!L33</f>
        <v>6.0000000000000001E-3</v>
      </c>
      <c r="J27" t="s">
        <v>174</v>
      </c>
      <c r="L27" s="61">
        <f t="shared" ref="L27" si="4">I27-F27</f>
        <v>1.4800000000000004E-3</v>
      </c>
    </row>
  </sheetData>
  <mergeCells count="5">
    <mergeCell ref="F8:G8"/>
    <mergeCell ref="I8:J8"/>
    <mergeCell ref="C4:L4"/>
    <mergeCell ref="C5:L5"/>
    <mergeCell ref="C6:L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772FA-77AF-4E37-8F81-C934983153E2}">
  <dimension ref="A1:O85"/>
  <sheetViews>
    <sheetView showGridLines="0" workbookViewId="0">
      <selection sqref="A1:O81"/>
    </sheetView>
  </sheetViews>
  <sheetFormatPr defaultColWidth="14.53515625" defaultRowHeight="14" x14ac:dyDescent="0.3"/>
  <cols>
    <col min="1" max="1" width="1.3046875" style="24" customWidth="1"/>
    <col min="2" max="2" width="29.69140625" style="24" customWidth="1"/>
    <col min="3" max="3" width="1.4609375" style="24" customWidth="1"/>
    <col min="4" max="4" width="14.53515625" style="24"/>
    <col min="5" max="5" width="1.4609375" style="24" customWidth="1"/>
    <col min="6" max="6" width="14.53515625" style="24"/>
    <col min="7" max="7" width="1.4609375" style="24" customWidth="1"/>
    <col min="8" max="8" width="10.765625" style="24" customWidth="1"/>
    <col min="9" max="9" width="1.4609375" style="24" customWidth="1"/>
    <col min="10" max="10" width="10.765625" style="24" customWidth="1"/>
    <col min="11" max="11" width="1.4609375" style="24" customWidth="1"/>
    <col min="12" max="12" width="14.53515625" style="24"/>
    <col min="13" max="13" width="1.4609375" style="24" customWidth="1"/>
    <col min="14" max="14" width="14.53515625" style="24"/>
    <col min="15" max="15" width="1.4609375" style="24" customWidth="1"/>
    <col min="16" max="16384" width="14.53515625" style="24"/>
  </cols>
  <sheetData>
    <row r="1" spans="1:15" ht="22.5" x14ac:dyDescent="0.45">
      <c r="A1" s="451" t="s">
        <v>328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3"/>
    </row>
    <row r="2" spans="1:15" ht="22.5" x14ac:dyDescent="0.45">
      <c r="A2" s="454" t="s">
        <v>329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6"/>
    </row>
    <row r="3" spans="1:15" ht="22.5" x14ac:dyDescent="0.45">
      <c r="A3" s="458" t="str">
        <f>Adj!B1</f>
        <v>Morgan County Water District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60"/>
    </row>
    <row r="4" spans="1:15" x14ac:dyDescent="0.3">
      <c r="A4" s="294"/>
      <c r="O4" s="295"/>
    </row>
    <row r="5" spans="1:15" x14ac:dyDescent="0.3">
      <c r="A5" s="294"/>
      <c r="F5" s="142" t="s">
        <v>337</v>
      </c>
      <c r="H5" s="457" t="s">
        <v>339</v>
      </c>
      <c r="I5" s="457"/>
      <c r="J5" s="457"/>
      <c r="L5" s="142" t="s">
        <v>250</v>
      </c>
      <c r="N5" s="142" t="s">
        <v>54</v>
      </c>
      <c r="O5" s="295"/>
    </row>
    <row r="6" spans="1:15" x14ac:dyDescent="0.3">
      <c r="A6" s="294"/>
      <c r="B6" s="25" t="s">
        <v>254</v>
      </c>
      <c r="D6" s="26" t="s">
        <v>256</v>
      </c>
      <c r="F6" s="26" t="s">
        <v>338</v>
      </c>
      <c r="H6" s="291" t="s">
        <v>316</v>
      </c>
      <c r="I6" s="263"/>
      <c r="J6" s="291" t="s">
        <v>135</v>
      </c>
      <c r="L6" s="26" t="s">
        <v>252</v>
      </c>
      <c r="N6" s="26" t="s">
        <v>258</v>
      </c>
      <c r="O6" s="295"/>
    </row>
    <row r="7" spans="1:15" x14ac:dyDescent="0.3">
      <c r="A7" s="294"/>
      <c r="B7" s="164" t="s">
        <v>192</v>
      </c>
      <c r="O7" s="295"/>
    </row>
    <row r="8" spans="1:15" x14ac:dyDescent="0.3">
      <c r="A8" s="294"/>
      <c r="B8" s="293" t="s">
        <v>193</v>
      </c>
      <c r="D8" s="24">
        <f>'Dep Adj - NARUCNwe Meters'!G8</f>
        <v>16296</v>
      </c>
      <c r="F8" s="24">
        <f>'Dep Adj - NARUCNwe Meters'!K8</f>
        <v>814.8</v>
      </c>
      <c r="H8" s="24">
        <f>'Dep Adj - NARUCNwe Meters'!Q8</f>
        <v>20</v>
      </c>
      <c r="J8" s="24">
        <f>'Dep Adj - NARUCNwe Meters'!S8</f>
        <v>37.5</v>
      </c>
      <c r="L8" s="24">
        <f>'Dep Adj - NARUCNwe Meters'!M8</f>
        <v>434.56</v>
      </c>
      <c r="N8" s="24">
        <f>'Dep Adj - NARUCNwe Meters'!O8</f>
        <v>-380.23999999999995</v>
      </c>
      <c r="O8" s="295"/>
    </row>
    <row r="9" spans="1:15" x14ac:dyDescent="0.3">
      <c r="A9" s="294"/>
      <c r="D9" s="169">
        <f>SUM(D8)</f>
        <v>16296</v>
      </c>
      <c r="F9" s="169">
        <f>SUM(F8)</f>
        <v>814.8</v>
      </c>
      <c r="L9" s="169">
        <f>SUM(L8)</f>
        <v>434.56</v>
      </c>
      <c r="N9" s="169">
        <f>SUM(N8)</f>
        <v>-380.23999999999995</v>
      </c>
      <c r="O9" s="295"/>
    </row>
    <row r="10" spans="1:15" x14ac:dyDescent="0.3">
      <c r="A10" s="294"/>
      <c r="O10" s="295"/>
    </row>
    <row r="11" spans="1:15" x14ac:dyDescent="0.3">
      <c r="A11" s="294"/>
      <c r="B11" s="24" t="s">
        <v>194</v>
      </c>
      <c r="O11" s="295"/>
    </row>
    <row r="12" spans="1:15" x14ac:dyDescent="0.3">
      <c r="A12" s="294"/>
      <c r="B12" s="293" t="s">
        <v>195</v>
      </c>
      <c r="D12" s="24">
        <f>'Dep Adj - NARUCNwe Meters'!G12</f>
        <v>15600</v>
      </c>
      <c r="F12" s="24">
        <f>'Dep Adj - NARUCNwe Meters'!K12</f>
        <v>0</v>
      </c>
      <c r="H12" s="24">
        <f>'Dep Adj - NARUCNwe Meters'!Q12</f>
        <v>5</v>
      </c>
      <c r="J12" s="24">
        <f>'Dep Adj - NARUCNwe Meters'!S12</f>
        <v>10</v>
      </c>
      <c r="L12" s="24">
        <f>'Dep Adj - NARUCNwe Meters'!M12</f>
        <v>0</v>
      </c>
      <c r="N12" s="24">
        <f>'Dep Adj - NARUCNwe Meters'!O12</f>
        <v>0</v>
      </c>
      <c r="O12" s="295"/>
    </row>
    <row r="13" spans="1:15" x14ac:dyDescent="0.3">
      <c r="A13" s="294"/>
      <c r="B13" s="293" t="s">
        <v>195</v>
      </c>
      <c r="D13" s="24">
        <f>'Dep Adj - NARUCNwe Meters'!G13</f>
        <v>3900</v>
      </c>
      <c r="F13" s="24">
        <f>'Dep Adj - NARUCNwe Meters'!K13</f>
        <v>0</v>
      </c>
      <c r="H13" s="24">
        <f>'Dep Adj - NARUCNwe Meters'!Q13</f>
        <v>5</v>
      </c>
      <c r="J13" s="24">
        <f>'Dep Adj - NARUCNwe Meters'!S13</f>
        <v>10</v>
      </c>
      <c r="L13" s="24">
        <f>'Dep Adj - NARUCNwe Meters'!M13</f>
        <v>0</v>
      </c>
      <c r="N13" s="24">
        <f>'Dep Adj - NARUCNwe Meters'!O13</f>
        <v>0</v>
      </c>
      <c r="O13" s="295"/>
    </row>
    <row r="14" spans="1:15" x14ac:dyDescent="0.3">
      <c r="A14" s="294"/>
      <c r="B14" s="293" t="s">
        <v>196</v>
      </c>
      <c r="D14" s="24">
        <f>'Dep Adj - NARUCNwe Meters'!G14</f>
        <v>270375</v>
      </c>
      <c r="F14" s="24">
        <f>'Dep Adj - NARUCNwe Meters'!K14</f>
        <v>0</v>
      </c>
      <c r="H14" s="24">
        <f>'Dep Adj - NARUCNwe Meters'!Q14</f>
        <v>10</v>
      </c>
      <c r="J14" s="24">
        <f>'Dep Adj - NARUCNwe Meters'!S14</f>
        <v>10</v>
      </c>
      <c r="L14" s="24">
        <f>'Dep Adj - NARUCNwe Meters'!M14</f>
        <v>0</v>
      </c>
      <c r="N14" s="24">
        <f>'Dep Adj - NARUCNwe Meters'!O14</f>
        <v>0</v>
      </c>
      <c r="O14" s="295"/>
    </row>
    <row r="15" spans="1:15" x14ac:dyDescent="0.3">
      <c r="A15" s="294"/>
      <c r="B15" s="293" t="s">
        <v>197</v>
      </c>
      <c r="D15" s="24">
        <f>'Dep Adj - NARUCNwe Meters'!G15</f>
        <v>26500</v>
      </c>
      <c r="F15" s="24">
        <f>'Dep Adj - NARUCNwe Meters'!K15</f>
        <v>5300</v>
      </c>
      <c r="H15" s="24">
        <f>'Dep Adj - NARUCNwe Meters'!Q15</f>
        <v>5</v>
      </c>
      <c r="J15" s="24">
        <f>'Dep Adj - NARUCNwe Meters'!S15</f>
        <v>12.5</v>
      </c>
      <c r="L15" s="24">
        <f>'Dep Adj - NARUCNwe Meters'!M15</f>
        <v>2120</v>
      </c>
      <c r="N15" s="24">
        <f>'Dep Adj - NARUCNwe Meters'!O15</f>
        <v>-3180</v>
      </c>
      <c r="O15" s="295"/>
    </row>
    <row r="16" spans="1:15" x14ac:dyDescent="0.3">
      <c r="A16" s="294"/>
      <c r="B16" s="293" t="s">
        <v>198</v>
      </c>
      <c r="D16" s="24">
        <f>'Dep Adj - NARUCNwe Meters'!G16</f>
        <v>6967.35</v>
      </c>
      <c r="F16" s="24">
        <f>'Dep Adj - NARUCNwe Meters'!K16</f>
        <v>696.74</v>
      </c>
      <c r="H16" s="24">
        <f>'Dep Adj - NARUCNwe Meters'!Q16</f>
        <v>10</v>
      </c>
      <c r="J16" s="24">
        <f>'Dep Adj - NARUCNwe Meters'!S16</f>
        <v>12.5</v>
      </c>
      <c r="L16" s="24">
        <f>'Dep Adj - NARUCNwe Meters'!M16</f>
        <v>557.39</v>
      </c>
      <c r="N16" s="24">
        <f>'Dep Adj - NARUCNwe Meters'!O16</f>
        <v>-139.35000000000002</v>
      </c>
      <c r="O16" s="295"/>
    </row>
    <row r="17" spans="1:15" x14ac:dyDescent="0.3">
      <c r="A17" s="294"/>
      <c r="B17" s="293" t="s">
        <v>199</v>
      </c>
      <c r="D17" s="24">
        <f>'Dep Adj - NARUCNwe Meters'!G17</f>
        <v>5855</v>
      </c>
      <c r="F17" s="24">
        <f>'Dep Adj - NARUCNwe Meters'!K17</f>
        <v>585.5</v>
      </c>
      <c r="H17" s="24">
        <f>'Dep Adj - NARUCNwe Meters'!Q17</f>
        <v>10</v>
      </c>
      <c r="J17" s="24">
        <f>'Dep Adj - NARUCNwe Meters'!S17</f>
        <v>12.5</v>
      </c>
      <c r="L17" s="24">
        <f>'Dep Adj - NARUCNwe Meters'!M17</f>
        <v>468.4</v>
      </c>
      <c r="N17" s="24">
        <f>'Dep Adj - NARUCNwe Meters'!O17</f>
        <v>-117.10000000000002</v>
      </c>
      <c r="O17" s="295"/>
    </row>
    <row r="18" spans="1:15" x14ac:dyDescent="0.3">
      <c r="A18" s="294"/>
      <c r="B18" s="293" t="s">
        <v>200</v>
      </c>
      <c r="D18" s="24">
        <f>'Dep Adj - NARUCNwe Meters'!G18</f>
        <v>26995</v>
      </c>
      <c r="F18" s="24">
        <f>'Dep Adj - NARUCNwe Meters'!K18</f>
        <v>1349.75</v>
      </c>
      <c r="H18" s="24">
        <f>'Dep Adj - NARUCNwe Meters'!Q18</f>
        <v>20</v>
      </c>
      <c r="J18" s="24">
        <f>'Dep Adj - NARUCNwe Meters'!S18</f>
        <v>12.5</v>
      </c>
      <c r="L18" s="24">
        <f>'Dep Adj - NARUCNwe Meters'!M18</f>
        <v>2159.6</v>
      </c>
      <c r="N18" s="24">
        <f>'Dep Adj - NARUCNwe Meters'!O18</f>
        <v>809.84999999999991</v>
      </c>
      <c r="O18" s="295"/>
    </row>
    <row r="19" spans="1:15" x14ac:dyDescent="0.3">
      <c r="A19" s="294"/>
      <c r="B19" s="293" t="s">
        <v>201</v>
      </c>
      <c r="D19" s="24">
        <f>'Dep Adj - NARUCNwe Meters'!G19</f>
        <v>9277</v>
      </c>
      <c r="F19" s="24">
        <f>'Dep Adj - NARUCNwe Meters'!K19</f>
        <v>128.85</v>
      </c>
      <c r="H19" s="24">
        <f>'Dep Adj - NARUCNwe Meters'!Q19</f>
        <v>12</v>
      </c>
      <c r="J19" s="24">
        <f>'Dep Adj - NARUCNwe Meters'!S19</f>
        <v>12.5</v>
      </c>
      <c r="L19" s="24">
        <f>'Dep Adj - NARUCNwe Meters'!M19</f>
        <v>742.16</v>
      </c>
      <c r="N19" s="24">
        <f>'Dep Adj - NARUCNwe Meters'!O19</f>
        <v>613.30999999999995</v>
      </c>
      <c r="O19" s="295"/>
    </row>
    <row r="20" spans="1:15" x14ac:dyDescent="0.3">
      <c r="A20" s="294"/>
      <c r="B20" s="293" t="s">
        <v>202</v>
      </c>
      <c r="D20" s="24">
        <f>'Dep Adj - NARUCNwe Meters'!G20</f>
        <v>12430</v>
      </c>
      <c r="F20" s="24">
        <f>'Dep Adj - NARUCNwe Meters'!K20</f>
        <v>776.88</v>
      </c>
      <c r="H20" s="24">
        <f>'Dep Adj - NARUCNwe Meters'!Q20</f>
        <v>12</v>
      </c>
      <c r="J20" s="24">
        <f>'Dep Adj - NARUCNwe Meters'!S20</f>
        <v>12.5</v>
      </c>
      <c r="L20" s="24">
        <f>'Dep Adj - NARUCNwe Meters'!M20</f>
        <v>994.4</v>
      </c>
      <c r="N20" s="24">
        <f>'Dep Adj - NARUCNwe Meters'!O20</f>
        <v>217.51999999999998</v>
      </c>
      <c r="O20" s="295"/>
    </row>
    <row r="21" spans="1:15" x14ac:dyDescent="0.3">
      <c r="A21" s="294"/>
      <c r="B21" s="293" t="s">
        <v>203</v>
      </c>
      <c r="D21" s="24">
        <f>'Dep Adj - NARUCNwe Meters'!G21</f>
        <v>62000</v>
      </c>
      <c r="F21" s="24">
        <f>'Dep Adj - NARUCNwe Meters'!K21</f>
        <v>4650</v>
      </c>
      <c r="H21" s="24">
        <f>'Dep Adj - NARUCNwe Meters'!Q21</f>
        <v>10</v>
      </c>
      <c r="J21" s="24">
        <f>'Dep Adj - NARUCNwe Meters'!S21</f>
        <v>17.5</v>
      </c>
      <c r="L21" s="24">
        <f>'Dep Adj - NARUCNwe Meters'!M21</f>
        <v>3542.86</v>
      </c>
      <c r="N21" s="24">
        <f>'Dep Adj - NARUCNwe Meters'!O21</f>
        <v>-1107.1399999999999</v>
      </c>
      <c r="O21" s="295"/>
    </row>
    <row r="22" spans="1:15" x14ac:dyDescent="0.3">
      <c r="A22" s="294"/>
      <c r="B22" s="293" t="s">
        <v>204</v>
      </c>
      <c r="D22" s="24">
        <f>'Dep Adj - NARUCNwe Meters'!G22</f>
        <v>17000</v>
      </c>
      <c r="F22" s="24">
        <f>'Dep Adj - NARUCNwe Meters'!K22</f>
        <v>1275</v>
      </c>
      <c r="H22" s="24">
        <f>'Dep Adj - NARUCNwe Meters'!Q22</f>
        <v>10</v>
      </c>
      <c r="J22" s="24">
        <f>'Dep Adj - NARUCNwe Meters'!S22</f>
        <v>17.5</v>
      </c>
      <c r="L22" s="24">
        <f>'Dep Adj - NARUCNwe Meters'!M22</f>
        <v>971.43</v>
      </c>
      <c r="N22" s="24">
        <f>'Dep Adj - NARUCNwe Meters'!O22</f>
        <v>-303.57000000000005</v>
      </c>
      <c r="O22" s="295"/>
    </row>
    <row r="23" spans="1:15" x14ac:dyDescent="0.3">
      <c r="A23" s="294"/>
      <c r="B23" s="296" t="s">
        <v>330</v>
      </c>
      <c r="D23" s="169">
        <f>SUM(D12:D22)</f>
        <v>456899.35</v>
      </c>
      <c r="F23" s="169">
        <f>SUM(F12:F22)</f>
        <v>14762.72</v>
      </c>
      <c r="L23" s="169">
        <f>SUM(L12:L22)</f>
        <v>11556.24</v>
      </c>
      <c r="N23" s="169">
        <f>SUM(N12:N22)</f>
        <v>-3206.48</v>
      </c>
      <c r="O23" s="295"/>
    </row>
    <row r="24" spans="1:15" x14ac:dyDescent="0.3">
      <c r="A24" s="294"/>
      <c r="O24" s="295"/>
    </row>
    <row r="25" spans="1:15" x14ac:dyDescent="0.3">
      <c r="A25" s="294"/>
      <c r="B25" s="164" t="s">
        <v>331</v>
      </c>
      <c r="O25" s="295"/>
    </row>
    <row r="26" spans="1:15" x14ac:dyDescent="0.3">
      <c r="A26" s="294"/>
      <c r="B26" s="293" t="s">
        <v>206</v>
      </c>
      <c r="D26" s="24">
        <f>'Dep Adj - NARUCNwe Meters'!G26</f>
        <v>1099</v>
      </c>
      <c r="F26" s="24">
        <f>'Dep Adj - NARUCNwe Meters'!K26</f>
        <v>0</v>
      </c>
      <c r="H26" s="24">
        <f>'Dep Adj - NARUCNwe Meters'!Q26</f>
        <v>5</v>
      </c>
      <c r="J26" s="24">
        <f>'Dep Adj - NARUCNwe Meters'!S26</f>
        <v>10</v>
      </c>
      <c r="L26" s="24">
        <f>'Dep Adj - NARUCNwe Meters'!M26</f>
        <v>0</v>
      </c>
      <c r="N26" s="24">
        <f>'Dep Adj - NARUCNwe Meters'!O26</f>
        <v>0</v>
      </c>
      <c r="O26" s="295"/>
    </row>
    <row r="27" spans="1:15" x14ac:dyDescent="0.3">
      <c r="A27" s="294"/>
      <c r="B27" s="293" t="s">
        <v>207</v>
      </c>
      <c r="D27" s="24">
        <f>'Dep Adj - NARUCNwe Meters'!G27</f>
        <v>23330.74</v>
      </c>
      <c r="F27" s="24">
        <f>'Dep Adj - NARUCNwe Meters'!K27</f>
        <v>3332.96</v>
      </c>
      <c r="H27" s="24">
        <f>'Dep Adj - NARUCNwe Meters'!Q27</f>
        <v>7</v>
      </c>
      <c r="J27" s="24">
        <f>'Dep Adj - NARUCNwe Meters'!S27</f>
        <v>10</v>
      </c>
      <c r="L27" s="24">
        <f>'Dep Adj - NARUCNwe Meters'!M27</f>
        <v>2333.0700000000002</v>
      </c>
      <c r="N27" s="24">
        <f>'Dep Adj - NARUCNwe Meters'!O27</f>
        <v>-999.88999999999987</v>
      </c>
      <c r="O27" s="295"/>
    </row>
    <row r="28" spans="1:15" x14ac:dyDescent="0.3">
      <c r="A28" s="294"/>
      <c r="B28" s="297" t="s">
        <v>332</v>
      </c>
      <c r="D28" s="169">
        <f>SUM(D26:D27)</f>
        <v>24429.74</v>
      </c>
      <c r="F28" s="169">
        <f>SUM(F26:F27)</f>
        <v>3332.96</v>
      </c>
      <c r="L28" s="169">
        <f>SUM(L26:L27)</f>
        <v>2333.0700000000002</v>
      </c>
      <c r="N28" s="169">
        <f>SUM(N26:N27)</f>
        <v>-999.88999999999987</v>
      </c>
      <c r="O28" s="295"/>
    </row>
    <row r="29" spans="1:15" x14ac:dyDescent="0.3">
      <c r="A29" s="294"/>
      <c r="O29" s="295"/>
    </row>
    <row r="30" spans="1:15" x14ac:dyDescent="0.3">
      <c r="A30" s="294"/>
      <c r="B30" s="164" t="s">
        <v>208</v>
      </c>
      <c r="O30" s="295"/>
    </row>
    <row r="31" spans="1:15" x14ac:dyDescent="0.3">
      <c r="A31" s="294"/>
      <c r="B31" s="293" t="s">
        <v>136</v>
      </c>
      <c r="D31" s="24">
        <f>'Dep Adj - NARUCNwe Meters'!G31</f>
        <v>20800</v>
      </c>
      <c r="F31" s="24">
        <f>'Dep Adj - NARUCNwe Meters'!K31</f>
        <v>312</v>
      </c>
      <c r="H31" s="24">
        <f>'Dep Adj - NARUCNwe Meters'!Q31</f>
        <v>50</v>
      </c>
      <c r="J31" s="24">
        <f>'Dep Adj - NARUCNwe Meters'!S31</f>
        <v>50</v>
      </c>
      <c r="L31" s="24">
        <f>'Dep Adj - NARUCNwe Meters'!M31</f>
        <v>416</v>
      </c>
      <c r="N31" s="24">
        <f>'Dep Adj - NARUCNwe Meters'!O31</f>
        <v>104</v>
      </c>
      <c r="O31" s="295"/>
    </row>
    <row r="32" spans="1:15" x14ac:dyDescent="0.3">
      <c r="A32" s="294"/>
      <c r="D32" s="169">
        <f>SUM(D31)</f>
        <v>20800</v>
      </c>
      <c r="F32" s="169">
        <f>SUM(F31)</f>
        <v>312</v>
      </c>
      <c r="L32" s="169">
        <f>SUM(L31)</f>
        <v>416</v>
      </c>
      <c r="N32" s="169">
        <f>SUM(N31)</f>
        <v>104</v>
      </c>
      <c r="O32" s="295"/>
    </row>
    <row r="33" spans="1:15" x14ac:dyDescent="0.3">
      <c r="A33" s="294"/>
      <c r="O33" s="295"/>
    </row>
    <row r="34" spans="1:15" x14ac:dyDescent="0.3">
      <c r="A34" s="294"/>
      <c r="B34" s="164" t="s">
        <v>209</v>
      </c>
      <c r="O34" s="295"/>
    </row>
    <row r="35" spans="1:15" x14ac:dyDescent="0.3">
      <c r="A35" s="294"/>
      <c r="B35" s="293" t="s">
        <v>210</v>
      </c>
      <c r="D35" s="24">
        <f>'Dep Adj - NARUCNwe Meters'!G35</f>
        <v>39069</v>
      </c>
      <c r="F35" s="24">
        <f>'Dep Adj - NARUCNwe Meters'!K35</f>
        <v>651.15</v>
      </c>
      <c r="H35" s="24">
        <f>'Dep Adj - NARUCNwe Meters'!Q35</f>
        <v>45</v>
      </c>
      <c r="J35" s="24">
        <f>'Dep Adj - NARUCNwe Meters'!S35</f>
        <v>45</v>
      </c>
      <c r="L35" s="24">
        <f>'Dep Adj - NARUCNwe Meters'!M35</f>
        <v>868.2</v>
      </c>
      <c r="N35" s="24">
        <f>'Dep Adj - NARUCNwe Meters'!O35</f>
        <v>217.05000000000007</v>
      </c>
      <c r="O35" s="295"/>
    </row>
    <row r="36" spans="1:15" x14ac:dyDescent="0.3">
      <c r="A36" s="294"/>
      <c r="D36" s="169">
        <f>SUM(D35)</f>
        <v>39069</v>
      </c>
      <c r="F36" s="169">
        <f>SUM(F35)</f>
        <v>651.15</v>
      </c>
      <c r="L36" s="169">
        <f>SUM(L35)</f>
        <v>868.2</v>
      </c>
      <c r="N36" s="169">
        <f>SUM(N35)</f>
        <v>217.05000000000007</v>
      </c>
      <c r="O36" s="295"/>
    </row>
    <row r="37" spans="1:15" x14ac:dyDescent="0.3">
      <c r="A37" s="294"/>
      <c r="O37" s="295"/>
    </row>
    <row r="38" spans="1:15" x14ac:dyDescent="0.3">
      <c r="A38" s="294"/>
      <c r="B38" s="24" t="s">
        <v>211</v>
      </c>
      <c r="O38" s="295"/>
    </row>
    <row r="39" spans="1:15" x14ac:dyDescent="0.3">
      <c r="A39" s="294"/>
      <c r="B39" s="293" t="s">
        <v>212</v>
      </c>
      <c r="D39" s="24">
        <f>'Dep Adj - NARUCNwe Meters'!G39</f>
        <v>16326</v>
      </c>
      <c r="F39" s="24">
        <f>'Dep Adj - NARUCNwe Meters'!K39</f>
        <v>0</v>
      </c>
      <c r="H39" s="24">
        <f>'Dep Adj - NARUCNwe Meters'!Q39</f>
        <v>5</v>
      </c>
      <c r="J39" s="24">
        <f>'Dep Adj - NARUCNwe Meters'!S39</f>
        <v>7</v>
      </c>
      <c r="L39" s="24">
        <f>'Dep Adj - NARUCNwe Meters'!M39</f>
        <v>27</v>
      </c>
      <c r="N39" s="24">
        <f>'Dep Adj - NARUCNwe Meters'!O39</f>
        <v>27</v>
      </c>
      <c r="O39" s="295"/>
    </row>
    <row r="40" spans="1:15" x14ac:dyDescent="0.3">
      <c r="A40" s="294"/>
      <c r="B40" s="293" t="s">
        <v>213</v>
      </c>
      <c r="D40" s="24">
        <f>'Dep Adj - NARUCNwe Meters'!G40</f>
        <v>16326</v>
      </c>
      <c r="F40" s="24">
        <f>'Dep Adj - NARUCNwe Meters'!K40</f>
        <v>0</v>
      </c>
      <c r="H40" s="24">
        <f>'Dep Adj - NARUCNwe Meters'!Q40</f>
        <v>5</v>
      </c>
      <c r="J40" s="24">
        <f>'Dep Adj - NARUCNwe Meters'!S40</f>
        <v>7</v>
      </c>
      <c r="L40" s="24">
        <f>'Dep Adj - NARUCNwe Meters'!M40</f>
        <v>18</v>
      </c>
      <c r="N40" s="24">
        <f>'Dep Adj - NARUCNwe Meters'!O40</f>
        <v>18</v>
      </c>
      <c r="O40" s="295"/>
    </row>
    <row r="41" spans="1:15" x14ac:dyDescent="0.3">
      <c r="A41" s="294"/>
      <c r="B41" s="293" t="s">
        <v>214</v>
      </c>
      <c r="D41" s="24">
        <f>'Dep Adj - NARUCNwe Meters'!G41</f>
        <v>15498</v>
      </c>
      <c r="F41" s="24">
        <f>'Dep Adj - NARUCNwe Meters'!K41</f>
        <v>0</v>
      </c>
      <c r="H41" s="24">
        <f>'Dep Adj - NARUCNwe Meters'!Q41</f>
        <v>5</v>
      </c>
      <c r="J41" s="24">
        <f>'Dep Adj - NARUCNwe Meters'!S41</f>
        <v>7</v>
      </c>
      <c r="L41" s="24">
        <f>'Dep Adj - NARUCNwe Meters'!M41</f>
        <v>38</v>
      </c>
      <c r="N41" s="24">
        <f>'Dep Adj - NARUCNwe Meters'!O41</f>
        <v>38</v>
      </c>
      <c r="O41" s="295"/>
    </row>
    <row r="42" spans="1:15" x14ac:dyDescent="0.3">
      <c r="A42" s="294"/>
      <c r="B42" s="293" t="s">
        <v>215</v>
      </c>
      <c r="D42" s="24">
        <f>'Dep Adj - NARUCNwe Meters'!G42</f>
        <v>21894.52</v>
      </c>
      <c r="F42" s="24">
        <f>'Dep Adj - NARUCNwe Meters'!K42</f>
        <v>4378.92</v>
      </c>
      <c r="H42" s="24">
        <f>'Dep Adj - NARUCNwe Meters'!Q42</f>
        <v>5</v>
      </c>
      <c r="J42" s="24">
        <f>'Dep Adj - NARUCNwe Meters'!S42</f>
        <v>7</v>
      </c>
      <c r="L42" s="24">
        <f>'Dep Adj - NARUCNwe Meters'!M42</f>
        <v>3127.79</v>
      </c>
      <c r="N42" s="24">
        <f>'Dep Adj - NARUCNwe Meters'!O42</f>
        <v>-1251.1300000000001</v>
      </c>
      <c r="O42" s="295"/>
    </row>
    <row r="43" spans="1:15" x14ac:dyDescent="0.3">
      <c r="A43" s="294"/>
      <c r="B43" s="293" t="s">
        <v>216</v>
      </c>
      <c r="D43" s="24">
        <f>'Dep Adj - NARUCNwe Meters'!G43</f>
        <v>28531.88</v>
      </c>
      <c r="F43" s="24">
        <f>'Dep Adj - NARUCNwe Meters'!K43</f>
        <v>5706.3600000000006</v>
      </c>
      <c r="H43" s="24">
        <f>'Dep Adj - NARUCNwe Meters'!Q43</f>
        <v>5</v>
      </c>
      <c r="J43" s="24">
        <f>'Dep Adj - NARUCNwe Meters'!S43</f>
        <v>7</v>
      </c>
      <c r="L43" s="24">
        <f>'Dep Adj - NARUCNwe Meters'!M43</f>
        <v>4075.98</v>
      </c>
      <c r="N43" s="24">
        <f>'Dep Adj - NARUCNwe Meters'!O43</f>
        <v>-1630.3800000000006</v>
      </c>
      <c r="O43" s="295"/>
    </row>
    <row r="44" spans="1:15" x14ac:dyDescent="0.3">
      <c r="A44" s="294"/>
      <c r="B44" s="293" t="s">
        <v>217</v>
      </c>
      <c r="D44" s="24">
        <f>'Dep Adj - NARUCNwe Meters'!G44</f>
        <v>32952.35</v>
      </c>
      <c r="F44" s="24">
        <f>'Dep Adj - NARUCNwe Meters'!K44</f>
        <v>6590.4699999999975</v>
      </c>
      <c r="H44" s="24">
        <f>'Dep Adj - NARUCNwe Meters'!Q44</f>
        <v>5</v>
      </c>
      <c r="J44" s="24">
        <f>'Dep Adj - NARUCNwe Meters'!S44</f>
        <v>7</v>
      </c>
      <c r="L44" s="24">
        <f>'Dep Adj - NARUCNwe Meters'!M44</f>
        <v>4707.4799999999996</v>
      </c>
      <c r="N44" s="24">
        <f>'Dep Adj - NARUCNwe Meters'!O44</f>
        <v>-1882.989999999998</v>
      </c>
      <c r="O44" s="295"/>
    </row>
    <row r="45" spans="1:15" x14ac:dyDescent="0.3">
      <c r="A45" s="294"/>
      <c r="B45" s="293" t="s">
        <v>218</v>
      </c>
      <c r="D45" s="24">
        <f>'Dep Adj - NARUCNwe Meters'!G45</f>
        <v>20897.62</v>
      </c>
      <c r="F45" s="24">
        <f>'Dep Adj - NARUCNwe Meters'!K45</f>
        <v>4179.5400000000009</v>
      </c>
      <c r="H45" s="24">
        <f>'Dep Adj - NARUCNwe Meters'!Q45</f>
        <v>5</v>
      </c>
      <c r="J45" s="24">
        <f>'Dep Adj - NARUCNwe Meters'!S45</f>
        <v>7</v>
      </c>
      <c r="L45" s="24">
        <f>'Dep Adj - NARUCNwe Meters'!M45</f>
        <v>2985.37</v>
      </c>
      <c r="N45" s="24">
        <f>'Dep Adj - NARUCNwe Meters'!O45</f>
        <v>-1194.170000000001</v>
      </c>
      <c r="O45" s="295"/>
    </row>
    <row r="46" spans="1:15" x14ac:dyDescent="0.3">
      <c r="A46" s="294"/>
      <c r="B46" s="293" t="s">
        <v>219</v>
      </c>
      <c r="D46" s="24">
        <f>'Dep Adj - NARUCNwe Meters'!G46</f>
        <v>20337.03</v>
      </c>
      <c r="F46" s="24">
        <f>'Dep Adj - NARUCNwe Meters'!K46</f>
        <v>4067.41</v>
      </c>
      <c r="H46" s="24">
        <f>'Dep Adj - NARUCNwe Meters'!Q46</f>
        <v>5</v>
      </c>
      <c r="J46" s="24">
        <f>'Dep Adj - NARUCNwe Meters'!S46</f>
        <v>7</v>
      </c>
      <c r="L46" s="24">
        <f>'Dep Adj - NARUCNwe Meters'!M46</f>
        <v>2905.29</v>
      </c>
      <c r="N46" s="24">
        <f>'Dep Adj - NARUCNwe Meters'!O46</f>
        <v>-1162.1199999999999</v>
      </c>
      <c r="O46" s="295"/>
    </row>
    <row r="47" spans="1:15" x14ac:dyDescent="0.3">
      <c r="A47" s="294"/>
      <c r="B47" s="293" t="s">
        <v>220</v>
      </c>
      <c r="D47" s="24">
        <f>'Dep Adj - NARUCNwe Meters'!G47</f>
        <v>30500</v>
      </c>
      <c r="F47" s="24">
        <f>'Dep Adj - NARUCNwe Meters'!K47</f>
        <v>4575</v>
      </c>
      <c r="H47" s="24">
        <f>'Dep Adj - NARUCNwe Meters'!Q47</f>
        <v>5</v>
      </c>
      <c r="J47" s="24">
        <f>'Dep Adj - NARUCNwe Meters'!S47</f>
        <v>7</v>
      </c>
      <c r="L47" s="24">
        <f>'Dep Adj - NARUCNwe Meters'!M47</f>
        <v>4357.1400000000003</v>
      </c>
      <c r="N47" s="24">
        <f>'Dep Adj - NARUCNwe Meters'!O47</f>
        <v>-217.85999999999967</v>
      </c>
      <c r="O47" s="295"/>
    </row>
    <row r="48" spans="1:15" x14ac:dyDescent="0.3">
      <c r="A48" s="294"/>
      <c r="B48" s="293" t="s">
        <v>221</v>
      </c>
      <c r="D48" s="24">
        <f>'Dep Adj - NARUCNwe Meters'!G48</f>
        <v>17000</v>
      </c>
      <c r="F48" s="24">
        <f>'Dep Adj - NARUCNwe Meters'!K48</f>
        <v>2266.67</v>
      </c>
      <c r="H48" s="24">
        <f>'Dep Adj - NARUCNwe Meters'!Q48</f>
        <v>5</v>
      </c>
      <c r="J48" s="24">
        <f>'Dep Adj - NARUCNwe Meters'!S48</f>
        <v>7</v>
      </c>
      <c r="L48" s="24">
        <f>'Dep Adj - NARUCNwe Meters'!M48</f>
        <v>2428.5700000000002</v>
      </c>
      <c r="N48" s="24">
        <f>'Dep Adj - NARUCNwe Meters'!O48</f>
        <v>161.90000000000009</v>
      </c>
      <c r="O48" s="295"/>
    </row>
    <row r="49" spans="1:15" x14ac:dyDescent="0.3">
      <c r="A49" s="294"/>
      <c r="B49" s="293" t="s">
        <v>222</v>
      </c>
      <c r="D49" s="24">
        <f>'Dep Adj - NARUCNwe Meters'!G49</f>
        <v>37987.800000000003</v>
      </c>
      <c r="F49" s="24">
        <f>'Dep Adj - NARUCNwe Meters'!K49</f>
        <v>2532.52</v>
      </c>
      <c r="H49" s="24">
        <f>'Dep Adj - NARUCNwe Meters'!Q49</f>
        <v>5</v>
      </c>
      <c r="J49" s="24">
        <f>'Dep Adj - NARUCNwe Meters'!S49</f>
        <v>7</v>
      </c>
      <c r="L49" s="24">
        <f>'Dep Adj - NARUCNwe Meters'!M49</f>
        <v>5426.83</v>
      </c>
      <c r="N49" s="24">
        <f>'Dep Adj - NARUCNwe Meters'!O49</f>
        <v>2894.31</v>
      </c>
      <c r="O49" s="295"/>
    </row>
    <row r="50" spans="1:15" x14ac:dyDescent="0.3">
      <c r="A50" s="294"/>
      <c r="B50" s="293" t="s">
        <v>223</v>
      </c>
      <c r="D50" s="24">
        <f>'Dep Adj - NARUCNwe Meters'!G50</f>
        <v>37987.800000000003</v>
      </c>
      <c r="F50" s="24">
        <f>'Dep Adj - NARUCNwe Meters'!K50</f>
        <v>2532.52</v>
      </c>
      <c r="H50" s="24">
        <f>'Dep Adj - NARUCNwe Meters'!Q50</f>
        <v>5</v>
      </c>
      <c r="J50" s="24">
        <f>'Dep Adj - NARUCNwe Meters'!S50</f>
        <v>7</v>
      </c>
      <c r="L50" s="24">
        <f>'Dep Adj - NARUCNwe Meters'!M50</f>
        <v>5426.83</v>
      </c>
      <c r="N50" s="24">
        <f>'Dep Adj - NARUCNwe Meters'!O50</f>
        <v>2894.31</v>
      </c>
      <c r="O50" s="295"/>
    </row>
    <row r="51" spans="1:15" x14ac:dyDescent="0.3">
      <c r="A51" s="294"/>
      <c r="B51" s="298" t="s">
        <v>333</v>
      </c>
      <c r="D51" s="169">
        <f>SUM(D39:D50)</f>
        <v>296239</v>
      </c>
      <c r="F51" s="169">
        <f>SUM(F39:F50)</f>
        <v>36829.409999999996</v>
      </c>
      <c r="L51" s="169">
        <f>SUM(L39:L50)</f>
        <v>35524.28</v>
      </c>
      <c r="N51" s="169">
        <f>SUM(N39:N50)</f>
        <v>-1305.1299999999987</v>
      </c>
      <c r="O51" s="295"/>
    </row>
    <row r="52" spans="1:15" x14ac:dyDescent="0.3">
      <c r="A52" s="294"/>
      <c r="O52" s="295"/>
    </row>
    <row r="53" spans="1:15" x14ac:dyDescent="0.3">
      <c r="A53" s="294"/>
      <c r="B53" s="164" t="s">
        <v>224</v>
      </c>
      <c r="O53" s="295"/>
    </row>
    <row r="54" spans="1:15" x14ac:dyDescent="0.3">
      <c r="A54" s="294"/>
      <c r="B54" s="293" t="s">
        <v>225</v>
      </c>
      <c r="D54" s="24">
        <f>'Dep Adj - NARUCNwe Meters'!G54</f>
        <v>1060000</v>
      </c>
      <c r="F54" s="24">
        <f>'Dep Adj - NARUCNwe Meters'!K54</f>
        <v>21200</v>
      </c>
      <c r="H54" s="24">
        <f>'Dep Adj - NARUCNwe Meters'!Q54</f>
        <v>50</v>
      </c>
      <c r="J54" s="24">
        <f>'Dep Adj - NARUCNwe Meters'!S54</f>
        <v>62.5</v>
      </c>
      <c r="L54" s="24">
        <f>'Dep Adj - NARUCNwe Meters'!M54</f>
        <v>16960</v>
      </c>
      <c r="N54" s="24">
        <f>'Dep Adj - NARUCNwe Meters'!O54</f>
        <v>-4240</v>
      </c>
      <c r="O54" s="295"/>
    </row>
    <row r="55" spans="1:15" x14ac:dyDescent="0.3">
      <c r="A55" s="294"/>
      <c r="B55" s="293" t="s">
        <v>225</v>
      </c>
      <c r="D55" s="24">
        <f>'Dep Adj - NARUCNwe Meters'!G55</f>
        <v>2047065</v>
      </c>
      <c r="F55" s="24">
        <f>'Dep Adj - NARUCNwe Meters'!K55</f>
        <v>40941.300000000003</v>
      </c>
      <c r="H55" s="24">
        <f>'Dep Adj - NARUCNwe Meters'!Q55</f>
        <v>50</v>
      </c>
      <c r="J55" s="24">
        <f>'Dep Adj - NARUCNwe Meters'!S55</f>
        <v>62.5</v>
      </c>
      <c r="L55" s="24">
        <f>'Dep Adj - NARUCNwe Meters'!M55</f>
        <v>32753.040000000001</v>
      </c>
      <c r="N55" s="24">
        <f>'Dep Adj - NARUCNwe Meters'!O55</f>
        <v>-8188.260000000002</v>
      </c>
      <c r="O55" s="295"/>
    </row>
    <row r="56" spans="1:15" x14ac:dyDescent="0.3">
      <c r="A56" s="294"/>
      <c r="B56" s="293" t="s">
        <v>226</v>
      </c>
      <c r="D56" s="24">
        <f>'Dep Adj - NARUCNwe Meters'!G56</f>
        <v>285223</v>
      </c>
      <c r="F56" s="24">
        <f>'Dep Adj - NARUCNwe Meters'!K56</f>
        <v>5704.46</v>
      </c>
      <c r="H56" s="24">
        <f>'Dep Adj - NARUCNwe Meters'!Q56</f>
        <v>50</v>
      </c>
      <c r="J56" s="24">
        <f>'Dep Adj - NARUCNwe Meters'!S56</f>
        <v>62.5</v>
      </c>
      <c r="L56" s="24">
        <f>'Dep Adj - NARUCNwe Meters'!M56</f>
        <v>4563.57</v>
      </c>
      <c r="N56" s="24">
        <f>'Dep Adj - NARUCNwe Meters'!O56</f>
        <v>-1140.8900000000003</v>
      </c>
      <c r="O56" s="295"/>
    </row>
    <row r="57" spans="1:15" x14ac:dyDescent="0.3">
      <c r="A57" s="294"/>
      <c r="B57" s="293" t="s">
        <v>227</v>
      </c>
      <c r="D57" s="24">
        <f>'Dep Adj - NARUCNwe Meters'!G57</f>
        <v>83203</v>
      </c>
      <c r="F57" s="24">
        <f>'Dep Adj - NARUCNwe Meters'!K57</f>
        <v>1664.06</v>
      </c>
      <c r="H57" s="24">
        <f>'Dep Adj - NARUCNwe Meters'!Q57</f>
        <v>50</v>
      </c>
      <c r="J57" s="24">
        <f>'Dep Adj - NARUCNwe Meters'!S57</f>
        <v>62.5</v>
      </c>
      <c r="L57" s="24">
        <f>'Dep Adj - NARUCNwe Meters'!M57</f>
        <v>1331.25</v>
      </c>
      <c r="N57" s="24">
        <f>'Dep Adj - NARUCNwe Meters'!O57</f>
        <v>-332.80999999999995</v>
      </c>
      <c r="O57" s="295"/>
    </row>
    <row r="58" spans="1:15" x14ac:dyDescent="0.3">
      <c r="A58" s="294"/>
      <c r="B58" s="293" t="s">
        <v>228</v>
      </c>
      <c r="D58" s="24">
        <f>'Dep Adj - NARUCNwe Meters'!G58</f>
        <v>18000</v>
      </c>
      <c r="F58" s="24">
        <f>'Dep Adj - NARUCNwe Meters'!K58</f>
        <v>0</v>
      </c>
      <c r="H58" s="24">
        <f>'Dep Adj - NARUCNwe Meters'!Q58</f>
        <v>20</v>
      </c>
      <c r="J58" s="24">
        <f>'Dep Adj - NARUCNwe Meters'!S58</f>
        <v>62.5</v>
      </c>
      <c r="L58" s="24">
        <f>'Dep Adj - NARUCNwe Meters'!M58</f>
        <v>0</v>
      </c>
      <c r="N58" s="24">
        <f>'Dep Adj - NARUCNwe Meters'!O58</f>
        <v>0</v>
      </c>
      <c r="O58" s="295"/>
    </row>
    <row r="59" spans="1:15" x14ac:dyDescent="0.3">
      <c r="A59" s="294"/>
      <c r="B59" s="293" t="s">
        <v>229</v>
      </c>
      <c r="D59" s="24">
        <f>'Dep Adj - NARUCNwe Meters'!G59</f>
        <v>1709559</v>
      </c>
      <c r="F59" s="24">
        <f>'Dep Adj - NARUCNwe Meters'!K59</f>
        <v>34191.18</v>
      </c>
      <c r="H59" s="24">
        <f>'Dep Adj - NARUCNwe Meters'!Q59</f>
        <v>50</v>
      </c>
      <c r="J59" s="24">
        <f>'Dep Adj - NARUCNwe Meters'!S59</f>
        <v>62.5</v>
      </c>
      <c r="L59" s="24">
        <f>'Dep Adj - NARUCNwe Meters'!M59</f>
        <v>27352.94</v>
      </c>
      <c r="N59" s="24">
        <f>'Dep Adj - NARUCNwe Meters'!O59</f>
        <v>-6838.2400000000016</v>
      </c>
      <c r="O59" s="295"/>
    </row>
    <row r="60" spans="1:15" x14ac:dyDescent="0.3">
      <c r="A60" s="294"/>
      <c r="B60" s="293" t="s">
        <v>230</v>
      </c>
      <c r="D60" s="24">
        <f>'Dep Adj - NARUCNwe Meters'!G60</f>
        <v>993078</v>
      </c>
      <c r="F60" s="24">
        <f>'Dep Adj - NARUCNwe Meters'!K60</f>
        <v>19861.560000000001</v>
      </c>
      <c r="H60" s="24">
        <f>'Dep Adj - NARUCNwe Meters'!Q60</f>
        <v>50</v>
      </c>
      <c r="J60" s="24">
        <f>'Dep Adj - NARUCNwe Meters'!S60</f>
        <v>62.5</v>
      </c>
      <c r="L60" s="24">
        <f>'Dep Adj - NARUCNwe Meters'!M60</f>
        <v>15889.25</v>
      </c>
      <c r="N60" s="24">
        <f>'Dep Adj - NARUCNwe Meters'!O60</f>
        <v>-3972.3100000000013</v>
      </c>
      <c r="O60" s="295"/>
    </row>
    <row r="61" spans="1:15" x14ac:dyDescent="0.3">
      <c r="A61" s="294"/>
      <c r="B61" s="293" t="s">
        <v>231</v>
      </c>
      <c r="D61" s="24">
        <f>'Dep Adj - NARUCNwe Meters'!G61</f>
        <v>1722021</v>
      </c>
      <c r="F61" s="24">
        <f>'Dep Adj - NARUCNwe Meters'!K61</f>
        <v>34440.42</v>
      </c>
      <c r="H61" s="24">
        <f>'Dep Adj - NARUCNwe Meters'!Q61</f>
        <v>50</v>
      </c>
      <c r="J61" s="24">
        <f>'Dep Adj - NARUCNwe Meters'!S61</f>
        <v>62.5</v>
      </c>
      <c r="L61" s="24">
        <f>'Dep Adj - NARUCNwe Meters'!M61</f>
        <v>27552.34</v>
      </c>
      <c r="N61" s="24">
        <f>'Dep Adj - NARUCNwe Meters'!O61</f>
        <v>-6888.0799999999981</v>
      </c>
      <c r="O61" s="295"/>
    </row>
    <row r="62" spans="1:15" x14ac:dyDescent="0.3">
      <c r="A62" s="294"/>
      <c r="B62" s="293" t="s">
        <v>232</v>
      </c>
      <c r="D62" s="24">
        <f>'Dep Adj - NARUCNwe Meters'!G62</f>
        <v>3000</v>
      </c>
      <c r="F62" s="24">
        <f>'Dep Adj - NARUCNwe Meters'!K62</f>
        <v>0</v>
      </c>
      <c r="H62" s="24">
        <f>'Dep Adj - NARUCNwe Meters'!Q62</f>
        <v>5</v>
      </c>
      <c r="J62" s="24">
        <f>'Dep Adj - NARUCNwe Meters'!S62</f>
        <v>62.5</v>
      </c>
      <c r="L62" s="24">
        <f>'Dep Adj - NARUCNwe Meters'!M62</f>
        <v>0</v>
      </c>
      <c r="N62" s="24">
        <f>'Dep Adj - NARUCNwe Meters'!O62</f>
        <v>0</v>
      </c>
      <c r="O62" s="295"/>
    </row>
    <row r="63" spans="1:15" x14ac:dyDescent="0.3">
      <c r="A63" s="294"/>
      <c r="B63" s="293" t="s">
        <v>233</v>
      </c>
      <c r="D63" s="24">
        <f>'Dep Adj - NARUCNwe Meters'!G63</f>
        <v>4228030</v>
      </c>
      <c r="F63" s="24">
        <f>'Dep Adj - NARUCNwe Meters'!K63</f>
        <v>84560.6</v>
      </c>
      <c r="H63" s="24">
        <f>'Dep Adj - NARUCNwe Meters'!Q63</f>
        <v>50</v>
      </c>
      <c r="J63" s="24">
        <f>'Dep Adj - NARUCNwe Meters'!S63</f>
        <v>62.5</v>
      </c>
      <c r="L63" s="24">
        <f>'Dep Adj - NARUCNwe Meters'!M63</f>
        <v>67648.479999999996</v>
      </c>
      <c r="N63" s="24">
        <f>'Dep Adj - NARUCNwe Meters'!O63</f>
        <v>-16912.12000000001</v>
      </c>
      <c r="O63" s="295"/>
    </row>
    <row r="64" spans="1:15" x14ac:dyDescent="0.3">
      <c r="A64" s="294"/>
      <c r="B64" s="293" t="s">
        <v>234</v>
      </c>
      <c r="D64" s="24">
        <f>'Dep Adj - NARUCNwe Meters'!G64</f>
        <v>4073608</v>
      </c>
      <c r="F64" s="24">
        <f>'Dep Adj - NARUCNwe Meters'!K64</f>
        <v>81472.160000000003</v>
      </c>
      <c r="H64" s="24">
        <f>'Dep Adj - NARUCNwe Meters'!Q64</f>
        <v>50</v>
      </c>
      <c r="J64" s="24">
        <f>'Dep Adj - NARUCNwe Meters'!S64</f>
        <v>62.5</v>
      </c>
      <c r="L64" s="24">
        <f>'Dep Adj - NARUCNwe Meters'!M64</f>
        <v>65177.73</v>
      </c>
      <c r="N64" s="24">
        <f>'Dep Adj - NARUCNwe Meters'!O64</f>
        <v>-16294.43</v>
      </c>
      <c r="O64" s="295"/>
    </row>
    <row r="65" spans="1:15" x14ac:dyDescent="0.3">
      <c r="A65" s="294"/>
      <c r="B65" s="293" t="s">
        <v>235</v>
      </c>
      <c r="D65" s="24">
        <f>'Dep Adj - NARUCNwe Meters'!G65</f>
        <v>2632374</v>
      </c>
      <c r="F65" s="24">
        <f>'Dep Adj - NARUCNwe Meters'!K65</f>
        <v>52647.48</v>
      </c>
      <c r="H65" s="24">
        <f>'Dep Adj - NARUCNwe Meters'!Q65</f>
        <v>50</v>
      </c>
      <c r="J65" s="24">
        <f>'Dep Adj - NARUCNwe Meters'!S65</f>
        <v>62.5</v>
      </c>
      <c r="L65" s="24">
        <f>'Dep Adj - NARUCNwe Meters'!M65</f>
        <v>42117.98</v>
      </c>
      <c r="N65" s="24">
        <f>'Dep Adj - NARUCNwe Meters'!O65</f>
        <v>-10529.5</v>
      </c>
      <c r="O65" s="295"/>
    </row>
    <row r="66" spans="1:15" x14ac:dyDescent="0.3">
      <c r="A66" s="294"/>
      <c r="B66" s="293" t="s">
        <v>236</v>
      </c>
      <c r="D66" s="24">
        <f>'Dep Adj - NARUCNwe Meters'!G66</f>
        <v>1317000</v>
      </c>
      <c r="F66" s="24">
        <f>'Dep Adj - NARUCNwe Meters'!K66</f>
        <v>26340</v>
      </c>
      <c r="H66" s="24">
        <f>'Dep Adj - NARUCNwe Meters'!Q66</f>
        <v>50</v>
      </c>
      <c r="J66" s="24">
        <f>'Dep Adj - NARUCNwe Meters'!S66</f>
        <v>62.5</v>
      </c>
      <c r="L66" s="24">
        <f>'Dep Adj - NARUCNwe Meters'!M66</f>
        <v>21072</v>
      </c>
      <c r="N66" s="24">
        <f>'Dep Adj - NARUCNwe Meters'!O66</f>
        <v>-5268</v>
      </c>
      <c r="O66" s="295"/>
    </row>
    <row r="67" spans="1:15" x14ac:dyDescent="0.3">
      <c r="A67" s="294"/>
      <c r="B67" s="293" t="s">
        <v>237</v>
      </c>
      <c r="D67" s="24">
        <f>'Dep Adj - NARUCNwe Meters'!G67</f>
        <v>1623704</v>
      </c>
      <c r="F67" s="24">
        <f>'Dep Adj - NARUCNwe Meters'!K67</f>
        <v>32474.080000000002</v>
      </c>
      <c r="H67" s="24">
        <f>'Dep Adj - NARUCNwe Meters'!Q67</f>
        <v>50</v>
      </c>
      <c r="J67" s="24">
        <f>'Dep Adj - NARUCNwe Meters'!S67</f>
        <v>62.5</v>
      </c>
      <c r="L67" s="24">
        <f>'Dep Adj - NARUCNwe Meters'!M67</f>
        <v>25979.26</v>
      </c>
      <c r="N67" s="24">
        <f>'Dep Adj - NARUCNwe Meters'!O67</f>
        <v>-6494.8200000000033</v>
      </c>
      <c r="O67" s="295"/>
    </row>
    <row r="68" spans="1:15" x14ac:dyDescent="0.3">
      <c r="A68" s="294"/>
      <c r="B68" s="293" t="s">
        <v>238</v>
      </c>
      <c r="D68" s="24">
        <f>'Dep Adj - NARUCNwe Meters'!G68</f>
        <v>729990.84</v>
      </c>
      <c r="F68" s="24">
        <f>'Dep Adj - NARUCNwe Meters'!K68</f>
        <v>14599.82</v>
      </c>
      <c r="H68" s="24">
        <f>'Dep Adj - NARUCNwe Meters'!Q68</f>
        <v>50</v>
      </c>
      <c r="J68" s="24">
        <f>'Dep Adj - NARUCNwe Meters'!S68</f>
        <v>62.5</v>
      </c>
      <c r="L68" s="24">
        <f>'Dep Adj - NARUCNwe Meters'!M68</f>
        <v>11679.85</v>
      </c>
      <c r="N68" s="24">
        <f>'Dep Adj - NARUCNwe Meters'!O68</f>
        <v>-2919.9699999999993</v>
      </c>
      <c r="O68" s="295"/>
    </row>
    <row r="69" spans="1:15" x14ac:dyDescent="0.3">
      <c r="A69" s="294"/>
      <c r="B69" s="293" t="s">
        <v>239</v>
      </c>
      <c r="D69" s="24">
        <f>'Dep Adj - NARUCNwe Meters'!G69</f>
        <v>81160</v>
      </c>
      <c r="F69" s="24">
        <f>'Dep Adj - NARUCNwe Meters'!K69</f>
        <v>973.92</v>
      </c>
      <c r="H69" s="24">
        <f>'Dep Adj - NARUCNwe Meters'!Q69</f>
        <v>62.5</v>
      </c>
      <c r="J69" s="24">
        <f>'Dep Adj - NARUCNwe Meters'!S69</f>
        <v>62.5</v>
      </c>
      <c r="L69" s="24">
        <f>'Dep Adj - NARUCNwe Meters'!M69</f>
        <v>1298.56</v>
      </c>
      <c r="N69" s="24">
        <f>'Dep Adj - NARUCNwe Meters'!O69</f>
        <v>324.64</v>
      </c>
      <c r="O69" s="295"/>
    </row>
    <row r="70" spans="1:15" x14ac:dyDescent="0.3">
      <c r="A70" s="294"/>
      <c r="B70" s="293" t="s">
        <v>240</v>
      </c>
      <c r="D70" s="24">
        <f>'Dep Adj - NARUCNwe Meters'!G70</f>
        <v>953292.12</v>
      </c>
      <c r="F70" s="24">
        <f>'Dep Adj - NARUCNwe Meters'!K70</f>
        <v>11439.51</v>
      </c>
      <c r="H70" s="24">
        <f>'Dep Adj - NARUCNwe Meters'!Q70</f>
        <v>62.5</v>
      </c>
      <c r="J70" s="24">
        <f>'Dep Adj - NARUCNwe Meters'!S70</f>
        <v>62.5</v>
      </c>
      <c r="L70" s="24">
        <f>'Dep Adj - NARUCNwe Meters'!M70</f>
        <v>15252.67</v>
      </c>
      <c r="N70" s="24">
        <f>'Dep Adj - NARUCNwe Meters'!O70</f>
        <v>3813.16</v>
      </c>
      <c r="O70" s="295"/>
    </row>
    <row r="71" spans="1:15" x14ac:dyDescent="0.3">
      <c r="A71" s="294"/>
      <c r="B71" s="298" t="s">
        <v>334</v>
      </c>
      <c r="D71" s="169">
        <f>SUM(D54:D70)</f>
        <v>23560307.960000001</v>
      </c>
      <c r="F71" s="169">
        <f>SUM(F54:F70)</f>
        <v>462510.55</v>
      </c>
      <c r="L71" s="169">
        <f>SUM(L54:L70)</f>
        <v>376628.92</v>
      </c>
      <c r="N71" s="169">
        <f>SUM(N54:N70)</f>
        <v>-85881.630000000019</v>
      </c>
      <c r="O71" s="295"/>
    </row>
    <row r="72" spans="1:15" x14ac:dyDescent="0.3">
      <c r="A72" s="294"/>
      <c r="B72" s="293"/>
      <c r="O72" s="295"/>
    </row>
    <row r="73" spans="1:15" x14ac:dyDescent="0.3">
      <c r="A73" s="294"/>
      <c r="B73" s="164" t="s">
        <v>241</v>
      </c>
      <c r="O73" s="295"/>
    </row>
    <row r="74" spans="1:15" x14ac:dyDescent="0.3">
      <c r="A74" s="294"/>
      <c r="B74" s="293" t="s">
        <v>242</v>
      </c>
      <c r="D74" s="24">
        <f>'Dep Adj - NARUCNwe Meters'!G74</f>
        <v>30480</v>
      </c>
      <c r="F74" s="24">
        <f>'Dep Adj - NARUCNwe Meters'!K74</f>
        <v>508</v>
      </c>
      <c r="H74" s="24">
        <f>'Dep Adj - NARUCNwe Meters'!Q74</f>
        <v>45</v>
      </c>
      <c r="J74" s="24">
        <f>'Dep Adj - NARUCNwe Meters'!S74</f>
        <v>45</v>
      </c>
      <c r="L74" s="24">
        <f>'Dep Adj - NARUCNwe Meters'!M74</f>
        <v>677.33</v>
      </c>
      <c r="N74" s="24">
        <f>'Dep Adj - NARUCNwe Meters'!O74</f>
        <v>169.33000000000004</v>
      </c>
      <c r="O74" s="295"/>
    </row>
    <row r="75" spans="1:15" x14ac:dyDescent="0.3">
      <c r="A75" s="294"/>
      <c r="B75" s="293" t="s">
        <v>243</v>
      </c>
      <c r="D75" s="24">
        <f>'Dep Adj - NARUCNwe Meters'!G75</f>
        <v>10160</v>
      </c>
      <c r="F75" s="24">
        <f>'Dep Adj - NARUCNwe Meters'!K75</f>
        <v>169.33</v>
      </c>
      <c r="H75" s="24">
        <f>'Dep Adj - NARUCNwe Meters'!Q75</f>
        <v>45</v>
      </c>
      <c r="J75" s="24">
        <f>'Dep Adj - NARUCNwe Meters'!S75</f>
        <v>45</v>
      </c>
      <c r="L75" s="24">
        <f>'Dep Adj - NARUCNwe Meters'!M75</f>
        <v>225.78</v>
      </c>
      <c r="N75" s="24">
        <f>'Dep Adj - NARUCNwe Meters'!O75</f>
        <v>56.449999999999989</v>
      </c>
      <c r="O75" s="295"/>
    </row>
    <row r="76" spans="1:15" x14ac:dyDescent="0.3">
      <c r="A76" s="294"/>
      <c r="B76" s="296" t="s">
        <v>335</v>
      </c>
      <c r="D76" s="169">
        <f>SUM(D74:D75)</f>
        <v>40640</v>
      </c>
      <c r="F76" s="169">
        <f>SUM(F74:F75)</f>
        <v>677.33</v>
      </c>
      <c r="L76" s="169">
        <f>SUM(L74:L75)</f>
        <v>903.11</v>
      </c>
      <c r="N76" s="169">
        <f>SUM(N74:N75)</f>
        <v>225.78000000000003</v>
      </c>
      <c r="O76" s="295"/>
    </row>
    <row r="77" spans="1:15" x14ac:dyDescent="0.3">
      <c r="A77" s="294"/>
      <c r="B77" s="164" t="s">
        <v>354</v>
      </c>
      <c r="O77" s="295"/>
    </row>
    <row r="78" spans="1:15" x14ac:dyDescent="0.3">
      <c r="A78" s="294"/>
      <c r="B78" s="293" t="s">
        <v>355</v>
      </c>
      <c r="D78" s="292">
        <v>109350</v>
      </c>
      <c r="F78" s="292">
        <v>0</v>
      </c>
      <c r="H78" s="24">
        <v>0</v>
      </c>
      <c r="J78" s="24">
        <v>40</v>
      </c>
      <c r="L78" s="292">
        <f>'Dep Adj - NARUCNwe Meters'!M78</f>
        <v>2733.75</v>
      </c>
      <c r="N78" s="292">
        <f>'Dep Adj - NARUCNwe Meters'!O78</f>
        <v>2733.75</v>
      </c>
      <c r="O78" s="295"/>
    </row>
    <row r="79" spans="1:15" x14ac:dyDescent="0.3">
      <c r="A79" s="294"/>
      <c r="O79" s="295"/>
    </row>
    <row r="80" spans="1:15" ht="14.5" thickBot="1" x14ac:dyDescent="0.35">
      <c r="A80" s="294"/>
      <c r="B80" s="24" t="s">
        <v>336</v>
      </c>
      <c r="D80" s="171">
        <f>SUM(D9,D23,D28,D32,D36,D51,D71,D76,D78)</f>
        <v>24564031.050000001</v>
      </c>
      <c r="F80" s="171">
        <f>SUM(F9,F23,F28,F32,F36,F51,F71,F76,F78)</f>
        <v>519890.92</v>
      </c>
      <c r="L80" s="171">
        <f>SUM(L9,L23,L28,L32,L36,L51,L71,L76,L78)</f>
        <v>431398.12999999995</v>
      </c>
      <c r="N80" s="171">
        <f>SUM(N9,N23,N28,N32,N36,N51,N71,N76,N78)</f>
        <v>-88492.790000000023</v>
      </c>
      <c r="O80" s="295"/>
    </row>
    <row r="81" spans="1:15" ht="14.5" thickTop="1" x14ac:dyDescent="0.3">
      <c r="A81" s="299"/>
      <c r="B81" s="292"/>
      <c r="C81" s="292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300"/>
    </row>
    <row r="83" spans="1:15" x14ac:dyDescent="0.3">
      <c r="D83" s="24">
        <v>24454681.050000001</v>
      </c>
      <c r="H83" s="24" t="e">
        <f>#REF!</f>
        <v>#REF!</v>
      </c>
    </row>
    <row r="85" spans="1:15" x14ac:dyDescent="0.3">
      <c r="D85" s="24">
        <f>D83-D80</f>
        <v>-109350</v>
      </c>
    </row>
  </sheetData>
  <mergeCells count="4">
    <mergeCell ref="A1:O1"/>
    <mergeCell ref="A2:O2"/>
    <mergeCell ref="H5:J5"/>
    <mergeCell ref="A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91"/>
  <sheetViews>
    <sheetView view="pageBreakPreview" topLeftCell="A9" zoomScale="98" zoomScaleNormal="100" zoomScaleSheetLayoutView="98" workbookViewId="0">
      <selection activeCell="F21" sqref="F21"/>
    </sheetView>
  </sheetViews>
  <sheetFormatPr defaultColWidth="8.84375" defaultRowHeight="14" x14ac:dyDescent="0.3"/>
  <cols>
    <col min="1" max="1" width="3.765625" style="23" customWidth="1"/>
    <col min="2" max="2" width="14.3046875" style="23" customWidth="1"/>
    <col min="3" max="4" width="12.765625" style="23" customWidth="1"/>
    <col min="5" max="5" width="9.765625" style="23" customWidth="1"/>
    <col min="6" max="6" width="10.4609375" style="23" customWidth="1"/>
    <col min="7" max="7" width="9.765625" style="23" customWidth="1"/>
    <col min="8" max="8" width="15.4609375" style="23" customWidth="1"/>
    <col min="9" max="10" width="9" style="23" bestFit="1" customWidth="1"/>
    <col min="11" max="11" width="9.69140625" style="23" customWidth="1"/>
    <col min="12" max="12" width="11.765625" style="23" customWidth="1"/>
    <col min="13" max="13" width="9.3046875" style="23" customWidth="1"/>
    <col min="14" max="14" width="11.765625" style="23" customWidth="1"/>
    <col min="15" max="15" width="9" style="23" bestFit="1" customWidth="1"/>
    <col min="16" max="16" width="9" style="23" customWidth="1"/>
    <col min="17" max="17" width="11.07421875" style="23" customWidth="1"/>
    <col min="18" max="18" width="9" style="23" bestFit="1" customWidth="1"/>
    <col min="19" max="19" width="10.765625" style="23" customWidth="1"/>
    <col min="20" max="20" width="9" style="23" bestFit="1" customWidth="1"/>
    <col min="21" max="21" width="10.69140625" style="23" bestFit="1" customWidth="1"/>
    <col min="22" max="16384" width="8.84375" style="23"/>
  </cols>
  <sheetData>
    <row r="1" spans="1:20" x14ac:dyDescent="0.3">
      <c r="B1" s="176" t="s">
        <v>160</v>
      </c>
      <c r="E1" s="174"/>
      <c r="F1" s="174"/>
      <c r="G1" s="174"/>
    </row>
    <row r="2" spans="1:20" x14ac:dyDescent="0.3">
      <c r="D2" s="176"/>
      <c r="E2" s="174"/>
      <c r="F2" s="174"/>
      <c r="G2" s="174"/>
    </row>
    <row r="3" spans="1:20" x14ac:dyDescent="0.3">
      <c r="A3" s="177"/>
      <c r="B3" s="178" t="s">
        <v>37</v>
      </c>
      <c r="C3" s="179"/>
      <c r="D3" s="179"/>
      <c r="E3" s="179"/>
      <c r="F3" s="179"/>
      <c r="H3" s="178" t="s">
        <v>83</v>
      </c>
      <c r="Q3" s="178" t="s">
        <v>89</v>
      </c>
    </row>
    <row r="4" spans="1:20" x14ac:dyDescent="0.3">
      <c r="A4" s="177"/>
      <c r="B4" s="179" t="s">
        <v>38</v>
      </c>
      <c r="C4" s="177"/>
      <c r="D4" s="177">
        <f>WatPurch!B16</f>
        <v>234443000</v>
      </c>
      <c r="E4" s="180"/>
      <c r="F4" s="181"/>
      <c r="G4" s="177"/>
      <c r="K4" s="175" t="s">
        <v>327</v>
      </c>
      <c r="N4" s="142"/>
      <c r="O4" s="175"/>
      <c r="P4" s="175"/>
    </row>
    <row r="5" spans="1:20" x14ac:dyDescent="0.3">
      <c r="A5" s="177"/>
      <c r="B5" s="179" t="s">
        <v>39</v>
      </c>
      <c r="C5" s="177"/>
      <c r="D5" s="177">
        <v>-126109000</v>
      </c>
      <c r="E5" s="179"/>
      <c r="F5" s="179"/>
      <c r="I5" s="416" t="s">
        <v>326</v>
      </c>
      <c r="J5" s="416"/>
      <c r="K5" s="175" t="s">
        <v>134</v>
      </c>
      <c r="L5" s="417" t="s">
        <v>290</v>
      </c>
      <c r="M5" s="417"/>
      <c r="N5" s="417"/>
      <c r="O5" s="175"/>
      <c r="P5" s="175"/>
      <c r="Q5" s="182" t="s">
        <v>125</v>
      </c>
      <c r="S5" s="28"/>
    </row>
    <row r="6" spans="1:20" ht="17" x14ac:dyDescent="0.6">
      <c r="A6" s="177"/>
      <c r="B6" s="179" t="s">
        <v>40</v>
      </c>
      <c r="C6" s="177"/>
      <c r="D6" s="177"/>
      <c r="E6" s="179"/>
      <c r="F6" s="179"/>
      <c r="H6" s="183" t="s">
        <v>78</v>
      </c>
      <c r="I6" s="25" t="s">
        <v>274</v>
      </c>
      <c r="J6" s="25" t="s">
        <v>275</v>
      </c>
      <c r="K6" s="25" t="s">
        <v>289</v>
      </c>
      <c r="L6" s="25" t="s">
        <v>274</v>
      </c>
      <c r="M6" s="183" t="s">
        <v>275</v>
      </c>
      <c r="N6" s="25" t="s">
        <v>57</v>
      </c>
      <c r="O6" s="183" t="s">
        <v>291</v>
      </c>
      <c r="P6" s="183" t="s">
        <v>112</v>
      </c>
      <c r="R6" s="184" t="s">
        <v>128</v>
      </c>
      <c r="S6" s="184" t="s">
        <v>129</v>
      </c>
      <c r="T6" s="184" t="s">
        <v>57</v>
      </c>
    </row>
    <row r="7" spans="1:20" x14ac:dyDescent="0.3">
      <c r="A7" s="177"/>
      <c r="B7" s="23" t="s">
        <v>41</v>
      </c>
      <c r="C7" s="177">
        <v>0</v>
      </c>
      <c r="D7" s="177"/>
      <c r="E7" s="179"/>
      <c r="F7" s="179"/>
      <c r="G7" s="185"/>
      <c r="H7" s="172" t="s">
        <v>270</v>
      </c>
      <c r="I7" s="172">
        <v>2080</v>
      </c>
      <c r="J7" s="172"/>
      <c r="K7" s="173">
        <v>35.1</v>
      </c>
      <c r="L7" s="232">
        <f t="shared" ref="L7:L22" si="0">ROUND(I7*K7,0)</f>
        <v>73008</v>
      </c>
      <c r="M7" s="232">
        <f t="shared" ref="M7:M22" si="1">ROUND(J7*(1.5*K7),0)</f>
        <v>0</v>
      </c>
      <c r="N7" s="232">
        <f t="shared" ref="N7:N22" si="2">SUM(L7,M7)</f>
        <v>73008</v>
      </c>
      <c r="O7" s="232">
        <v>73000</v>
      </c>
      <c r="P7" s="106">
        <f t="shared" ref="P7:P22" si="3">N7-O7</f>
        <v>8</v>
      </c>
      <c r="Q7" s="186" t="s">
        <v>126</v>
      </c>
      <c r="R7" s="177">
        <v>73</v>
      </c>
      <c r="S7" s="187">
        <v>1450</v>
      </c>
      <c r="T7" s="177">
        <f>S7*R7</f>
        <v>105850</v>
      </c>
    </row>
    <row r="8" spans="1:20" ht="17" x14ac:dyDescent="0.6">
      <c r="A8" s="177"/>
      <c r="B8" s="179" t="s">
        <v>42</v>
      </c>
      <c r="C8" s="177">
        <v>-31386000</v>
      </c>
      <c r="D8" s="177"/>
      <c r="E8" s="179"/>
      <c r="F8" s="179"/>
      <c r="H8" s="172" t="s">
        <v>268</v>
      </c>
      <c r="I8" s="172">
        <v>2080</v>
      </c>
      <c r="J8" s="172">
        <v>10</v>
      </c>
      <c r="K8" s="173">
        <v>21.63</v>
      </c>
      <c r="L8" s="106">
        <f t="shared" si="0"/>
        <v>44990</v>
      </c>
      <c r="M8" s="106">
        <f t="shared" si="1"/>
        <v>324</v>
      </c>
      <c r="N8" s="106">
        <f t="shared" si="2"/>
        <v>45314</v>
      </c>
      <c r="O8" s="106">
        <v>45000</v>
      </c>
      <c r="P8" s="106">
        <f t="shared" si="3"/>
        <v>314</v>
      </c>
      <c r="Q8" s="186" t="s">
        <v>127</v>
      </c>
      <c r="R8" s="177">
        <v>1</v>
      </c>
      <c r="S8" s="177">
        <v>3500</v>
      </c>
      <c r="T8" s="188">
        <f>S8*R8</f>
        <v>3500</v>
      </c>
    </row>
    <row r="9" spans="1:20" x14ac:dyDescent="0.3">
      <c r="A9" s="177"/>
      <c r="B9" s="179" t="s">
        <v>43</v>
      </c>
      <c r="C9" s="177">
        <v>-192000</v>
      </c>
      <c r="D9" s="177"/>
      <c r="E9" s="179"/>
      <c r="F9" s="179"/>
      <c r="H9" s="172" t="s">
        <v>265</v>
      </c>
      <c r="I9" s="172">
        <v>2080</v>
      </c>
      <c r="J9" s="172">
        <v>12</v>
      </c>
      <c r="K9" s="173">
        <v>21.63</v>
      </c>
      <c r="L9" s="106">
        <f t="shared" si="0"/>
        <v>44990</v>
      </c>
      <c r="M9" s="106">
        <f t="shared" si="1"/>
        <v>389</v>
      </c>
      <c r="N9" s="106">
        <f t="shared" si="2"/>
        <v>45379</v>
      </c>
      <c r="O9" s="106">
        <v>45000</v>
      </c>
      <c r="P9" s="106">
        <f t="shared" si="3"/>
        <v>379</v>
      </c>
      <c r="R9" s="177"/>
      <c r="S9" s="189" t="s">
        <v>130</v>
      </c>
      <c r="T9" s="177">
        <f>T8+T7</f>
        <v>109350</v>
      </c>
    </row>
    <row r="10" spans="1:20" ht="14.25" customHeight="1" x14ac:dyDescent="0.6">
      <c r="A10" s="177"/>
      <c r="B10" s="179" t="s">
        <v>44</v>
      </c>
      <c r="C10" s="190">
        <v>0</v>
      </c>
      <c r="D10" s="177">
        <f>SUM(C7:C10)</f>
        <v>-31578000</v>
      </c>
      <c r="E10" s="179"/>
      <c r="F10" s="179"/>
      <c r="H10" s="172" t="s">
        <v>267</v>
      </c>
      <c r="I10" s="172">
        <v>2080</v>
      </c>
      <c r="J10" s="172">
        <v>180.5</v>
      </c>
      <c r="K10" s="173">
        <v>21</v>
      </c>
      <c r="L10" s="106">
        <f t="shared" si="0"/>
        <v>43680</v>
      </c>
      <c r="M10" s="106">
        <f t="shared" si="1"/>
        <v>5686</v>
      </c>
      <c r="N10" s="106">
        <f t="shared" si="2"/>
        <v>49366</v>
      </c>
      <c r="O10" s="106">
        <v>43680</v>
      </c>
      <c r="P10" s="106">
        <f t="shared" si="3"/>
        <v>5686</v>
      </c>
      <c r="R10" s="177"/>
      <c r="S10" s="177"/>
    </row>
    <row r="11" spans="1:20" x14ac:dyDescent="0.3">
      <c r="A11" s="177"/>
      <c r="B11" s="179" t="s">
        <v>45</v>
      </c>
      <c r="C11" s="177"/>
      <c r="D11" s="177"/>
      <c r="E11" s="179"/>
      <c r="F11" s="179"/>
      <c r="H11" s="172" t="s">
        <v>282</v>
      </c>
      <c r="I11" s="172">
        <v>2080</v>
      </c>
      <c r="J11" s="172"/>
      <c r="K11" s="173">
        <v>21</v>
      </c>
      <c r="L11" s="106">
        <f t="shared" si="0"/>
        <v>43680</v>
      </c>
      <c r="M11" s="106">
        <f t="shared" si="1"/>
        <v>0</v>
      </c>
      <c r="N11" s="106">
        <f t="shared" si="2"/>
        <v>43680</v>
      </c>
      <c r="O11" s="106">
        <v>43680</v>
      </c>
      <c r="P11" s="106">
        <f t="shared" si="3"/>
        <v>0</v>
      </c>
      <c r="Q11" s="191"/>
      <c r="R11" s="192" t="s">
        <v>113</v>
      </c>
      <c r="S11" s="192"/>
      <c r="T11" s="192">
        <f>ROUND(-0.3*T9,0)</f>
        <v>-32805</v>
      </c>
    </row>
    <row r="12" spans="1:20" ht="17" x14ac:dyDescent="0.6">
      <c r="A12" s="177"/>
      <c r="B12" s="179" t="s">
        <v>46</v>
      </c>
      <c r="C12" s="106">
        <v>75746000</v>
      </c>
      <c r="D12" s="177"/>
      <c r="E12" s="179"/>
      <c r="F12" s="179"/>
      <c r="H12" s="172" t="s">
        <v>271</v>
      </c>
      <c r="I12" s="172">
        <v>2080</v>
      </c>
      <c r="J12" s="172">
        <v>72.2</v>
      </c>
      <c r="K12" s="173">
        <v>21</v>
      </c>
      <c r="L12" s="106">
        <f t="shared" si="0"/>
        <v>43680</v>
      </c>
      <c r="M12" s="106">
        <f t="shared" si="1"/>
        <v>2274</v>
      </c>
      <c r="N12" s="106">
        <f t="shared" si="2"/>
        <v>45954</v>
      </c>
      <c r="O12" s="106">
        <v>43680</v>
      </c>
      <c r="P12" s="106">
        <f t="shared" si="3"/>
        <v>2274</v>
      </c>
      <c r="Q12" s="193"/>
      <c r="R12" s="192" t="s">
        <v>114</v>
      </c>
      <c r="S12" s="192"/>
      <c r="T12" s="194">
        <f>-ROUND(0.7*T9,0)</f>
        <v>-76545</v>
      </c>
    </row>
    <row r="13" spans="1:20" ht="17" x14ac:dyDescent="0.6">
      <c r="A13" s="177"/>
      <c r="B13" s="179" t="s">
        <v>97</v>
      </c>
      <c r="C13" s="190"/>
      <c r="D13" s="177"/>
      <c r="E13" s="179"/>
      <c r="F13" s="179"/>
      <c r="H13" s="172" t="s">
        <v>266</v>
      </c>
      <c r="I13" s="172">
        <v>2080</v>
      </c>
      <c r="J13" s="172">
        <v>90</v>
      </c>
      <c r="K13" s="173">
        <v>20</v>
      </c>
      <c r="L13" s="106">
        <f t="shared" si="0"/>
        <v>41600</v>
      </c>
      <c r="M13" s="106">
        <f t="shared" si="1"/>
        <v>2700</v>
      </c>
      <c r="N13" s="106">
        <f t="shared" si="2"/>
        <v>44300</v>
      </c>
      <c r="O13" s="106">
        <v>41600</v>
      </c>
      <c r="P13" s="106">
        <f t="shared" si="3"/>
        <v>2700</v>
      </c>
      <c r="R13" s="195"/>
      <c r="S13" s="196"/>
      <c r="T13" s="185">
        <f>T11+T12</f>
        <v>-109350</v>
      </c>
    </row>
    <row r="14" spans="1:20" x14ac:dyDescent="0.3">
      <c r="A14" s="177"/>
      <c r="C14" s="177"/>
      <c r="D14" s="177">
        <f>SUM(D4:D10)</f>
        <v>76756000</v>
      </c>
      <c r="E14" s="197">
        <f>D14/D4</f>
        <v>0.32739727780313338</v>
      </c>
      <c r="F14" s="179" t="s">
        <v>47</v>
      </c>
      <c r="H14" s="172" t="s">
        <v>269</v>
      </c>
      <c r="I14" s="172">
        <v>2080</v>
      </c>
      <c r="J14" s="172">
        <v>12.5</v>
      </c>
      <c r="K14" s="173">
        <v>19.23</v>
      </c>
      <c r="L14" s="106">
        <f t="shared" si="0"/>
        <v>39998</v>
      </c>
      <c r="M14" s="106">
        <f t="shared" si="1"/>
        <v>361</v>
      </c>
      <c r="N14" s="106">
        <f t="shared" si="2"/>
        <v>40359</v>
      </c>
      <c r="O14" s="106">
        <v>40000</v>
      </c>
      <c r="P14" s="106">
        <f t="shared" si="3"/>
        <v>359</v>
      </c>
      <c r="R14" s="195"/>
      <c r="S14" s="196"/>
      <c r="T14" s="185"/>
    </row>
    <row r="15" spans="1:20" x14ac:dyDescent="0.3">
      <c r="A15" s="177"/>
      <c r="B15" s="198" t="s">
        <v>48</v>
      </c>
      <c r="C15" s="177">
        <f>-D5-D10+D14</f>
        <v>234443000</v>
      </c>
      <c r="D15" s="177"/>
      <c r="E15" s="199">
        <v>0.15</v>
      </c>
      <c r="F15" s="179" t="s">
        <v>49</v>
      </c>
      <c r="H15" s="172" t="s">
        <v>283</v>
      </c>
      <c r="I15" s="172">
        <v>2080</v>
      </c>
      <c r="J15" s="172"/>
      <c r="K15" s="173">
        <v>18.27</v>
      </c>
      <c r="L15" s="106">
        <f t="shared" si="0"/>
        <v>38002</v>
      </c>
      <c r="M15" s="106">
        <f t="shared" si="1"/>
        <v>0</v>
      </c>
      <c r="N15" s="106">
        <f t="shared" si="2"/>
        <v>38002</v>
      </c>
      <c r="O15" s="106">
        <v>38000</v>
      </c>
      <c r="P15" s="106">
        <f t="shared" si="3"/>
        <v>2</v>
      </c>
      <c r="R15" s="195"/>
      <c r="S15" s="196"/>
      <c r="T15" s="185"/>
    </row>
    <row r="16" spans="1:20" ht="17.5" thickBot="1" x14ac:dyDescent="0.65">
      <c r="A16" s="177"/>
      <c r="B16" s="179"/>
      <c r="C16" s="190"/>
      <c r="D16" s="177"/>
      <c r="E16" s="250">
        <f>E14-E15</f>
        <v>0.17739727780313339</v>
      </c>
      <c r="F16" s="200" t="s">
        <v>149</v>
      </c>
      <c r="H16" s="172" t="s">
        <v>273</v>
      </c>
      <c r="I16" s="172">
        <v>2080</v>
      </c>
      <c r="J16" s="172">
        <v>10</v>
      </c>
      <c r="K16" s="173">
        <v>17</v>
      </c>
      <c r="L16" s="106">
        <f t="shared" si="0"/>
        <v>35360</v>
      </c>
      <c r="M16" s="106">
        <f t="shared" si="1"/>
        <v>255</v>
      </c>
      <c r="N16" s="106">
        <f t="shared" si="2"/>
        <v>35615</v>
      </c>
      <c r="O16" s="106">
        <v>35360</v>
      </c>
      <c r="P16" s="106">
        <f t="shared" si="3"/>
        <v>255</v>
      </c>
      <c r="R16" s="195"/>
      <c r="S16" s="196"/>
      <c r="T16" s="185"/>
    </row>
    <row r="17" spans="1:20" ht="14.5" thickTop="1" x14ac:dyDescent="0.3">
      <c r="A17" s="177"/>
      <c r="D17" s="177"/>
      <c r="E17" s="179"/>
      <c r="H17" s="172" t="s">
        <v>272</v>
      </c>
      <c r="I17" s="172">
        <v>2080</v>
      </c>
      <c r="J17" s="172">
        <v>3.5</v>
      </c>
      <c r="K17" s="173">
        <v>17</v>
      </c>
      <c r="L17" s="106">
        <f t="shared" si="0"/>
        <v>35360</v>
      </c>
      <c r="M17" s="106">
        <f t="shared" si="1"/>
        <v>89</v>
      </c>
      <c r="N17" s="106">
        <f t="shared" si="2"/>
        <v>35449</v>
      </c>
      <c r="O17" s="106">
        <v>35360</v>
      </c>
      <c r="P17" s="106">
        <f t="shared" si="3"/>
        <v>89</v>
      </c>
      <c r="R17" s="195"/>
      <c r="S17" s="196"/>
      <c r="T17" s="185"/>
    </row>
    <row r="18" spans="1:20" x14ac:dyDescent="0.3">
      <c r="A18" s="177"/>
      <c r="E18" s="175" t="s">
        <v>152</v>
      </c>
      <c r="F18" s="175" t="s">
        <v>152</v>
      </c>
      <c r="G18" s="175"/>
      <c r="H18" s="172" t="s">
        <v>284</v>
      </c>
      <c r="I18" s="172">
        <v>2080</v>
      </c>
      <c r="J18" s="172"/>
      <c r="K18" s="173">
        <v>16</v>
      </c>
      <c r="L18" s="106">
        <f t="shared" si="0"/>
        <v>33280</v>
      </c>
      <c r="M18" s="106">
        <f t="shared" si="1"/>
        <v>0</v>
      </c>
      <c r="N18" s="106">
        <f t="shared" si="2"/>
        <v>33280</v>
      </c>
      <c r="O18" s="106">
        <v>33280</v>
      </c>
      <c r="P18" s="106">
        <f t="shared" si="3"/>
        <v>0</v>
      </c>
      <c r="R18" s="195"/>
      <c r="S18" s="196"/>
      <c r="T18" s="185"/>
    </row>
    <row r="19" spans="1:20" x14ac:dyDescent="0.3">
      <c r="A19" s="177"/>
      <c r="E19" s="183" t="s">
        <v>153</v>
      </c>
      <c r="F19" s="183" t="s">
        <v>154</v>
      </c>
      <c r="G19" s="183" t="s">
        <v>57</v>
      </c>
      <c r="H19" s="172" t="s">
        <v>285</v>
      </c>
      <c r="I19" s="172">
        <v>2080</v>
      </c>
      <c r="J19" s="172"/>
      <c r="K19" s="173">
        <v>15</v>
      </c>
      <c r="L19" s="106">
        <f t="shared" si="0"/>
        <v>31200</v>
      </c>
      <c r="M19" s="106">
        <f t="shared" si="1"/>
        <v>0</v>
      </c>
      <c r="N19" s="106">
        <f t="shared" si="2"/>
        <v>31200</v>
      </c>
      <c r="O19" s="106">
        <v>31200</v>
      </c>
      <c r="P19" s="106">
        <f t="shared" si="3"/>
        <v>0</v>
      </c>
      <c r="R19" s="195"/>
      <c r="S19" s="196"/>
      <c r="T19" s="185"/>
    </row>
    <row r="20" spans="1:20" x14ac:dyDescent="0.3">
      <c r="A20" s="177"/>
      <c r="B20" s="23" t="s">
        <v>150</v>
      </c>
      <c r="E20" s="203">
        <f>'SAO- DSC Revised - 3 Emp'!F27</f>
        <v>717565</v>
      </c>
      <c r="F20" s="203">
        <f>'SAO- DSC Revised - 3 Emp'!F28</f>
        <v>59385</v>
      </c>
      <c r="G20" s="203">
        <f>SUM(E20:F20)</f>
        <v>776950</v>
      </c>
      <c r="H20" s="172" t="s">
        <v>286</v>
      </c>
      <c r="I20" s="172">
        <v>2080</v>
      </c>
      <c r="J20" s="172"/>
      <c r="K20" s="173">
        <v>15</v>
      </c>
      <c r="L20" s="106">
        <f t="shared" si="0"/>
        <v>31200</v>
      </c>
      <c r="M20" s="106">
        <f t="shared" si="1"/>
        <v>0</v>
      </c>
      <c r="N20" s="106">
        <f t="shared" si="2"/>
        <v>31200</v>
      </c>
      <c r="O20" s="106">
        <v>31200</v>
      </c>
      <c r="P20" s="106">
        <f t="shared" si="3"/>
        <v>0</v>
      </c>
      <c r="R20" s="195"/>
      <c r="S20" s="196"/>
      <c r="T20" s="185"/>
    </row>
    <row r="21" spans="1:20" x14ac:dyDescent="0.3">
      <c r="A21" s="177"/>
      <c r="B21" s="23" t="s">
        <v>151</v>
      </c>
      <c r="E21" s="204">
        <f>-E16</f>
        <v>-0.17739727780313339</v>
      </c>
      <c r="F21" s="204">
        <f>-E16</f>
        <v>-0.17739727780313339</v>
      </c>
      <c r="G21" s="204">
        <f>-E16</f>
        <v>-0.17739727780313339</v>
      </c>
      <c r="H21" s="172" t="s">
        <v>287</v>
      </c>
      <c r="I21" s="172">
        <v>2080</v>
      </c>
      <c r="J21" s="172"/>
      <c r="K21" s="173">
        <v>15</v>
      </c>
      <c r="L21" s="106">
        <f t="shared" si="0"/>
        <v>31200</v>
      </c>
      <c r="M21" s="106">
        <f t="shared" si="1"/>
        <v>0</v>
      </c>
      <c r="N21" s="106">
        <f t="shared" si="2"/>
        <v>31200</v>
      </c>
      <c r="O21" s="106">
        <v>31200</v>
      </c>
      <c r="P21" s="106">
        <f t="shared" si="3"/>
        <v>0</v>
      </c>
      <c r="R21" s="195"/>
      <c r="S21" s="196"/>
      <c r="T21" s="185"/>
    </row>
    <row r="22" spans="1:20" ht="14.5" thickBot="1" x14ac:dyDescent="0.35">
      <c r="A22" s="177"/>
      <c r="B22" s="200" t="s">
        <v>149</v>
      </c>
      <c r="E22" s="206">
        <f>ROUND(E20*E21,0)</f>
        <v>-127294</v>
      </c>
      <c r="F22" s="206">
        <f>ROUND(F20*F21,0)</f>
        <v>-10535</v>
      </c>
      <c r="G22" s="206">
        <f>ROUND(G20*G21,0)</f>
        <v>-137829</v>
      </c>
      <c r="H22" s="172" t="s">
        <v>288</v>
      </c>
      <c r="I22" s="172">
        <v>2080</v>
      </c>
      <c r="J22" s="172"/>
      <c r="K22" s="173">
        <v>15</v>
      </c>
      <c r="L22" s="177">
        <f t="shared" si="0"/>
        <v>31200</v>
      </c>
      <c r="M22" s="177">
        <f t="shared" si="1"/>
        <v>0</v>
      </c>
      <c r="N22" s="177">
        <f t="shared" si="2"/>
        <v>31200</v>
      </c>
      <c r="O22" s="177">
        <v>31200</v>
      </c>
      <c r="P22" s="177">
        <f t="shared" si="3"/>
        <v>0</v>
      </c>
      <c r="R22" s="195"/>
      <c r="S22" s="196"/>
      <c r="T22" s="185"/>
    </row>
    <row r="23" spans="1:20" ht="15" thickTop="1" thickBot="1" x14ac:dyDescent="0.35">
      <c r="A23" s="177"/>
      <c r="E23" s="203"/>
      <c r="F23" s="203"/>
      <c r="G23" s="203"/>
      <c r="L23" s="202">
        <f>SUM(L7:L22)</f>
        <v>642428</v>
      </c>
      <c r="M23" s="202">
        <f>SUM(M7:M22)</f>
        <v>12078</v>
      </c>
      <c r="N23" s="202">
        <f>SUM(N7:N22)</f>
        <v>654506</v>
      </c>
      <c r="O23" s="202">
        <f>SUM(O7:O22)</f>
        <v>642440</v>
      </c>
      <c r="P23" s="202">
        <f t="shared" ref="P23" si="4">SUM(P7:P22)</f>
        <v>12066</v>
      </c>
      <c r="R23" s="195"/>
      <c r="S23" s="196"/>
      <c r="T23" s="185"/>
    </row>
    <row r="24" spans="1:20" ht="14.5" thickTop="1" x14ac:dyDescent="0.3">
      <c r="A24" s="177"/>
      <c r="B24" s="178" t="s">
        <v>116</v>
      </c>
      <c r="C24" s="182"/>
      <c r="D24" s="182"/>
      <c r="E24" s="28"/>
      <c r="O24" s="177"/>
      <c r="P24" s="177"/>
      <c r="R24" s="195"/>
      <c r="S24" s="196"/>
      <c r="T24" s="185"/>
    </row>
    <row r="25" spans="1:20" ht="17" x14ac:dyDescent="0.6">
      <c r="A25" s="177"/>
      <c r="C25" s="209" t="s">
        <v>121</v>
      </c>
      <c r="D25" s="209" t="s">
        <v>72</v>
      </c>
      <c r="E25" s="209" t="s">
        <v>73</v>
      </c>
      <c r="F25" s="209" t="s">
        <v>54</v>
      </c>
      <c r="O25" s="177"/>
      <c r="P25" s="177"/>
      <c r="R25" s="195"/>
      <c r="S25" s="196"/>
      <c r="T25" s="185"/>
    </row>
    <row r="26" spans="1:20" ht="17" x14ac:dyDescent="0.6">
      <c r="A26" s="177"/>
      <c r="C26" s="209" t="s">
        <v>73</v>
      </c>
      <c r="D26" s="209" t="s">
        <v>117</v>
      </c>
      <c r="E26" s="209" t="s">
        <v>74</v>
      </c>
      <c r="F26" s="209" t="s">
        <v>71</v>
      </c>
      <c r="H26" s="24" t="s">
        <v>292</v>
      </c>
      <c r="I26" s="201"/>
      <c r="J26" s="201"/>
      <c r="K26" s="201"/>
      <c r="L26" s="106"/>
      <c r="N26" s="106">
        <f>N23</f>
        <v>654506</v>
      </c>
      <c r="R26" s="258"/>
      <c r="S26" s="196"/>
      <c r="T26" s="185"/>
    </row>
    <row r="27" spans="1:20" ht="17" x14ac:dyDescent="0.6">
      <c r="A27" s="177"/>
      <c r="B27" s="212" t="s">
        <v>120</v>
      </c>
      <c r="C27" s="213"/>
      <c r="D27" s="213"/>
      <c r="E27" s="213"/>
      <c r="F27" s="213"/>
      <c r="H27" s="177" t="s">
        <v>293</v>
      </c>
      <c r="I27" s="177"/>
      <c r="J27" s="177"/>
      <c r="K27" s="187"/>
      <c r="L27" s="177"/>
      <c r="N27" s="177" t="e">
        <f>-#REF!</f>
        <v>#REF!</v>
      </c>
      <c r="R27" s="258"/>
      <c r="S27" s="196"/>
      <c r="T27" s="185"/>
    </row>
    <row r="28" spans="1:20" ht="14.5" thickBot="1" x14ac:dyDescent="0.35">
      <c r="A28" s="177"/>
      <c r="B28" s="179" t="s">
        <v>118</v>
      </c>
      <c r="C28" s="182">
        <f>'Anthem Aug 2023 Inv'!J20</f>
        <v>12227.180000000004</v>
      </c>
      <c r="D28" s="216">
        <v>0.21</v>
      </c>
      <c r="E28" s="182">
        <f>C28*D28</f>
        <v>2567.7078000000006</v>
      </c>
      <c r="F28" s="182">
        <f>C28-E28</f>
        <v>9659.4722000000038</v>
      </c>
      <c r="H28" s="177" t="s">
        <v>258</v>
      </c>
      <c r="I28" s="177"/>
      <c r="J28" s="177"/>
      <c r="N28" s="202" t="e">
        <f>SUM(N26:N27)</f>
        <v>#REF!</v>
      </c>
      <c r="R28" s="258"/>
      <c r="S28" s="196"/>
      <c r="T28" s="185"/>
    </row>
    <row r="29" spans="1:20" ht="14.5" thickTop="1" x14ac:dyDescent="0.3">
      <c r="A29" s="177"/>
      <c r="B29" s="179" t="s">
        <v>1</v>
      </c>
      <c r="C29" s="182">
        <f>'Anthem Aug 2023 Inv'!D20</f>
        <v>135.25299999999999</v>
      </c>
      <c r="D29" s="216">
        <v>0</v>
      </c>
      <c r="E29" s="182">
        <f>C29*D29</f>
        <v>0</v>
      </c>
      <c r="F29" s="182">
        <f>C29-E29</f>
        <v>135.25299999999999</v>
      </c>
      <c r="N29" s="106"/>
      <c r="R29" s="258"/>
      <c r="S29" s="196"/>
      <c r="T29" s="185"/>
    </row>
    <row r="30" spans="1:20" x14ac:dyDescent="0.3">
      <c r="A30" s="177"/>
      <c r="B30" s="179" t="s">
        <v>70</v>
      </c>
      <c r="C30" s="182">
        <f>'Anthem Aug 2023 Inv'!F20</f>
        <v>331.04999999999995</v>
      </c>
      <c r="D30" s="216">
        <v>0.6</v>
      </c>
      <c r="E30" s="182">
        <f>C30*D30</f>
        <v>198.62999999999997</v>
      </c>
      <c r="F30" s="182">
        <f>C30-E30</f>
        <v>132.41999999999999</v>
      </c>
      <c r="H30" s="24" t="s">
        <v>292</v>
      </c>
      <c r="N30" s="185">
        <f>N26</f>
        <v>654506</v>
      </c>
      <c r="R30" s="258"/>
      <c r="S30" s="196"/>
      <c r="T30" s="185"/>
    </row>
    <row r="31" spans="1:20" ht="17" x14ac:dyDescent="0.6">
      <c r="A31" s="177"/>
      <c r="B31" s="179" t="s">
        <v>119</v>
      </c>
      <c r="C31" s="182">
        <f>'Anthem Aug 2023 Inv'!H20</f>
        <v>122.39999999999996</v>
      </c>
      <c r="D31" s="216">
        <v>0</v>
      </c>
      <c r="E31" s="182">
        <f>C31*D31</f>
        <v>0</v>
      </c>
      <c r="F31" s="220">
        <f>C31-E31</f>
        <v>122.39999999999996</v>
      </c>
      <c r="H31" s="23" t="s">
        <v>79</v>
      </c>
      <c r="N31" s="219">
        <v>7.6499999999999999E-2</v>
      </c>
    </row>
    <row r="32" spans="1:20" x14ac:dyDescent="0.3">
      <c r="A32" s="177"/>
      <c r="B32" s="179"/>
      <c r="C32" s="182">
        <f>SUM(C28:C31)</f>
        <v>12815.883000000003</v>
      </c>
      <c r="D32" s="216"/>
      <c r="E32" s="182"/>
      <c r="F32" s="182">
        <f>SUM(F28:F31)</f>
        <v>10049.545200000004</v>
      </c>
      <c r="H32" s="23" t="s">
        <v>80</v>
      </c>
      <c r="N32" s="106">
        <f>ROUND(N30*N31,0)</f>
        <v>50070</v>
      </c>
    </row>
    <row r="33" spans="1:21" x14ac:dyDescent="0.3">
      <c r="A33" s="177"/>
      <c r="B33" s="179"/>
      <c r="C33" s="182"/>
      <c r="D33" s="224" t="s">
        <v>122</v>
      </c>
      <c r="E33" s="28">
        <v>1</v>
      </c>
      <c r="F33" s="182">
        <f>F32*E33</f>
        <v>10049.545200000004</v>
      </c>
      <c r="H33" s="23" t="s">
        <v>306</v>
      </c>
      <c r="N33" s="177">
        <v>-33243</v>
      </c>
      <c r="T33" s="185"/>
    </row>
    <row r="34" spans="1:21" ht="17.5" thickBot="1" x14ac:dyDescent="0.65">
      <c r="A34" s="177"/>
      <c r="B34" s="212"/>
      <c r="C34" s="213"/>
      <c r="D34" s="213"/>
      <c r="E34" s="213"/>
      <c r="F34" s="213"/>
      <c r="H34" s="214" t="s">
        <v>81</v>
      </c>
      <c r="I34" s="233"/>
      <c r="N34" s="202">
        <f>SUM(N32:N33)</f>
        <v>16827</v>
      </c>
      <c r="T34" s="185"/>
    </row>
    <row r="35" spans="1:21" ht="14.5" thickTop="1" x14ac:dyDescent="0.3">
      <c r="A35" s="177"/>
      <c r="B35" s="179"/>
      <c r="C35" s="182"/>
      <c r="D35" s="216"/>
      <c r="E35" s="182"/>
      <c r="F35" s="182"/>
      <c r="H35" s="208"/>
      <c r="I35" s="177"/>
      <c r="J35" s="177"/>
      <c r="N35" s="207"/>
    </row>
    <row r="36" spans="1:21" x14ac:dyDescent="0.3">
      <c r="A36" s="177"/>
      <c r="C36" s="186" t="s">
        <v>123</v>
      </c>
      <c r="D36" s="28">
        <f>ROUND(F33+F42,0)</f>
        <v>10050</v>
      </c>
      <c r="E36" s="182"/>
      <c r="F36" s="182"/>
      <c r="H36" s="208"/>
      <c r="I36" s="177"/>
      <c r="J36" s="177"/>
      <c r="N36" s="207"/>
    </row>
    <row r="37" spans="1:21" x14ac:dyDescent="0.3">
      <c r="A37" s="177"/>
      <c r="C37" s="186" t="s">
        <v>75</v>
      </c>
      <c r="D37" s="28">
        <f>D36*12</f>
        <v>120600</v>
      </c>
      <c r="E37" s="182"/>
      <c r="F37" s="182"/>
      <c r="H37" s="23" t="s">
        <v>87</v>
      </c>
      <c r="I37" s="177"/>
      <c r="J37" s="177"/>
      <c r="N37" s="207"/>
    </row>
    <row r="38" spans="1:21" ht="17" x14ac:dyDescent="0.6">
      <c r="A38" s="177"/>
      <c r="C38" s="186" t="s">
        <v>76</v>
      </c>
      <c r="D38" s="249">
        <v>-87335</v>
      </c>
      <c r="E38" s="182"/>
      <c r="F38" s="220"/>
      <c r="H38" s="23" t="s">
        <v>131</v>
      </c>
      <c r="I38" s="177"/>
      <c r="J38" s="177"/>
      <c r="N38" s="207"/>
    </row>
    <row r="39" spans="1:21" ht="16" thickBot="1" x14ac:dyDescent="0.4">
      <c r="A39" s="177"/>
      <c r="B39" s="195"/>
      <c r="C39" s="228" t="s">
        <v>77</v>
      </c>
      <c r="D39" s="225">
        <f>D37+D38</f>
        <v>33265</v>
      </c>
      <c r="F39" s="223"/>
      <c r="H39" s="62">
        <v>87335</v>
      </c>
      <c r="I39" s="248" t="s">
        <v>303</v>
      </c>
      <c r="J39" s="177"/>
      <c r="N39" s="205"/>
    </row>
    <row r="40" spans="1:21" ht="18.5" thickTop="1" x14ac:dyDescent="0.6">
      <c r="A40" s="177"/>
      <c r="E40" s="332">
        <v>1</v>
      </c>
      <c r="H40" s="62">
        <v>157284</v>
      </c>
      <c r="I40" s="248" t="s">
        <v>304</v>
      </c>
      <c r="J40" s="177"/>
      <c r="N40" s="188"/>
      <c r="O40" s="211"/>
      <c r="P40" s="211"/>
      <c r="Q40" s="178"/>
    </row>
    <row r="41" spans="1:21" ht="18" x14ac:dyDescent="0.6">
      <c r="A41" s="177"/>
      <c r="E41" s="332">
        <f>E40-D28</f>
        <v>0.79</v>
      </c>
      <c r="H41" s="64">
        <v>48605</v>
      </c>
      <c r="I41" s="248" t="s">
        <v>132</v>
      </c>
      <c r="J41" s="177"/>
      <c r="K41" s="214"/>
      <c r="L41" s="214"/>
      <c r="M41" s="214"/>
      <c r="N41" s="188"/>
    </row>
    <row r="42" spans="1:21" ht="18" x14ac:dyDescent="0.6">
      <c r="E42" s="28"/>
      <c r="F42" s="182"/>
      <c r="H42" s="64">
        <f>SUM(H39:H41)</f>
        <v>293224</v>
      </c>
      <c r="I42" s="177"/>
      <c r="J42" s="177"/>
      <c r="N42" s="188"/>
      <c r="S42" s="251"/>
      <c r="T42" s="251"/>
      <c r="U42" s="251"/>
    </row>
    <row r="43" spans="1:21" x14ac:dyDescent="0.3">
      <c r="I43" s="177"/>
      <c r="J43" s="177"/>
      <c r="N43" s="217"/>
      <c r="S43" s="106"/>
      <c r="T43" s="252"/>
      <c r="U43" s="218"/>
    </row>
    <row r="44" spans="1:21" x14ac:dyDescent="0.3">
      <c r="H44" s="230"/>
      <c r="I44" s="177"/>
      <c r="J44" s="177"/>
      <c r="N44" s="217"/>
      <c r="S44" s="106"/>
      <c r="T44" s="252"/>
      <c r="U44" s="218"/>
    </row>
    <row r="45" spans="1:21" x14ac:dyDescent="0.3">
      <c r="H45" s="230"/>
      <c r="I45" s="177"/>
      <c r="J45" s="177"/>
      <c r="S45" s="106"/>
      <c r="T45" s="252"/>
      <c r="U45" s="218"/>
    </row>
    <row r="46" spans="1:21" x14ac:dyDescent="0.3">
      <c r="H46" s="210">
        <f>SUM(H39:H42)</f>
        <v>586448</v>
      </c>
      <c r="I46" s="229" t="s">
        <v>86</v>
      </c>
      <c r="J46" s="177"/>
      <c r="S46" s="201"/>
      <c r="T46" s="253"/>
      <c r="U46" s="218"/>
    </row>
    <row r="47" spans="1:21" ht="17" x14ac:dyDescent="0.6">
      <c r="H47" s="175"/>
      <c r="S47" s="254"/>
      <c r="T47" s="253"/>
      <c r="U47" s="221"/>
    </row>
    <row r="48" spans="1:21" x14ac:dyDescent="0.3">
      <c r="G48" s="177"/>
      <c r="H48" s="284">
        <f>D38</f>
        <v>-87335</v>
      </c>
      <c r="I48" s="222" t="s">
        <v>133</v>
      </c>
      <c r="O48" s="205"/>
      <c r="P48" s="205"/>
      <c r="S48" s="223"/>
      <c r="U48" s="106"/>
    </row>
    <row r="49" spans="2:21" ht="17" x14ac:dyDescent="0.6">
      <c r="G49" s="177"/>
      <c r="H49" s="285">
        <f>D37</f>
        <v>120600</v>
      </c>
      <c r="I49" s="177" t="s">
        <v>305</v>
      </c>
      <c r="T49" s="255"/>
      <c r="U49" s="190"/>
    </row>
    <row r="50" spans="2:21" ht="14.5" thickBot="1" x14ac:dyDescent="0.35">
      <c r="H50" s="286">
        <f>SUM(H48:H49)</f>
        <v>33265</v>
      </c>
      <c r="I50" s="226" t="s">
        <v>353</v>
      </c>
      <c r="T50" s="256"/>
      <c r="U50" s="257"/>
    </row>
    <row r="51" spans="2:21" ht="14.5" thickTop="1" x14ac:dyDescent="0.3">
      <c r="H51" s="287"/>
      <c r="I51" s="177"/>
      <c r="J51" s="177"/>
      <c r="N51" s="217">
        <f>H52</f>
        <v>654506</v>
      </c>
    </row>
    <row r="52" spans="2:21" x14ac:dyDescent="0.3">
      <c r="H52" s="287">
        <f>N26</f>
        <v>654506</v>
      </c>
      <c r="I52" s="23" t="s">
        <v>82</v>
      </c>
      <c r="J52" s="177"/>
      <c r="N52" s="219">
        <v>0.2334</v>
      </c>
    </row>
    <row r="53" spans="2:21" ht="17" x14ac:dyDescent="0.6">
      <c r="H53" s="290">
        <v>0.2334</v>
      </c>
      <c r="I53" s="23" t="s">
        <v>139</v>
      </c>
      <c r="J53" s="177"/>
      <c r="N53" s="177">
        <f>+N51*N52</f>
        <v>152761.7004</v>
      </c>
      <c r="S53" s="251"/>
      <c r="T53" s="251"/>
      <c r="U53" s="251"/>
    </row>
    <row r="54" spans="2:21" x14ac:dyDescent="0.3">
      <c r="H54" s="288">
        <f>ROUND(H52*H53,0)</f>
        <v>152762</v>
      </c>
      <c r="I54" s="23" t="s">
        <v>140</v>
      </c>
      <c r="J54" s="177"/>
      <c r="N54" s="227">
        <f>-H40-H41</f>
        <v>-205889</v>
      </c>
      <c r="S54" s="106"/>
      <c r="T54" s="252"/>
      <c r="U54" s="218"/>
    </row>
    <row r="55" spans="2:21" ht="14.5" thickBot="1" x14ac:dyDescent="0.35">
      <c r="H55" s="288">
        <f>-H40-H41</f>
        <v>-205889</v>
      </c>
      <c r="I55" s="23" t="s">
        <v>141</v>
      </c>
      <c r="J55" s="177"/>
      <c r="K55" s="214"/>
      <c r="L55" s="214"/>
      <c r="M55" s="214"/>
      <c r="N55" s="215">
        <f>+N53+N54</f>
        <v>-53127.299599999998</v>
      </c>
      <c r="S55" s="201"/>
      <c r="T55" s="253"/>
      <c r="U55" s="218"/>
    </row>
    <row r="56" spans="2:21" ht="18" thickTop="1" thickBot="1" x14ac:dyDescent="0.65">
      <c r="G56" s="177"/>
      <c r="H56" s="289">
        <f>SUM(H54:H55)</f>
        <v>-53127</v>
      </c>
      <c r="I56" s="23" t="s">
        <v>142</v>
      </c>
      <c r="M56" s="177"/>
      <c r="N56" s="177"/>
      <c r="O56" s="177"/>
      <c r="P56" s="177"/>
      <c r="S56" s="254"/>
      <c r="T56" s="253"/>
      <c r="U56" s="221"/>
    </row>
    <row r="57" spans="2:21" ht="17.5" thickTop="1" x14ac:dyDescent="0.6">
      <c r="B57" s="179"/>
      <c r="C57" s="182"/>
      <c r="D57" s="216"/>
      <c r="E57" s="182"/>
      <c r="F57" s="220"/>
      <c r="G57" s="177"/>
      <c r="H57" s="175"/>
      <c r="M57" s="177"/>
      <c r="N57" s="177"/>
      <c r="O57" s="177"/>
      <c r="P57" s="177"/>
      <c r="S57" s="223"/>
      <c r="U57" s="106"/>
    </row>
    <row r="58" spans="2:21" ht="17" x14ac:dyDescent="0.6">
      <c r="B58" s="179"/>
      <c r="C58" s="182"/>
      <c r="G58" s="177"/>
      <c r="H58" s="231">
        <v>-48605</v>
      </c>
      <c r="T58" s="255"/>
      <c r="U58" s="190"/>
    </row>
    <row r="59" spans="2:21" x14ac:dyDescent="0.3">
      <c r="T59" s="256"/>
      <c r="U59" s="257"/>
    </row>
    <row r="60" spans="2:21" x14ac:dyDescent="0.3">
      <c r="K60" s="187"/>
    </row>
    <row r="61" spans="2:21" x14ac:dyDescent="0.3">
      <c r="K61" s="187"/>
    </row>
    <row r="62" spans="2:21" x14ac:dyDescent="0.3">
      <c r="K62" s="187"/>
    </row>
    <row r="63" spans="2:21" x14ac:dyDescent="0.3">
      <c r="K63" s="187"/>
    </row>
    <row r="64" spans="2:21" x14ac:dyDescent="0.3">
      <c r="B64" s="179"/>
      <c r="C64" s="187"/>
      <c r="D64" s="187"/>
      <c r="E64" s="187"/>
      <c r="F64" s="187"/>
      <c r="K64" s="187"/>
    </row>
    <row r="65" spans="2:16" x14ac:dyDescent="0.3">
      <c r="B65" s="179"/>
      <c r="C65" s="187"/>
      <c r="D65" s="187"/>
      <c r="E65" s="187"/>
      <c r="F65" s="187"/>
      <c r="K65" s="196"/>
    </row>
    <row r="66" spans="2:16" x14ac:dyDescent="0.3">
      <c r="B66" s="179"/>
      <c r="C66" s="187"/>
      <c r="D66" s="187"/>
      <c r="E66" s="187"/>
      <c r="F66" s="187"/>
      <c r="M66" s="177"/>
      <c r="N66" s="177"/>
    </row>
    <row r="67" spans="2:16" x14ac:dyDescent="0.3">
      <c r="B67" s="182"/>
      <c r="M67" s="177"/>
      <c r="N67" s="177"/>
    </row>
    <row r="68" spans="2:16" ht="17" x14ac:dyDescent="0.6">
      <c r="E68" s="223"/>
      <c r="F68" s="188"/>
      <c r="M68" s="177"/>
      <c r="N68" s="177"/>
    </row>
    <row r="69" spans="2:16" x14ac:dyDescent="0.3">
      <c r="M69" s="177"/>
      <c r="N69" s="177"/>
    </row>
    <row r="70" spans="2:16" x14ac:dyDescent="0.3">
      <c r="M70" s="177"/>
      <c r="N70" s="177"/>
    </row>
    <row r="71" spans="2:16" x14ac:dyDescent="0.3">
      <c r="M71" s="177"/>
      <c r="N71" s="177"/>
    </row>
    <row r="72" spans="2:16" x14ac:dyDescent="0.3">
      <c r="M72" s="177"/>
      <c r="N72" s="177"/>
      <c r="O72" s="177"/>
      <c r="P72" s="177"/>
    </row>
    <row r="73" spans="2:16" x14ac:dyDescent="0.3">
      <c r="M73" s="177"/>
      <c r="N73" s="177"/>
      <c r="O73" s="177"/>
      <c r="P73" s="177"/>
    </row>
    <row r="74" spans="2:16" x14ac:dyDescent="0.3">
      <c r="O74" s="177"/>
      <c r="P74" s="177"/>
    </row>
    <row r="75" spans="2:16" x14ac:dyDescent="0.3">
      <c r="H75" s="177"/>
      <c r="I75" s="177"/>
      <c r="J75" s="177"/>
      <c r="K75" s="177"/>
    </row>
    <row r="76" spans="2:16" x14ac:dyDescent="0.3">
      <c r="H76" s="177"/>
      <c r="I76" s="177"/>
      <c r="J76" s="177"/>
      <c r="K76" s="177"/>
    </row>
    <row r="77" spans="2:16" x14ac:dyDescent="0.3">
      <c r="H77" s="177"/>
      <c r="I77" s="177"/>
      <c r="J77" s="177"/>
      <c r="K77" s="177"/>
    </row>
    <row r="86" spans="5:6" x14ac:dyDescent="0.3">
      <c r="E86" s="177"/>
      <c r="F86" s="177"/>
    </row>
    <row r="87" spans="5:6" x14ac:dyDescent="0.3">
      <c r="E87" s="177"/>
      <c r="F87" s="177"/>
    </row>
    <row r="88" spans="5:6" x14ac:dyDescent="0.3">
      <c r="E88" s="177"/>
      <c r="F88" s="177"/>
    </row>
    <row r="89" spans="5:6" x14ac:dyDescent="0.3">
      <c r="E89" s="177"/>
      <c r="F89" s="177"/>
    </row>
    <row r="90" spans="5:6" x14ac:dyDescent="0.3">
      <c r="E90" s="177"/>
      <c r="F90" s="177"/>
    </row>
    <row r="91" spans="5:6" x14ac:dyDescent="0.3">
      <c r="E91" s="177"/>
      <c r="F91" s="177"/>
    </row>
  </sheetData>
  <mergeCells count="2">
    <mergeCell ref="I5:J5"/>
    <mergeCell ref="L5:N5"/>
  </mergeCells>
  <phoneticPr fontId="30" type="noConversion"/>
  <pageMargins left="0.7" right="0.7" top="0.75" bottom="0.75" header="0.3" footer="0.3"/>
  <pageSetup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10BF6-99FE-438B-B9C1-68A337EF6CAE}">
  <dimension ref="A1:Z19"/>
  <sheetViews>
    <sheetView showGridLines="0" workbookViewId="0">
      <selection activeCell="A2" sqref="A2:Y18"/>
    </sheetView>
  </sheetViews>
  <sheetFormatPr defaultColWidth="8.84375" defaultRowHeight="14" x14ac:dyDescent="0.3"/>
  <cols>
    <col min="1" max="1" width="1.69140625" style="28" customWidth="1"/>
    <col min="2" max="2" width="18.07421875" style="28" customWidth="1"/>
    <col min="3" max="3" width="1.3046875" style="28" customWidth="1"/>
    <col min="4" max="4" width="13" style="28" customWidth="1"/>
    <col min="5" max="5" width="1.765625" style="28" customWidth="1"/>
    <col min="6" max="6" width="9.84375" style="28" customWidth="1"/>
    <col min="7" max="7" width="1.765625" style="28" customWidth="1"/>
    <col min="8" max="8" width="9.84375" style="28" customWidth="1"/>
    <col min="9" max="9" width="1.765625" style="28" customWidth="1"/>
    <col min="10" max="10" width="9.84375" style="28" customWidth="1"/>
    <col min="11" max="11" width="1.3046875" style="28" customWidth="1"/>
    <col min="12" max="12" width="9.84375" style="28" customWidth="1"/>
    <col min="13" max="13" width="1.3046875" style="28" customWidth="1"/>
    <col min="14" max="14" width="9.84375" style="28" customWidth="1"/>
    <col min="15" max="15" width="1.3046875" style="28" customWidth="1"/>
    <col min="16" max="16" width="9.84375" style="28" customWidth="1"/>
    <col min="17" max="17" width="1.3046875" style="28" customWidth="1"/>
    <col min="18" max="18" width="9.84375" style="28" customWidth="1"/>
    <col min="19" max="19" width="1.3046875" style="28" customWidth="1"/>
    <col min="20" max="20" width="9.84375" style="28" customWidth="1"/>
    <col min="21" max="21" width="1.765625" style="28" customWidth="1"/>
    <col min="22" max="22" width="9.84375" style="28" customWidth="1"/>
    <col min="23" max="23" width="0.765625" style="28" customWidth="1"/>
    <col min="24" max="24" width="9.84375" style="28" customWidth="1"/>
    <col min="25" max="25" width="1.765625" style="28" customWidth="1"/>
    <col min="26" max="27" width="8.84375" style="28"/>
    <col min="28" max="28" width="9" style="28" bestFit="1" customWidth="1"/>
    <col min="29" max="16384" width="8.84375" style="28"/>
  </cols>
  <sheetData>
    <row r="1" spans="1:26" ht="15.5" x14ac:dyDescent="0.35">
      <c r="A1" s="27"/>
    </row>
    <row r="2" spans="1:26" ht="15.5" x14ac:dyDescent="0.35">
      <c r="A2" s="66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30"/>
    </row>
    <row r="3" spans="1:26" ht="18" x14ac:dyDescent="0.4">
      <c r="A3" s="67"/>
      <c r="B3" s="420" t="s">
        <v>340</v>
      </c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31"/>
    </row>
    <row r="4" spans="1:26" ht="18" x14ac:dyDescent="0.4">
      <c r="A4" s="67"/>
      <c r="B4" s="421" t="s">
        <v>27</v>
      </c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  <c r="R4" s="421"/>
      <c r="S4" s="421"/>
      <c r="T4" s="421"/>
      <c r="U4" s="421"/>
      <c r="V4" s="421"/>
      <c r="W4" s="421"/>
      <c r="X4" s="421"/>
      <c r="Y4" s="31"/>
    </row>
    <row r="5" spans="1:26" ht="18" x14ac:dyDescent="0.35">
      <c r="A5" s="67"/>
      <c r="B5" s="422" t="str">
        <f>Adj!B1</f>
        <v>Morgan County Water District</v>
      </c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  <c r="V5" s="422"/>
      <c r="W5" s="422"/>
      <c r="X5" s="422"/>
      <c r="Y5" s="31"/>
      <c r="Z5" s="32"/>
    </row>
    <row r="6" spans="1:26" ht="15.5" x14ac:dyDescent="0.35">
      <c r="A6" s="67"/>
      <c r="B6" s="423" t="s">
        <v>158</v>
      </c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3"/>
      <c r="Y6" s="31"/>
    </row>
    <row r="7" spans="1:26" s="34" customFormat="1" ht="15.5" x14ac:dyDescent="0.35">
      <c r="A7" s="27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6" ht="15.75" customHeight="1" x14ac:dyDescent="0.35">
      <c r="A8" s="67"/>
      <c r="B8" s="34"/>
      <c r="C8" s="34"/>
      <c r="D8" s="461" t="s">
        <v>178</v>
      </c>
      <c r="E8" s="461"/>
      <c r="F8" s="461"/>
      <c r="G8" s="34"/>
      <c r="H8" s="461" t="s">
        <v>179</v>
      </c>
      <c r="I8" s="461"/>
      <c r="J8" s="461"/>
      <c r="K8" s="34"/>
      <c r="L8" s="461" t="s">
        <v>180</v>
      </c>
      <c r="M8" s="461"/>
      <c r="N8" s="461"/>
      <c r="O8" s="34"/>
      <c r="P8" s="461" t="s">
        <v>181</v>
      </c>
      <c r="Q8" s="461"/>
      <c r="R8" s="461"/>
      <c r="S8" s="34"/>
      <c r="T8" s="461" t="s">
        <v>182</v>
      </c>
      <c r="U8" s="461"/>
      <c r="V8" s="461"/>
      <c r="W8" s="34"/>
      <c r="X8" s="40" t="s">
        <v>183</v>
      </c>
      <c r="Y8" s="31"/>
    </row>
    <row r="9" spans="1:26" ht="15.5" x14ac:dyDescent="0.35">
      <c r="A9" s="67"/>
      <c r="B9" s="43" t="s">
        <v>56</v>
      </c>
      <c r="C9" s="34"/>
      <c r="D9" s="43" t="s">
        <v>28</v>
      </c>
      <c r="E9" s="34"/>
      <c r="F9" s="160" t="s">
        <v>29</v>
      </c>
      <c r="G9" s="34"/>
      <c r="H9" s="43" t="s">
        <v>28</v>
      </c>
      <c r="I9" s="34"/>
      <c r="J9" s="160" t="s">
        <v>29</v>
      </c>
      <c r="K9" s="34"/>
      <c r="L9" s="43" t="s">
        <v>28</v>
      </c>
      <c r="M9" s="34"/>
      <c r="N9" s="160" t="s">
        <v>29</v>
      </c>
      <c r="O9" s="34"/>
      <c r="P9" s="43" t="s">
        <v>28</v>
      </c>
      <c r="Q9" s="34"/>
      <c r="R9" s="160" t="s">
        <v>29</v>
      </c>
      <c r="S9" s="34"/>
      <c r="T9" s="43" t="s">
        <v>28</v>
      </c>
      <c r="U9" s="34"/>
      <c r="V9" s="160" t="s">
        <v>29</v>
      </c>
      <c r="W9" s="34"/>
      <c r="X9" s="43" t="s">
        <v>138</v>
      </c>
      <c r="Y9" s="31"/>
    </row>
    <row r="10" spans="1:26" ht="15.5" x14ac:dyDescent="0.35">
      <c r="A10" s="67"/>
      <c r="B10" s="36" t="s">
        <v>184</v>
      </c>
      <c r="C10" s="34"/>
      <c r="D10" s="37">
        <f>'Amt Schedules'!C9</f>
        <v>9000</v>
      </c>
      <c r="E10" s="37"/>
      <c r="F10" s="37">
        <f>'Amt Schedules'!E9</f>
        <v>6435</v>
      </c>
      <c r="G10" s="37"/>
      <c r="H10" s="37">
        <f>'Amt Schedules'!C10</f>
        <v>9000</v>
      </c>
      <c r="I10" s="37"/>
      <c r="J10" s="37">
        <f>'Amt Schedules'!E10</f>
        <v>6143</v>
      </c>
      <c r="K10" s="37"/>
      <c r="L10" s="37">
        <f>'Amt Schedules'!C11</f>
        <v>9500</v>
      </c>
      <c r="M10" s="37"/>
      <c r="N10" s="37">
        <f>'Amt Schedules'!E11</f>
        <v>5850</v>
      </c>
      <c r="O10" s="37"/>
      <c r="P10" s="37">
        <f>'Amt Schedules'!C12</f>
        <v>10000</v>
      </c>
      <c r="Q10" s="37"/>
      <c r="R10" s="37">
        <f>'Amt Schedules'!E12</f>
        <v>5541</v>
      </c>
      <c r="S10" s="37"/>
      <c r="T10" s="37">
        <f>'Amt Schedules'!C13</f>
        <v>10000</v>
      </c>
      <c r="U10" s="37"/>
      <c r="V10" s="37">
        <f>'Amt Schedules'!E13</f>
        <v>5216</v>
      </c>
      <c r="W10" s="34"/>
      <c r="X10" s="37">
        <v>76685</v>
      </c>
      <c r="Y10" s="31"/>
    </row>
    <row r="11" spans="1:26" ht="15.5" x14ac:dyDescent="0.35">
      <c r="A11" s="67"/>
      <c r="B11" s="36" t="s">
        <v>185</v>
      </c>
      <c r="C11" s="34"/>
      <c r="D11" s="38">
        <f>'Amt Schedules'!K9</f>
        <v>22000</v>
      </c>
      <c r="E11" s="38"/>
      <c r="F11" s="38">
        <f>'Amt Schedules'!M9</f>
        <v>30979</v>
      </c>
      <c r="G11" s="38"/>
      <c r="H11" s="38">
        <f>'Amt Schedules'!K10</f>
        <v>22000</v>
      </c>
      <c r="I11" s="38"/>
      <c r="J11" s="38">
        <f>'Amt Schedules'!M10</f>
        <v>30071</v>
      </c>
      <c r="K11" s="38"/>
      <c r="L11" s="38">
        <f>'Amt Schedules'!K11</f>
        <v>23000</v>
      </c>
      <c r="M11" s="38"/>
      <c r="N11" s="38">
        <f>'Amt Schedules'!M11</f>
        <v>29164</v>
      </c>
      <c r="O11" s="38"/>
      <c r="P11" s="38">
        <f>'Amt Schedules'!K12</f>
        <v>24000</v>
      </c>
      <c r="Q11" s="38"/>
      <c r="R11" s="38">
        <f>'Amt Schedules'!M12</f>
        <v>28215</v>
      </c>
      <c r="S11" s="38"/>
      <c r="T11" s="38">
        <f>'Amt Schedules'!K13</f>
        <v>25000</v>
      </c>
      <c r="U11" s="38"/>
      <c r="V11" s="38">
        <f>'Amt Schedules'!M13</f>
        <v>27225</v>
      </c>
      <c r="W11" s="34"/>
      <c r="X11" s="34">
        <v>261654</v>
      </c>
      <c r="Y11" s="31"/>
    </row>
    <row r="12" spans="1:26" ht="15.5" x14ac:dyDescent="0.35">
      <c r="A12" s="67"/>
      <c r="B12" s="36" t="s">
        <v>186</v>
      </c>
      <c r="C12" s="34"/>
      <c r="D12" s="38">
        <f>'Amt Schedules'!S9</f>
        <v>27680</v>
      </c>
      <c r="E12" s="38"/>
      <c r="F12" s="38">
        <f>'Amt Schedules'!U9</f>
        <v>48333</v>
      </c>
      <c r="G12" s="38"/>
      <c r="H12" s="38">
        <f>'Amt Schedules'!S10</f>
        <v>28820</v>
      </c>
      <c r="I12" s="38"/>
      <c r="J12" s="38">
        <f>'Amt Schedules'!U10</f>
        <v>47191</v>
      </c>
      <c r="K12" s="38"/>
      <c r="L12" s="38">
        <f>'Amt Schedules'!S10</f>
        <v>28820</v>
      </c>
      <c r="M12" s="38"/>
      <c r="N12" s="38">
        <f>'Amt Schedules'!U11</f>
        <v>46002</v>
      </c>
      <c r="O12" s="38"/>
      <c r="P12" s="38">
        <f>'Amt Schedules'!S12</f>
        <v>31250</v>
      </c>
      <c r="Q12" s="38"/>
      <c r="R12" s="38">
        <f>'Amt Schedules'!U12</f>
        <v>44764</v>
      </c>
      <c r="S12" s="38"/>
      <c r="T12" s="38">
        <f>'Amt Schedules'!S13</f>
        <v>32540</v>
      </c>
      <c r="U12" s="38"/>
      <c r="V12" s="38">
        <f>'Amt Schedules'!U13</f>
        <v>43475</v>
      </c>
      <c r="W12" s="34"/>
      <c r="X12" s="34">
        <v>380065</v>
      </c>
      <c r="Y12" s="31"/>
    </row>
    <row r="13" spans="1:26" ht="15.5" x14ac:dyDescent="0.35">
      <c r="A13" s="67"/>
      <c r="B13" s="36" t="s">
        <v>187</v>
      </c>
      <c r="C13" s="34"/>
      <c r="D13" s="38">
        <f>'Amt Schedules'!AA9</f>
        <v>6500</v>
      </c>
      <c r="E13" s="38"/>
      <c r="F13" s="38">
        <f>'Amt Schedules'!AC9</f>
        <v>3361</v>
      </c>
      <c r="G13" s="38"/>
      <c r="H13" s="38">
        <f>'Amt Schedules'!AA10</f>
        <v>6500</v>
      </c>
      <c r="I13" s="38"/>
      <c r="J13" s="38">
        <f>'Amt Schedules'!AC10</f>
        <v>3288</v>
      </c>
      <c r="K13" s="38"/>
      <c r="L13" s="38">
        <f>'Amt Schedules'!AA11</f>
        <v>6500</v>
      </c>
      <c r="M13" s="38"/>
      <c r="N13" s="38">
        <f>'Amt Schedules'!AC11</f>
        <v>3215</v>
      </c>
      <c r="O13" s="38"/>
      <c r="P13" s="38">
        <f>'Amt Schedules'!AA12</f>
        <v>6500</v>
      </c>
      <c r="Q13" s="38"/>
      <c r="R13" s="38">
        <f>'Amt Schedules'!AC12</f>
        <v>3142</v>
      </c>
      <c r="S13" s="38"/>
      <c r="T13" s="38">
        <f>'Amt Schedules'!AA13</f>
        <v>6500</v>
      </c>
      <c r="U13" s="38"/>
      <c r="V13" s="38">
        <f>'Amt Schedules'!AC13</f>
        <v>3068</v>
      </c>
      <c r="W13" s="34"/>
      <c r="X13" s="34">
        <v>48574</v>
      </c>
      <c r="Y13" s="31"/>
    </row>
    <row r="14" spans="1:26" ht="15.5" x14ac:dyDescent="0.35">
      <c r="A14" s="67"/>
      <c r="B14" s="36" t="s">
        <v>188</v>
      </c>
      <c r="C14" s="34"/>
      <c r="D14" s="44">
        <f>'Amt Schedules'!AI9</f>
        <v>55000</v>
      </c>
      <c r="E14" s="38"/>
      <c r="F14" s="44">
        <f>'Amt Schedules'!AK9</f>
        <v>40062</v>
      </c>
      <c r="G14" s="38"/>
      <c r="H14" s="44">
        <f>'Amt Schedules'!AI10</f>
        <v>60000</v>
      </c>
      <c r="I14" s="38"/>
      <c r="J14" s="44">
        <f>'Amt Schedules'!AK10</f>
        <v>37762</v>
      </c>
      <c r="K14" s="38"/>
      <c r="L14" s="44">
        <f>'Amt Schedules'!AI11</f>
        <v>60000</v>
      </c>
      <c r="M14" s="38"/>
      <c r="N14" s="44">
        <f>'Amt Schedules'!AK11</f>
        <v>35062</v>
      </c>
      <c r="O14" s="38"/>
      <c r="P14" s="44">
        <f>'Amt Schedules'!AI12</f>
        <v>65000</v>
      </c>
      <c r="Q14" s="38"/>
      <c r="R14" s="44">
        <f>'Amt Schedules'!AK12</f>
        <v>32262</v>
      </c>
      <c r="S14" s="38"/>
      <c r="T14" s="44">
        <f>'Amt Schedules'!AI13</f>
        <v>65000</v>
      </c>
      <c r="U14" s="38"/>
      <c r="V14" s="44">
        <f>'Amt Schedules'!AK13</f>
        <v>29662</v>
      </c>
      <c r="W14" s="34"/>
      <c r="X14" s="42">
        <v>479810</v>
      </c>
      <c r="Y14" s="31"/>
    </row>
    <row r="15" spans="1:26" ht="16" thickBot="1" x14ac:dyDescent="0.4">
      <c r="A15" s="67"/>
      <c r="B15" s="35" t="s">
        <v>189</v>
      </c>
      <c r="C15" s="34"/>
      <c r="D15" s="161">
        <f>SUM(D10:D14)</f>
        <v>120180</v>
      </c>
      <c r="E15" s="40"/>
      <c r="F15" s="161">
        <f>SUM(F10:F14)</f>
        <v>129170</v>
      </c>
      <c r="G15" s="40"/>
      <c r="H15" s="161">
        <f>SUM(H10:H14)</f>
        <v>126320</v>
      </c>
      <c r="I15" s="40"/>
      <c r="J15" s="161">
        <f>SUM(J10:J14)</f>
        <v>124455</v>
      </c>
      <c r="K15" s="40"/>
      <c r="L15" s="161">
        <f>SUM(L10:L14)</f>
        <v>127820</v>
      </c>
      <c r="M15" s="40"/>
      <c r="N15" s="161">
        <f>SUM(N10:N14)</f>
        <v>119293</v>
      </c>
      <c r="O15" s="40"/>
      <c r="P15" s="161">
        <f>SUM(P10:P14)</f>
        <v>136750</v>
      </c>
      <c r="Q15" s="40"/>
      <c r="R15" s="161">
        <f>SUM(R10:R14)</f>
        <v>113924</v>
      </c>
      <c r="S15" s="40"/>
      <c r="T15" s="161">
        <f>SUM(T10:T14)</f>
        <v>139040</v>
      </c>
      <c r="U15" s="40"/>
      <c r="V15" s="161">
        <f>SUM(V10:V14)</f>
        <v>108646</v>
      </c>
      <c r="W15" s="34"/>
      <c r="X15" s="161">
        <f>SUM(X10:X14)</f>
        <v>1246788</v>
      </c>
      <c r="Y15" s="31"/>
    </row>
    <row r="16" spans="1:26" ht="16" thickTop="1" x14ac:dyDescent="0.35">
      <c r="A16" s="67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4"/>
      <c r="X16" s="39"/>
      <c r="Y16" s="31"/>
    </row>
    <row r="17" spans="1:25" ht="16" thickBot="1" x14ac:dyDescent="0.4">
      <c r="A17" s="67"/>
      <c r="B17" s="35" t="s">
        <v>137</v>
      </c>
      <c r="C17" s="35"/>
      <c r="D17" s="162">
        <f>ROUND(D15/5,0)</f>
        <v>24036</v>
      </c>
      <c r="E17" s="39"/>
      <c r="F17" s="162">
        <f>ROUND(F15/5,0)</f>
        <v>25834</v>
      </c>
      <c r="G17" s="39"/>
      <c r="H17" s="162">
        <f>ROUND(H15/5,0)</f>
        <v>25264</v>
      </c>
      <c r="I17" s="39"/>
      <c r="J17" s="162">
        <f>ROUND(J15/5,0)</f>
        <v>24891</v>
      </c>
      <c r="K17" s="39"/>
      <c r="L17" s="162">
        <f>ROUND(L15/5,0)</f>
        <v>25564</v>
      </c>
      <c r="M17" s="39"/>
      <c r="N17" s="162">
        <f>ROUND(N15/5,0)</f>
        <v>23859</v>
      </c>
      <c r="O17" s="39"/>
      <c r="P17" s="162">
        <f>ROUND(P15/5,0)</f>
        <v>27350</v>
      </c>
      <c r="Q17" s="39"/>
      <c r="R17" s="162">
        <f>ROUND(R15/5,0)</f>
        <v>22785</v>
      </c>
      <c r="S17" s="39"/>
      <c r="T17" s="162">
        <f>ROUND(T15/5,0)</f>
        <v>27808</v>
      </c>
      <c r="U17" s="39"/>
      <c r="V17" s="162">
        <f>ROUND(V15/5,0)</f>
        <v>21729</v>
      </c>
      <c r="W17" s="34"/>
      <c r="X17" s="162">
        <f>ROUND(X15/5,0)</f>
        <v>249358</v>
      </c>
      <c r="Y17" s="31"/>
    </row>
    <row r="18" spans="1:25" ht="16" thickTop="1" x14ac:dyDescent="0.35">
      <c r="A18" s="68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69"/>
    </row>
    <row r="19" spans="1:25" ht="15.5" x14ac:dyDescent="0.35">
      <c r="A19" s="27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</row>
  </sheetData>
  <mergeCells count="9">
    <mergeCell ref="H8:J8"/>
    <mergeCell ref="L8:N8"/>
    <mergeCell ref="P8:R8"/>
    <mergeCell ref="T8:V8"/>
    <mergeCell ref="B3:X3"/>
    <mergeCell ref="B4:X4"/>
    <mergeCell ref="B5:X5"/>
    <mergeCell ref="B6:X6"/>
    <mergeCell ref="D8:F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D632D-FAC1-44D7-A5AC-38E8A9507840}">
  <dimension ref="B3:P31"/>
  <sheetViews>
    <sheetView showGridLines="0" topLeftCell="B1" workbookViewId="0">
      <selection activeCell="B1" sqref="A1:XFD1048576"/>
    </sheetView>
  </sheetViews>
  <sheetFormatPr defaultColWidth="8.84375" defaultRowHeight="15.5" x14ac:dyDescent="0.35"/>
  <cols>
    <col min="1" max="1" width="9.69140625" style="27" customWidth="1"/>
    <col min="2" max="2" width="1.07421875" style="27" customWidth="1"/>
    <col min="3" max="3" width="4.765625" style="27" customWidth="1"/>
    <col min="4" max="5" width="10.765625" style="27" customWidth="1"/>
    <col min="6" max="6" width="11.765625" style="302" customWidth="1"/>
    <col min="7" max="7" width="10.765625" style="27" customWidth="1"/>
    <col min="8" max="8" width="1.23046875" style="27" customWidth="1"/>
    <col min="9" max="9" width="10.765625" style="302" customWidth="1"/>
    <col min="10" max="10" width="10.765625" style="27" customWidth="1"/>
    <col min="11" max="11" width="1.765625" style="27" customWidth="1"/>
    <col min="12" max="12" width="12.765625" style="27" customWidth="1"/>
    <col min="13" max="13" width="1.765625" style="27" customWidth="1"/>
    <col min="14" max="14" width="12.765625" style="27" customWidth="1"/>
    <col min="15" max="15" width="1.765625" style="27" customWidth="1"/>
    <col min="16" max="201" width="9.69140625" style="27" customWidth="1"/>
    <col min="202" max="16384" width="8.84375" style="27"/>
  </cols>
  <sheetData>
    <row r="3" spans="2:15" x14ac:dyDescent="0.35">
      <c r="B3" s="66"/>
      <c r="C3" s="463" t="s">
        <v>85</v>
      </c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311"/>
    </row>
    <row r="4" spans="2:15" x14ac:dyDescent="0.35">
      <c r="B4" s="67"/>
      <c r="C4" s="464" t="s">
        <v>53</v>
      </c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141"/>
    </row>
    <row r="5" spans="2:15" x14ac:dyDescent="0.35">
      <c r="B5" s="67"/>
      <c r="C5" s="465" t="str">
        <f>Adj!B1</f>
        <v>Morgan County Water District</v>
      </c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141"/>
    </row>
    <row r="6" spans="2:15" x14ac:dyDescent="0.35">
      <c r="B6" s="67"/>
      <c r="O6" s="141"/>
    </row>
    <row r="7" spans="2:15" x14ac:dyDescent="0.35">
      <c r="B7" s="67"/>
      <c r="C7" s="301"/>
      <c r="I7" s="303"/>
      <c r="L7" s="462" t="s">
        <v>343</v>
      </c>
      <c r="M7" s="462"/>
      <c r="N7" s="462"/>
      <c r="O7" s="141"/>
    </row>
    <row r="8" spans="2:15" x14ac:dyDescent="0.35">
      <c r="B8" s="67"/>
      <c r="C8" s="310" t="s">
        <v>295</v>
      </c>
      <c r="F8" s="462" t="s">
        <v>342</v>
      </c>
      <c r="G8" s="462"/>
      <c r="I8" s="462" t="s">
        <v>341</v>
      </c>
      <c r="J8" s="462"/>
      <c r="L8" s="276" t="s">
        <v>344</v>
      </c>
      <c r="N8" s="276" t="s">
        <v>345</v>
      </c>
      <c r="O8" s="312"/>
    </row>
    <row r="9" spans="2:15" x14ac:dyDescent="0.35">
      <c r="B9" s="67"/>
      <c r="C9" s="304" t="s">
        <v>51</v>
      </c>
      <c r="D9" s="305">
        <v>2000</v>
      </c>
      <c r="E9" s="242" t="s">
        <v>145</v>
      </c>
      <c r="F9" s="306">
        <f>'Rates Comp'!F12</f>
        <v>31.89</v>
      </c>
      <c r="G9" s="27" t="s">
        <v>173</v>
      </c>
      <c r="I9" s="306">
        <f>'Rates Comp'!L12</f>
        <v>42.37</v>
      </c>
      <c r="J9" s="27" t="s">
        <v>173</v>
      </c>
      <c r="L9" s="306">
        <f>I9-F9</f>
        <v>10.479999999999997</v>
      </c>
      <c r="M9" s="306"/>
      <c r="N9" s="334">
        <f>ROUND(L9/F9,5)</f>
        <v>0.32862999999999998</v>
      </c>
      <c r="O9" s="312"/>
    </row>
    <row r="10" spans="2:15" x14ac:dyDescent="0.35">
      <c r="B10" s="67"/>
      <c r="C10" s="304" t="s">
        <v>52</v>
      </c>
      <c r="D10" s="305">
        <v>3000</v>
      </c>
      <c r="E10" s="242" t="s">
        <v>145</v>
      </c>
      <c r="F10" s="307">
        <f>'Rates Comp'!F13</f>
        <v>1.1860000000000001E-2</v>
      </c>
      <c r="G10" s="27" t="s">
        <v>174</v>
      </c>
      <c r="I10" s="307">
        <f>'Rates Comp'!L13</f>
        <v>1.5689999999999999E-2</v>
      </c>
      <c r="J10" s="27" t="s">
        <v>174</v>
      </c>
      <c r="K10" s="308"/>
      <c r="L10" s="307">
        <f t="shared" ref="L10:L13" si="0">I10-F10</f>
        <v>3.8299999999999983E-3</v>
      </c>
      <c r="M10" s="306"/>
      <c r="N10" s="334">
        <f t="shared" ref="N10:N13" si="1">ROUND(L10/F10,5)</f>
        <v>0.32292999999999999</v>
      </c>
      <c r="O10" s="312"/>
    </row>
    <row r="11" spans="2:15" x14ac:dyDescent="0.35">
      <c r="B11" s="67"/>
      <c r="C11" s="304" t="s">
        <v>52</v>
      </c>
      <c r="D11" s="305">
        <v>5000</v>
      </c>
      <c r="E11" s="242" t="s">
        <v>145</v>
      </c>
      <c r="F11" s="307">
        <f>'Rates Comp'!F14</f>
        <v>1.0999999999999999E-2</v>
      </c>
      <c r="G11" s="27" t="s">
        <v>174</v>
      </c>
      <c r="I11" s="307">
        <f>'Rates Comp'!L14</f>
        <v>1.4549999999999999E-2</v>
      </c>
      <c r="J11" s="27" t="s">
        <v>174</v>
      </c>
      <c r="L11" s="307">
        <f t="shared" si="0"/>
        <v>3.5499999999999993E-3</v>
      </c>
      <c r="M11" s="306"/>
      <c r="N11" s="334">
        <f t="shared" si="1"/>
        <v>0.32273000000000002</v>
      </c>
      <c r="O11" s="141"/>
    </row>
    <row r="12" spans="2:15" x14ac:dyDescent="0.35">
      <c r="B12" s="67"/>
      <c r="C12" s="304" t="s">
        <v>52</v>
      </c>
      <c r="D12" s="305">
        <v>5000</v>
      </c>
      <c r="E12" s="242" t="s">
        <v>145</v>
      </c>
      <c r="F12" s="307">
        <f>'Rates Comp'!F15</f>
        <v>1.0149999999999999E-2</v>
      </c>
      <c r="G12" s="27" t="s">
        <v>174</v>
      </c>
      <c r="I12" s="307">
        <f>'Rates Comp'!L15</f>
        <v>1.342E-2</v>
      </c>
      <c r="J12" s="27" t="s">
        <v>174</v>
      </c>
      <c r="L12" s="307">
        <f t="shared" si="0"/>
        <v>3.2700000000000003E-3</v>
      </c>
      <c r="M12" s="306"/>
      <c r="N12" s="334">
        <f t="shared" si="1"/>
        <v>0.32217000000000001</v>
      </c>
      <c r="O12" s="141"/>
    </row>
    <row r="13" spans="2:15" x14ac:dyDescent="0.35">
      <c r="B13" s="67"/>
      <c r="C13" s="304" t="s">
        <v>96</v>
      </c>
      <c r="D13" s="305">
        <v>15000</v>
      </c>
      <c r="E13" s="242" t="s">
        <v>145</v>
      </c>
      <c r="F13" s="307">
        <f>'Rates Comp'!F16</f>
        <v>9.2899999999999996E-3</v>
      </c>
      <c r="G13" s="27" t="s">
        <v>174</v>
      </c>
      <c r="I13" s="307">
        <f>'Rates Comp'!L16</f>
        <v>1.2280000000000001E-2</v>
      </c>
      <c r="J13" s="27" t="s">
        <v>174</v>
      </c>
      <c r="L13" s="307">
        <f t="shared" si="0"/>
        <v>2.9900000000000013E-3</v>
      </c>
      <c r="M13" s="306"/>
      <c r="N13" s="334">
        <f t="shared" si="1"/>
        <v>0.32185000000000002</v>
      </c>
      <c r="O13" s="141"/>
    </row>
    <row r="14" spans="2:15" x14ac:dyDescent="0.35">
      <c r="B14" s="67"/>
      <c r="E14" s="242"/>
      <c r="F14" s="27"/>
      <c r="N14" s="335"/>
      <c r="O14" s="141"/>
    </row>
    <row r="15" spans="2:15" x14ac:dyDescent="0.35">
      <c r="B15" s="67"/>
      <c r="C15" s="310" t="s">
        <v>164</v>
      </c>
      <c r="E15" s="242"/>
      <c r="F15" s="27"/>
      <c r="N15" s="335"/>
      <c r="O15" s="141"/>
    </row>
    <row r="16" spans="2:15" x14ac:dyDescent="0.35">
      <c r="B16" s="67"/>
      <c r="C16" s="304" t="s">
        <v>51</v>
      </c>
      <c r="D16" s="305">
        <v>5000</v>
      </c>
      <c r="E16" s="242" t="s">
        <v>145</v>
      </c>
      <c r="F16" s="306">
        <f>'Rates Comp'!F19</f>
        <v>67.62</v>
      </c>
      <c r="G16" s="27" t="s">
        <v>173</v>
      </c>
      <c r="I16" s="306">
        <f>'Rates Comp'!L19</f>
        <v>89.810000000000016</v>
      </c>
      <c r="J16" s="27" t="s">
        <v>173</v>
      </c>
      <c r="L16" s="306">
        <f>I16-F16</f>
        <v>22.190000000000012</v>
      </c>
      <c r="M16" s="306"/>
      <c r="N16" s="334">
        <f>ROUND(L16/F16,5)</f>
        <v>0.32816000000000001</v>
      </c>
      <c r="O16" s="141"/>
    </row>
    <row r="17" spans="2:16" x14ac:dyDescent="0.35">
      <c r="B17" s="67"/>
      <c r="C17" s="304" t="s">
        <v>52</v>
      </c>
      <c r="D17" s="305">
        <v>5000</v>
      </c>
      <c r="E17" s="242" t="s">
        <v>145</v>
      </c>
      <c r="F17" s="307">
        <f>'Rates Comp'!F20</f>
        <v>1.0999999999999999E-2</v>
      </c>
      <c r="G17" s="27" t="s">
        <v>174</v>
      </c>
      <c r="I17" s="307">
        <f>'Rates Comp'!L20</f>
        <v>1.4549999999999999E-2</v>
      </c>
      <c r="J17" s="27" t="s">
        <v>174</v>
      </c>
      <c r="L17" s="307">
        <f t="shared" ref="L17:L19" si="2">I17-F17</f>
        <v>3.5499999999999993E-3</v>
      </c>
      <c r="M17" s="306"/>
      <c r="N17" s="334">
        <f t="shared" ref="N17:N19" si="3">ROUND(L17/F17,5)</f>
        <v>0.32273000000000002</v>
      </c>
      <c r="O17" s="141"/>
    </row>
    <row r="18" spans="2:16" x14ac:dyDescent="0.35">
      <c r="B18" s="67"/>
      <c r="C18" s="304" t="s">
        <v>52</v>
      </c>
      <c r="D18" s="305">
        <v>5000</v>
      </c>
      <c r="E18" s="242" t="s">
        <v>145</v>
      </c>
      <c r="F18" s="307">
        <f>'Rates Comp'!F21</f>
        <v>1.0149999999999999E-2</v>
      </c>
      <c r="G18" s="27" t="s">
        <v>174</v>
      </c>
      <c r="I18" s="307">
        <f>'Rates Comp'!L21</f>
        <v>1.342E-2</v>
      </c>
      <c r="J18" s="27" t="s">
        <v>174</v>
      </c>
      <c r="L18" s="307">
        <f t="shared" si="2"/>
        <v>3.2700000000000003E-3</v>
      </c>
      <c r="M18" s="306"/>
      <c r="N18" s="334">
        <f t="shared" si="3"/>
        <v>0.32217000000000001</v>
      </c>
      <c r="O18" s="141"/>
    </row>
    <row r="19" spans="2:16" x14ac:dyDescent="0.35">
      <c r="B19" s="67"/>
      <c r="C19" s="304" t="s">
        <v>96</v>
      </c>
      <c r="D19" s="305">
        <v>15000</v>
      </c>
      <c r="E19" s="242" t="s">
        <v>145</v>
      </c>
      <c r="F19" s="307">
        <f>'Rates Comp'!F22</f>
        <v>9.2899999999999996E-3</v>
      </c>
      <c r="G19" s="27" t="s">
        <v>174</v>
      </c>
      <c r="I19" s="307">
        <f>'Rates Comp'!L22</f>
        <v>1.2280000000000001E-2</v>
      </c>
      <c r="J19" s="27" t="s">
        <v>174</v>
      </c>
      <c r="L19" s="307">
        <f t="shared" si="2"/>
        <v>2.9900000000000013E-3</v>
      </c>
      <c r="M19" s="306"/>
      <c r="N19" s="334">
        <f t="shared" si="3"/>
        <v>0.32185000000000002</v>
      </c>
      <c r="O19" s="141"/>
    </row>
    <row r="20" spans="2:16" x14ac:dyDescent="0.35">
      <c r="B20" s="67"/>
      <c r="C20" s="304"/>
      <c r="D20" s="305"/>
      <c r="E20" s="242"/>
      <c r="F20" s="309"/>
      <c r="L20" s="309"/>
      <c r="M20" s="309"/>
      <c r="N20" s="336"/>
      <c r="O20" s="141"/>
      <c r="P20" s="27">
        <v>7</v>
      </c>
    </row>
    <row r="21" spans="2:16" x14ac:dyDescent="0.35">
      <c r="B21" s="67"/>
      <c r="C21" s="310" t="s">
        <v>165</v>
      </c>
      <c r="E21" s="242"/>
      <c r="F21" s="27"/>
      <c r="N21" s="335"/>
      <c r="O21" s="141"/>
    </row>
    <row r="22" spans="2:16" x14ac:dyDescent="0.35">
      <c r="B22" s="67"/>
      <c r="C22" s="304" t="s">
        <v>51</v>
      </c>
      <c r="D22" s="305">
        <v>15000</v>
      </c>
      <c r="E22" s="242" t="s">
        <v>145</v>
      </c>
      <c r="F22" s="306">
        <f>'Rates Comp'!F25</f>
        <v>171.93</v>
      </c>
      <c r="G22" s="27" t="s">
        <v>173</v>
      </c>
      <c r="I22" s="306">
        <f>'Rates Comp'!L25</f>
        <v>228.28</v>
      </c>
      <c r="J22" s="27" t="s">
        <v>173</v>
      </c>
      <c r="L22" s="306">
        <f>I22-F22</f>
        <v>56.349999999999994</v>
      </c>
      <c r="M22" s="306"/>
      <c r="N22" s="334">
        <f>ROUND(L22/F22,5)</f>
        <v>0.32774999999999999</v>
      </c>
      <c r="O22" s="141"/>
    </row>
    <row r="23" spans="2:16" x14ac:dyDescent="0.35">
      <c r="B23" s="67"/>
      <c r="C23" s="304" t="s">
        <v>96</v>
      </c>
      <c r="D23" s="305">
        <v>15000</v>
      </c>
      <c r="E23" s="242" t="s">
        <v>145</v>
      </c>
      <c r="F23" s="307">
        <f>'Rates Comp'!F26</f>
        <v>9.2899999999999996E-3</v>
      </c>
      <c r="G23" s="27" t="s">
        <v>174</v>
      </c>
      <c r="I23" s="307">
        <f>'Rates Comp'!L26</f>
        <v>1.2280000000000001E-2</v>
      </c>
      <c r="J23" s="27" t="s">
        <v>174</v>
      </c>
      <c r="L23" s="307">
        <f t="shared" ref="L23" si="4">I23-F23</f>
        <v>2.9900000000000013E-3</v>
      </c>
      <c r="M23" s="306"/>
      <c r="N23" s="334">
        <f t="shared" ref="N23" si="5">ROUND(L23/F23,5)</f>
        <v>0.32185000000000002</v>
      </c>
      <c r="O23" s="141"/>
    </row>
    <row r="24" spans="2:16" x14ac:dyDescent="0.35">
      <c r="B24" s="67"/>
      <c r="E24" s="242"/>
      <c r="F24" s="307"/>
      <c r="L24" s="307"/>
      <c r="M24" s="307"/>
      <c r="N24" s="336"/>
      <c r="O24" s="141"/>
    </row>
    <row r="25" spans="2:16" x14ac:dyDescent="0.35">
      <c r="B25" s="67"/>
      <c r="C25" s="310" t="s">
        <v>166</v>
      </c>
      <c r="E25" s="242"/>
      <c r="F25" s="307"/>
      <c r="L25" s="307"/>
      <c r="M25" s="307"/>
      <c r="N25" s="336"/>
      <c r="O25" s="141"/>
    </row>
    <row r="26" spans="2:16" x14ac:dyDescent="0.35">
      <c r="B26" s="67"/>
      <c r="C26" s="304" t="s">
        <v>51</v>
      </c>
      <c r="D26" s="305">
        <v>100000</v>
      </c>
      <c r="E26" s="242" t="s">
        <v>145</v>
      </c>
      <c r="F26" s="306">
        <f>'Rates Comp'!F29</f>
        <v>963.03</v>
      </c>
      <c r="G26" s="27" t="s">
        <v>173</v>
      </c>
      <c r="I26" s="306">
        <f>'Rates Comp'!L29</f>
        <v>1278.46</v>
      </c>
      <c r="J26" s="27" t="s">
        <v>173</v>
      </c>
      <c r="L26" s="306">
        <f>I26-F26</f>
        <v>315.43000000000006</v>
      </c>
      <c r="M26" s="306"/>
      <c r="N26" s="334">
        <f>ROUND(L26/F26,5)</f>
        <v>0.32754</v>
      </c>
      <c r="O26" s="141"/>
    </row>
    <row r="27" spans="2:16" x14ac:dyDescent="0.35">
      <c r="B27" s="67"/>
      <c r="C27" s="304" t="s">
        <v>96</v>
      </c>
      <c r="D27" s="305">
        <v>100000</v>
      </c>
      <c r="E27" s="242" t="s">
        <v>145</v>
      </c>
      <c r="F27" s="307">
        <f>'Rates Comp'!F30</f>
        <v>9.2899999999999996E-3</v>
      </c>
      <c r="G27" s="27" t="s">
        <v>174</v>
      </c>
      <c r="I27" s="307">
        <f>'Rates Comp'!L30</f>
        <v>1.2280000000000001E-2</v>
      </c>
      <c r="J27" s="27" t="s">
        <v>174</v>
      </c>
      <c r="L27" s="307">
        <f t="shared" ref="L27" si="6">I27-F27</f>
        <v>2.9900000000000013E-3</v>
      </c>
      <c r="M27" s="306"/>
      <c r="N27" s="334">
        <f t="shared" ref="N27" si="7">ROUND(L27/F27,5)</f>
        <v>0.32185000000000002</v>
      </c>
      <c r="O27" s="141"/>
    </row>
    <row r="28" spans="2:16" x14ac:dyDescent="0.35">
      <c r="B28" s="67"/>
      <c r="F28" s="307"/>
      <c r="L28" s="307"/>
      <c r="M28" s="307"/>
      <c r="N28" s="336"/>
      <c r="O28" s="141"/>
    </row>
    <row r="29" spans="2:16" x14ac:dyDescent="0.35">
      <c r="B29" s="67"/>
      <c r="C29" s="310" t="s">
        <v>175</v>
      </c>
      <c r="F29" s="307"/>
      <c r="L29" s="307"/>
      <c r="M29" s="307"/>
      <c r="N29" s="336"/>
      <c r="O29" s="141"/>
    </row>
    <row r="30" spans="2:16" x14ac:dyDescent="0.35">
      <c r="B30" s="67"/>
      <c r="C30" s="304"/>
      <c r="D30" s="305"/>
      <c r="E30" s="305"/>
      <c r="F30" s="307">
        <f>'Rates Comp'!F33</f>
        <v>4.5199999999999997E-3</v>
      </c>
      <c r="G30" s="27" t="s">
        <v>174</v>
      </c>
      <c r="I30" s="307">
        <f>'Rates Comp'!L33</f>
        <v>6.0000000000000001E-3</v>
      </c>
      <c r="J30" s="27" t="s">
        <v>174</v>
      </c>
      <c r="L30" s="307">
        <f t="shared" ref="L30" si="8">I30-F30</f>
        <v>1.4800000000000004E-3</v>
      </c>
      <c r="M30" s="306"/>
      <c r="N30" s="334">
        <f t="shared" ref="N30" si="9">ROUND(L30/F30,5)</f>
        <v>0.32743</v>
      </c>
      <c r="O30" s="141"/>
    </row>
    <row r="31" spans="2:16" x14ac:dyDescent="0.35">
      <c r="B31" s="68"/>
      <c r="C31" s="313"/>
      <c r="D31" s="313"/>
      <c r="E31" s="313"/>
      <c r="F31" s="314"/>
      <c r="G31" s="313"/>
      <c r="H31" s="313"/>
      <c r="I31" s="314"/>
      <c r="J31" s="313"/>
      <c r="K31" s="313"/>
      <c r="L31" s="313"/>
      <c r="M31" s="313"/>
      <c r="N31" s="63"/>
      <c r="O31" s="315"/>
    </row>
  </sheetData>
  <mergeCells count="6">
    <mergeCell ref="F8:G8"/>
    <mergeCell ref="I8:J8"/>
    <mergeCell ref="L7:N7"/>
    <mergeCell ref="C3:N3"/>
    <mergeCell ref="C4:N4"/>
    <mergeCell ref="C5:N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03642-0AA3-4A53-83A7-DF73C5A38A4B}">
  <dimension ref="B3:P31"/>
  <sheetViews>
    <sheetView topLeftCell="A4" workbookViewId="0">
      <selection activeCell="B3" sqref="B3:O31"/>
    </sheetView>
  </sheetViews>
  <sheetFormatPr defaultColWidth="8.84375" defaultRowHeight="15.5" x14ac:dyDescent="0.35"/>
  <cols>
    <col min="1" max="1" width="9.69140625" style="27" customWidth="1"/>
    <col min="2" max="2" width="1.07421875" style="27" customWidth="1"/>
    <col min="3" max="3" width="4.765625" style="27" customWidth="1"/>
    <col min="4" max="5" width="10.765625" style="27" customWidth="1"/>
    <col min="6" max="6" width="11.765625" style="302" customWidth="1"/>
    <col min="7" max="7" width="10.765625" style="27" customWidth="1"/>
    <col min="8" max="8" width="1.23046875" style="27" customWidth="1"/>
    <col min="9" max="9" width="10.765625" style="302" customWidth="1"/>
    <col min="10" max="10" width="10.765625" style="27" customWidth="1"/>
    <col min="11" max="11" width="1.765625" style="27" customWidth="1"/>
    <col min="12" max="12" width="12.765625" style="27" customWidth="1"/>
    <col min="13" max="13" width="1.765625" style="27" customWidth="1"/>
    <col min="14" max="14" width="12.765625" style="27" customWidth="1"/>
    <col min="15" max="15" width="1.765625" style="27" customWidth="1"/>
    <col min="16" max="201" width="9.69140625" style="27" customWidth="1"/>
    <col min="202" max="16384" width="8.84375" style="27"/>
  </cols>
  <sheetData>
    <row r="3" spans="2:15" x14ac:dyDescent="0.35">
      <c r="B3" s="66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311"/>
    </row>
    <row r="4" spans="2:15" x14ac:dyDescent="0.35">
      <c r="B4" s="67"/>
      <c r="C4" s="464" t="s">
        <v>393</v>
      </c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141"/>
    </row>
    <row r="5" spans="2:15" x14ac:dyDescent="0.35">
      <c r="B5" s="67"/>
      <c r="C5" s="465" t="str">
        <f>Adj!B1</f>
        <v>Morgan County Water District</v>
      </c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141"/>
    </row>
    <row r="6" spans="2:15" x14ac:dyDescent="0.35">
      <c r="B6" s="67"/>
      <c r="O6" s="141"/>
    </row>
    <row r="7" spans="2:15" x14ac:dyDescent="0.35">
      <c r="B7" s="67"/>
      <c r="C7" s="301"/>
      <c r="I7" s="303"/>
      <c r="L7" s="462" t="s">
        <v>343</v>
      </c>
      <c r="M7" s="462"/>
      <c r="N7" s="462"/>
      <c r="O7" s="141"/>
    </row>
    <row r="8" spans="2:15" x14ac:dyDescent="0.35">
      <c r="B8" s="67"/>
      <c r="C8" s="310" t="s">
        <v>295</v>
      </c>
      <c r="F8" s="462" t="s">
        <v>394</v>
      </c>
      <c r="G8" s="462"/>
      <c r="I8" s="462" t="s">
        <v>341</v>
      </c>
      <c r="J8" s="462"/>
      <c r="L8" s="276" t="s">
        <v>344</v>
      </c>
      <c r="N8" s="276" t="s">
        <v>345</v>
      </c>
      <c r="O8" s="312"/>
    </row>
    <row r="9" spans="2:15" x14ac:dyDescent="0.35">
      <c r="B9" s="67"/>
      <c r="C9" s="304" t="s">
        <v>51</v>
      </c>
      <c r="D9" s="305">
        <v>2000</v>
      </c>
      <c r="E9" s="242" t="s">
        <v>145</v>
      </c>
      <c r="F9" s="306">
        <f>'Rates Comp'!F12</f>
        <v>31.89</v>
      </c>
      <c r="G9" s="27" t="s">
        <v>173</v>
      </c>
      <c r="I9" s="306">
        <f>'Rates Comp'!L12</f>
        <v>42.37</v>
      </c>
      <c r="J9" s="27" t="s">
        <v>173</v>
      </c>
      <c r="L9" s="306">
        <f>I9-F9</f>
        <v>10.479999999999997</v>
      </c>
      <c r="M9" s="306"/>
      <c r="N9" s="334">
        <f>ROUND(L9/F9,5)</f>
        <v>0.32862999999999998</v>
      </c>
      <c r="O9" s="312"/>
    </row>
    <row r="10" spans="2:15" x14ac:dyDescent="0.35">
      <c r="B10" s="67"/>
      <c r="C10" s="304" t="s">
        <v>52</v>
      </c>
      <c r="D10" s="305">
        <v>3000</v>
      </c>
      <c r="E10" s="242" t="s">
        <v>145</v>
      </c>
      <c r="F10" s="307">
        <f>'Rates Comp'!F13</f>
        <v>1.1860000000000001E-2</v>
      </c>
      <c r="G10" s="27" t="s">
        <v>174</v>
      </c>
      <c r="I10" s="307">
        <f>'Rates Comp'!L13</f>
        <v>1.5689999999999999E-2</v>
      </c>
      <c r="J10" s="27" t="s">
        <v>174</v>
      </c>
      <c r="K10" s="308"/>
      <c r="L10" s="307">
        <f t="shared" ref="L10:L13" si="0">I10-F10</f>
        <v>3.8299999999999983E-3</v>
      </c>
      <c r="M10" s="306"/>
      <c r="N10" s="334">
        <f t="shared" ref="N10:N13" si="1">ROUND(L10/F10,5)</f>
        <v>0.32292999999999999</v>
      </c>
      <c r="O10" s="312"/>
    </row>
    <row r="11" spans="2:15" x14ac:dyDescent="0.35">
      <c r="B11" s="67"/>
      <c r="C11" s="304" t="s">
        <v>52</v>
      </c>
      <c r="D11" s="305">
        <v>5000</v>
      </c>
      <c r="E11" s="242" t="s">
        <v>145</v>
      </c>
      <c r="F11" s="307">
        <f>'Rates Comp'!F14</f>
        <v>1.0999999999999999E-2</v>
      </c>
      <c r="G11" s="27" t="s">
        <v>174</v>
      </c>
      <c r="I11" s="307">
        <f>'Rates Comp'!L14</f>
        <v>1.4549999999999999E-2</v>
      </c>
      <c r="J11" s="27" t="s">
        <v>174</v>
      </c>
      <c r="L11" s="307">
        <f t="shared" si="0"/>
        <v>3.5499999999999993E-3</v>
      </c>
      <c r="M11" s="306"/>
      <c r="N11" s="334">
        <f t="shared" si="1"/>
        <v>0.32273000000000002</v>
      </c>
      <c r="O11" s="141"/>
    </row>
    <row r="12" spans="2:15" x14ac:dyDescent="0.35">
      <c r="B12" s="67"/>
      <c r="C12" s="304" t="s">
        <v>52</v>
      </c>
      <c r="D12" s="305">
        <v>5000</v>
      </c>
      <c r="E12" s="242" t="s">
        <v>145</v>
      </c>
      <c r="F12" s="307">
        <f>'Rates Comp'!F15</f>
        <v>1.0149999999999999E-2</v>
      </c>
      <c r="G12" s="27" t="s">
        <v>174</v>
      </c>
      <c r="I12" s="307">
        <f>'Rates Comp'!L15</f>
        <v>1.342E-2</v>
      </c>
      <c r="J12" s="27" t="s">
        <v>174</v>
      </c>
      <c r="L12" s="307">
        <f t="shared" si="0"/>
        <v>3.2700000000000003E-3</v>
      </c>
      <c r="M12" s="306"/>
      <c r="N12" s="334">
        <f t="shared" si="1"/>
        <v>0.32217000000000001</v>
      </c>
      <c r="O12" s="141"/>
    </row>
    <row r="13" spans="2:15" x14ac:dyDescent="0.35">
      <c r="B13" s="67"/>
      <c r="C13" s="304" t="s">
        <v>96</v>
      </c>
      <c r="D13" s="305">
        <v>15000</v>
      </c>
      <c r="E13" s="242" t="s">
        <v>145</v>
      </c>
      <c r="F13" s="307">
        <f>'Rates Comp'!F16</f>
        <v>9.2899999999999996E-3</v>
      </c>
      <c r="G13" s="27" t="s">
        <v>174</v>
      </c>
      <c r="I13" s="307">
        <f>'Rates Comp'!L16</f>
        <v>1.2280000000000001E-2</v>
      </c>
      <c r="J13" s="27" t="s">
        <v>174</v>
      </c>
      <c r="L13" s="307">
        <f t="shared" si="0"/>
        <v>2.9900000000000013E-3</v>
      </c>
      <c r="M13" s="306"/>
      <c r="N13" s="334">
        <f t="shared" si="1"/>
        <v>0.32185000000000002</v>
      </c>
      <c r="O13" s="141"/>
    </row>
    <row r="14" spans="2:15" x14ac:dyDescent="0.35">
      <c r="B14" s="67"/>
      <c r="E14" s="242"/>
      <c r="F14" s="27"/>
      <c r="N14" s="335"/>
      <c r="O14" s="141"/>
    </row>
    <row r="15" spans="2:15" x14ac:dyDescent="0.35">
      <c r="B15" s="67"/>
      <c r="C15" s="310" t="s">
        <v>164</v>
      </c>
      <c r="E15" s="242"/>
      <c r="F15" s="27"/>
      <c r="N15" s="335"/>
      <c r="O15" s="141"/>
    </row>
    <row r="16" spans="2:15" x14ac:dyDescent="0.35">
      <c r="B16" s="67"/>
      <c r="C16" s="304" t="s">
        <v>51</v>
      </c>
      <c r="D16" s="305">
        <v>5000</v>
      </c>
      <c r="E16" s="242" t="s">
        <v>145</v>
      </c>
      <c r="F16" s="306">
        <f>'Rates Comp'!F19</f>
        <v>67.62</v>
      </c>
      <c r="G16" s="27" t="s">
        <v>173</v>
      </c>
      <c r="I16" s="306">
        <f>'Rates Comp'!L19</f>
        <v>89.810000000000016</v>
      </c>
      <c r="J16" s="27" t="s">
        <v>173</v>
      </c>
      <c r="L16" s="306">
        <f>I16-F16</f>
        <v>22.190000000000012</v>
      </c>
      <c r="M16" s="306"/>
      <c r="N16" s="334">
        <f>ROUND(L16/F16,5)</f>
        <v>0.32816000000000001</v>
      </c>
      <c r="O16" s="141"/>
    </row>
    <row r="17" spans="2:16" x14ac:dyDescent="0.35">
      <c r="B17" s="67"/>
      <c r="C17" s="304" t="s">
        <v>52</v>
      </c>
      <c r="D17" s="305">
        <v>5000</v>
      </c>
      <c r="E17" s="242" t="s">
        <v>145</v>
      </c>
      <c r="F17" s="307">
        <f>'Rates Comp'!F20</f>
        <v>1.0999999999999999E-2</v>
      </c>
      <c r="G17" s="27" t="s">
        <v>174</v>
      </c>
      <c r="I17" s="307">
        <f>'Rates Comp'!L20</f>
        <v>1.4549999999999999E-2</v>
      </c>
      <c r="J17" s="27" t="s">
        <v>174</v>
      </c>
      <c r="L17" s="307">
        <f t="shared" ref="L17:L19" si="2">I17-F17</f>
        <v>3.5499999999999993E-3</v>
      </c>
      <c r="M17" s="306"/>
      <c r="N17" s="334">
        <f t="shared" ref="N17:N19" si="3">ROUND(L17/F17,5)</f>
        <v>0.32273000000000002</v>
      </c>
      <c r="O17" s="141"/>
    </row>
    <row r="18" spans="2:16" x14ac:dyDescent="0.35">
      <c r="B18" s="67"/>
      <c r="C18" s="304" t="s">
        <v>52</v>
      </c>
      <c r="D18" s="305">
        <v>5000</v>
      </c>
      <c r="E18" s="242" t="s">
        <v>145</v>
      </c>
      <c r="F18" s="307">
        <f>'Rates Comp'!F21</f>
        <v>1.0149999999999999E-2</v>
      </c>
      <c r="G18" s="27" t="s">
        <v>174</v>
      </c>
      <c r="I18" s="307">
        <f>'Rates Comp'!L21</f>
        <v>1.342E-2</v>
      </c>
      <c r="J18" s="27" t="s">
        <v>174</v>
      </c>
      <c r="L18" s="307">
        <f t="shared" si="2"/>
        <v>3.2700000000000003E-3</v>
      </c>
      <c r="M18" s="306"/>
      <c r="N18" s="334">
        <f t="shared" si="3"/>
        <v>0.32217000000000001</v>
      </c>
      <c r="O18" s="141"/>
    </row>
    <row r="19" spans="2:16" x14ac:dyDescent="0.35">
      <c r="B19" s="67"/>
      <c r="C19" s="304" t="s">
        <v>96</v>
      </c>
      <c r="D19" s="305">
        <v>15000</v>
      </c>
      <c r="E19" s="242" t="s">
        <v>145</v>
      </c>
      <c r="F19" s="307">
        <f>'Rates Comp'!F22</f>
        <v>9.2899999999999996E-3</v>
      </c>
      <c r="G19" s="27" t="s">
        <v>174</v>
      </c>
      <c r="I19" s="307">
        <f>'Rates Comp'!L22</f>
        <v>1.2280000000000001E-2</v>
      </c>
      <c r="J19" s="27" t="s">
        <v>174</v>
      </c>
      <c r="L19" s="307">
        <f t="shared" si="2"/>
        <v>2.9900000000000013E-3</v>
      </c>
      <c r="M19" s="306"/>
      <c r="N19" s="334">
        <f t="shared" si="3"/>
        <v>0.32185000000000002</v>
      </c>
      <c r="O19" s="141"/>
    </row>
    <row r="20" spans="2:16" x14ac:dyDescent="0.35">
      <c r="B20" s="67"/>
      <c r="C20" s="304"/>
      <c r="D20" s="305"/>
      <c r="E20" s="242"/>
      <c r="F20" s="309"/>
      <c r="L20" s="309"/>
      <c r="M20" s="309"/>
      <c r="N20" s="336"/>
      <c r="O20" s="141"/>
      <c r="P20" s="27">
        <v>7</v>
      </c>
    </row>
    <row r="21" spans="2:16" x14ac:dyDescent="0.35">
      <c r="B21" s="67"/>
      <c r="C21" s="310" t="s">
        <v>165</v>
      </c>
      <c r="E21" s="242"/>
      <c r="F21" s="27"/>
      <c r="N21" s="335"/>
      <c r="O21" s="141"/>
    </row>
    <row r="22" spans="2:16" x14ac:dyDescent="0.35">
      <c r="B22" s="67"/>
      <c r="C22" s="304" t="s">
        <v>51</v>
      </c>
      <c r="D22" s="305">
        <v>15000</v>
      </c>
      <c r="E22" s="242" t="s">
        <v>145</v>
      </c>
      <c r="F22" s="306">
        <f>'Rates Comp'!F25</f>
        <v>171.93</v>
      </c>
      <c r="G22" s="27" t="s">
        <v>173</v>
      </c>
      <c r="I22" s="306">
        <f>'Rates Comp'!L25</f>
        <v>228.28</v>
      </c>
      <c r="J22" s="27" t="s">
        <v>173</v>
      </c>
      <c r="L22" s="306">
        <f>I22-F22</f>
        <v>56.349999999999994</v>
      </c>
      <c r="M22" s="306"/>
      <c r="N22" s="334">
        <f>ROUND(L22/F22,5)</f>
        <v>0.32774999999999999</v>
      </c>
      <c r="O22" s="141"/>
    </row>
    <row r="23" spans="2:16" x14ac:dyDescent="0.35">
      <c r="B23" s="67"/>
      <c r="C23" s="304" t="s">
        <v>96</v>
      </c>
      <c r="D23" s="305">
        <v>15000</v>
      </c>
      <c r="E23" s="242" t="s">
        <v>145</v>
      </c>
      <c r="F23" s="307">
        <f>'Rates Comp'!F26</f>
        <v>9.2899999999999996E-3</v>
      </c>
      <c r="G23" s="27" t="s">
        <v>174</v>
      </c>
      <c r="I23" s="307">
        <f>'Rates Comp'!L26</f>
        <v>1.2280000000000001E-2</v>
      </c>
      <c r="J23" s="27" t="s">
        <v>174</v>
      </c>
      <c r="L23" s="307">
        <f t="shared" ref="L23" si="4">I23-F23</f>
        <v>2.9900000000000013E-3</v>
      </c>
      <c r="M23" s="306"/>
      <c r="N23" s="334">
        <f t="shared" ref="N23" si="5">ROUND(L23/F23,5)</f>
        <v>0.32185000000000002</v>
      </c>
      <c r="O23" s="141"/>
    </row>
    <row r="24" spans="2:16" x14ac:dyDescent="0.35">
      <c r="B24" s="67"/>
      <c r="E24" s="242"/>
      <c r="F24" s="307"/>
      <c r="L24" s="307"/>
      <c r="M24" s="307"/>
      <c r="N24" s="336"/>
      <c r="O24" s="141"/>
    </row>
    <row r="25" spans="2:16" x14ac:dyDescent="0.35">
      <c r="B25" s="67"/>
      <c r="C25" s="310" t="s">
        <v>166</v>
      </c>
      <c r="E25" s="242"/>
      <c r="F25" s="307"/>
      <c r="L25" s="307"/>
      <c r="M25" s="307"/>
      <c r="N25" s="336"/>
      <c r="O25" s="141"/>
    </row>
    <row r="26" spans="2:16" x14ac:dyDescent="0.35">
      <c r="B26" s="67"/>
      <c r="C26" s="304" t="s">
        <v>51</v>
      </c>
      <c r="D26" s="305">
        <v>100000</v>
      </c>
      <c r="E26" s="242" t="s">
        <v>145</v>
      </c>
      <c r="F26" s="306">
        <f>'Rates Comp'!F29</f>
        <v>963.03</v>
      </c>
      <c r="G26" s="27" t="s">
        <v>173</v>
      </c>
      <c r="I26" s="306">
        <f>'Rates Comp'!L29</f>
        <v>1278.46</v>
      </c>
      <c r="J26" s="27" t="s">
        <v>173</v>
      </c>
      <c r="L26" s="306">
        <f>I26-F26</f>
        <v>315.43000000000006</v>
      </c>
      <c r="M26" s="306"/>
      <c r="N26" s="334">
        <f>ROUND(L26/F26,5)</f>
        <v>0.32754</v>
      </c>
      <c r="O26" s="141"/>
    </row>
    <row r="27" spans="2:16" x14ac:dyDescent="0.35">
      <c r="B27" s="67"/>
      <c r="C27" s="304" t="s">
        <v>96</v>
      </c>
      <c r="D27" s="305">
        <v>100000</v>
      </c>
      <c r="E27" s="242" t="s">
        <v>145</v>
      </c>
      <c r="F27" s="307">
        <f>'Rates Comp'!F30</f>
        <v>9.2899999999999996E-3</v>
      </c>
      <c r="G27" s="27" t="s">
        <v>174</v>
      </c>
      <c r="I27" s="307">
        <f>'Rates Comp'!L30</f>
        <v>1.2280000000000001E-2</v>
      </c>
      <c r="J27" s="27" t="s">
        <v>174</v>
      </c>
      <c r="L27" s="307">
        <f t="shared" ref="L27" si="6">I27-F27</f>
        <v>2.9900000000000013E-3</v>
      </c>
      <c r="M27" s="306"/>
      <c r="N27" s="334">
        <f t="shared" ref="N27" si="7">ROUND(L27/F27,5)</f>
        <v>0.32185000000000002</v>
      </c>
      <c r="O27" s="141"/>
    </row>
    <row r="28" spans="2:16" x14ac:dyDescent="0.35">
      <c r="B28" s="67"/>
      <c r="F28" s="307"/>
      <c r="L28" s="307"/>
      <c r="M28" s="307"/>
      <c r="N28" s="336"/>
      <c r="O28" s="141"/>
    </row>
    <row r="29" spans="2:16" x14ac:dyDescent="0.35">
      <c r="B29" s="67"/>
      <c r="C29" s="310" t="s">
        <v>175</v>
      </c>
      <c r="F29" s="307"/>
      <c r="L29" s="307"/>
      <c r="M29" s="307"/>
      <c r="N29" s="336"/>
      <c r="O29" s="141"/>
    </row>
    <row r="30" spans="2:16" x14ac:dyDescent="0.35">
      <c r="B30" s="67"/>
      <c r="C30" s="304"/>
      <c r="D30" s="305"/>
      <c r="E30" s="305"/>
      <c r="F30" s="307">
        <f>'Rates Comp'!F33</f>
        <v>4.5199999999999997E-3</v>
      </c>
      <c r="G30" s="27" t="s">
        <v>174</v>
      </c>
      <c r="I30" s="307">
        <f>'Rates Comp'!L33</f>
        <v>6.0000000000000001E-3</v>
      </c>
      <c r="J30" s="27" t="s">
        <v>174</v>
      </c>
      <c r="L30" s="307">
        <f t="shared" ref="L30" si="8">I30-F30</f>
        <v>1.4800000000000004E-3</v>
      </c>
      <c r="M30" s="306"/>
      <c r="N30" s="334">
        <f t="shared" ref="N30" si="9">ROUND(L30/F30,5)</f>
        <v>0.32743</v>
      </c>
      <c r="O30" s="141"/>
    </row>
    <row r="31" spans="2:16" x14ac:dyDescent="0.35">
      <c r="B31" s="68"/>
      <c r="C31" s="313"/>
      <c r="D31" s="313"/>
      <c r="E31" s="313"/>
      <c r="F31" s="314"/>
      <c r="G31" s="313"/>
      <c r="H31" s="313"/>
      <c r="I31" s="314"/>
      <c r="J31" s="313"/>
      <c r="K31" s="313"/>
      <c r="L31" s="313"/>
      <c r="M31" s="313"/>
      <c r="N31" s="63"/>
      <c r="O31" s="315"/>
    </row>
  </sheetData>
  <mergeCells count="6">
    <mergeCell ref="C3:N3"/>
    <mergeCell ref="C4:N4"/>
    <mergeCell ref="C5:N5"/>
    <mergeCell ref="L7:N7"/>
    <mergeCell ref="F8:G8"/>
    <mergeCell ref="I8:J8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0E31F-DD35-4475-8E5A-FA6614A4453A}">
  <dimension ref="B3:X44"/>
  <sheetViews>
    <sheetView showGridLines="0" topLeftCell="A10" workbookViewId="0">
      <selection activeCell="B3" sqref="B3:Q28"/>
    </sheetView>
  </sheetViews>
  <sheetFormatPr defaultColWidth="8.84375" defaultRowHeight="15.5" x14ac:dyDescent="0.35"/>
  <cols>
    <col min="1" max="1" width="9.69140625" style="27" customWidth="1"/>
    <col min="2" max="2" width="1.07421875" style="27" customWidth="1"/>
    <col min="3" max="3" width="4.765625" style="27" customWidth="1"/>
    <col min="4" max="5" width="10.765625" style="27" customWidth="1"/>
    <col min="6" max="6" width="11.765625" style="27" customWidth="1"/>
    <col min="7" max="7" width="1.765625" style="27" customWidth="1"/>
    <col min="8" max="8" width="10.765625" style="27" customWidth="1"/>
    <col min="9" max="9" width="1.23046875" style="27" customWidth="1"/>
    <col min="10" max="10" width="10.765625" style="27" customWidth="1"/>
    <col min="11" max="11" width="1.765625" style="27" customWidth="1"/>
    <col min="12" max="12" width="10.765625" style="27" customWidth="1"/>
    <col min="13" max="13" width="1.765625" style="27" customWidth="1"/>
    <col min="14" max="14" width="12.765625" style="27" customWidth="1"/>
    <col min="15" max="15" width="1.765625" style="27" customWidth="1"/>
    <col min="16" max="16" width="12.765625" style="27" customWidth="1"/>
    <col min="17" max="17" width="1.765625" style="27" customWidth="1"/>
    <col min="18" max="20" width="9.69140625" style="27" customWidth="1"/>
    <col min="21" max="24" width="12.765625" style="27" customWidth="1"/>
    <col min="25" max="203" width="9.69140625" style="27" customWidth="1"/>
    <col min="204" max="16384" width="8.84375" style="27"/>
  </cols>
  <sheetData>
    <row r="3" spans="2:24" x14ac:dyDescent="0.35">
      <c r="B3" s="66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311"/>
    </row>
    <row r="4" spans="2:24" x14ac:dyDescent="0.35">
      <c r="B4" s="67"/>
      <c r="C4" s="301"/>
      <c r="J4" s="337"/>
      <c r="K4" s="337"/>
      <c r="N4" s="462" t="s">
        <v>343</v>
      </c>
      <c r="O4" s="462"/>
      <c r="P4" s="462"/>
      <c r="Q4" s="141"/>
    </row>
    <row r="5" spans="2:24" x14ac:dyDescent="0.35">
      <c r="B5" s="67"/>
      <c r="C5" s="310" t="s">
        <v>295</v>
      </c>
      <c r="F5" s="462" t="s">
        <v>342</v>
      </c>
      <c r="G5" s="462"/>
      <c r="H5" s="462"/>
      <c r="J5" s="462" t="s">
        <v>341</v>
      </c>
      <c r="K5" s="462"/>
      <c r="L5" s="462"/>
      <c r="N5" s="276" t="s">
        <v>344</v>
      </c>
      <c r="P5" s="276" t="s">
        <v>345</v>
      </c>
      <c r="Q5" s="312"/>
    </row>
    <row r="6" spans="2:24" x14ac:dyDescent="0.35">
      <c r="B6" s="67"/>
      <c r="C6" s="304" t="s">
        <v>51</v>
      </c>
      <c r="D6" s="305">
        <v>2000</v>
      </c>
      <c r="E6" s="242" t="s">
        <v>145</v>
      </c>
      <c r="F6" s="338">
        <f>'Table C'!F9</f>
        <v>31.89</v>
      </c>
      <c r="G6" s="338"/>
      <c r="H6" s="27" t="s">
        <v>173</v>
      </c>
      <c r="J6" s="338">
        <f>'Table C'!I9</f>
        <v>42.37</v>
      </c>
      <c r="K6" s="338"/>
      <c r="L6" s="27" t="s">
        <v>173</v>
      </c>
      <c r="N6" s="338">
        <f>J6-F6</f>
        <v>10.479999999999997</v>
      </c>
      <c r="O6" s="338"/>
      <c r="P6" s="339">
        <f>ROUND(N6/F6,2)</f>
        <v>0.33</v>
      </c>
      <c r="Q6" s="312"/>
      <c r="S6" s="62">
        <f>F37</f>
        <v>3020</v>
      </c>
      <c r="U6" s="340">
        <f>F6</f>
        <v>31.89</v>
      </c>
      <c r="V6" s="340">
        <f>J6</f>
        <v>42.37</v>
      </c>
    </row>
    <row r="7" spans="2:24" x14ac:dyDescent="0.35">
      <c r="B7" s="67"/>
      <c r="C7" s="304" t="s">
        <v>52</v>
      </c>
      <c r="D7" s="305">
        <v>3000</v>
      </c>
      <c r="E7" s="242" t="s">
        <v>145</v>
      </c>
      <c r="F7" s="341">
        <f>'Table C'!F10</f>
        <v>1.1860000000000001E-2</v>
      </c>
      <c r="G7" s="341"/>
      <c r="H7" s="27" t="s">
        <v>174</v>
      </c>
      <c r="J7" s="341">
        <f>'Table C'!I10</f>
        <v>1.5689999999999999E-2</v>
      </c>
      <c r="K7" s="341"/>
      <c r="L7" s="27" t="s">
        <v>174</v>
      </c>
      <c r="M7" s="308"/>
      <c r="N7" s="341">
        <f>J7-F7</f>
        <v>3.8299999999999983E-3</v>
      </c>
      <c r="O7" s="338"/>
      <c r="P7" s="339">
        <f t="shared" ref="P7:P10" si="0">ROUND(N7/F7,2)</f>
        <v>0.32</v>
      </c>
      <c r="Q7" s="312"/>
      <c r="S7" s="342">
        <f>S6-D6</f>
        <v>1020</v>
      </c>
      <c r="U7" s="27">
        <f>ROUND(S7*F7,2)</f>
        <v>12.1</v>
      </c>
      <c r="V7" s="27">
        <f>ROUND(S7*J7,2)</f>
        <v>16</v>
      </c>
    </row>
    <row r="8" spans="2:24" x14ac:dyDescent="0.35">
      <c r="B8" s="67"/>
      <c r="C8" s="304" t="s">
        <v>52</v>
      </c>
      <c r="D8" s="305">
        <v>5000</v>
      </c>
      <c r="E8" s="242" t="s">
        <v>145</v>
      </c>
      <c r="F8" s="341">
        <f>'Table C'!F11</f>
        <v>1.0999999999999999E-2</v>
      </c>
      <c r="G8" s="341"/>
      <c r="H8" s="27" t="s">
        <v>174</v>
      </c>
      <c r="J8" s="341">
        <f>'Table C'!I11</f>
        <v>1.4549999999999999E-2</v>
      </c>
      <c r="K8" s="341"/>
      <c r="L8" s="27" t="s">
        <v>174</v>
      </c>
      <c r="N8" s="341">
        <f>J8-F8</f>
        <v>3.5499999999999993E-3</v>
      </c>
      <c r="O8" s="338"/>
      <c r="P8" s="339">
        <f t="shared" si="0"/>
        <v>0.32</v>
      </c>
      <c r="Q8" s="141"/>
      <c r="U8" s="340">
        <f>SUM(U6:U7)</f>
        <v>43.99</v>
      </c>
      <c r="V8" s="340">
        <f>SUM(V6:V7)</f>
        <v>58.37</v>
      </c>
      <c r="W8" s="340">
        <f>V8-U8</f>
        <v>14.379999999999995</v>
      </c>
      <c r="X8" s="343">
        <f>ROUND(W8/U8,2)</f>
        <v>0.33</v>
      </c>
    </row>
    <row r="9" spans="2:24" x14ac:dyDescent="0.35">
      <c r="B9" s="67"/>
      <c r="C9" s="304" t="s">
        <v>52</v>
      </c>
      <c r="D9" s="305">
        <v>5000</v>
      </c>
      <c r="E9" s="242" t="s">
        <v>145</v>
      </c>
      <c r="F9" s="341">
        <f>'Table C'!F12</f>
        <v>1.0149999999999999E-2</v>
      </c>
      <c r="G9" s="341"/>
      <c r="H9" s="27" t="s">
        <v>174</v>
      </c>
      <c r="J9" s="341">
        <f>'Table C'!I12</f>
        <v>1.342E-2</v>
      </c>
      <c r="K9" s="341"/>
      <c r="L9" s="27" t="s">
        <v>174</v>
      </c>
      <c r="N9" s="341">
        <f>J9-F9</f>
        <v>3.2700000000000003E-3</v>
      </c>
      <c r="O9" s="338"/>
      <c r="P9" s="339">
        <f t="shared" si="0"/>
        <v>0.32</v>
      </c>
      <c r="Q9" s="141"/>
      <c r="X9" s="335"/>
    </row>
    <row r="10" spans="2:24" x14ac:dyDescent="0.35">
      <c r="B10" s="67"/>
      <c r="C10" s="304" t="s">
        <v>96</v>
      </c>
      <c r="D10" s="305">
        <v>15000</v>
      </c>
      <c r="E10" s="242" t="s">
        <v>145</v>
      </c>
      <c r="F10" s="341">
        <f>'Table C'!F13</f>
        <v>9.2899999999999996E-3</v>
      </c>
      <c r="G10" s="341"/>
      <c r="H10" s="27" t="s">
        <v>174</v>
      </c>
      <c r="J10" s="341">
        <f>'Table C'!I13</f>
        <v>1.2280000000000001E-2</v>
      </c>
      <c r="K10" s="341"/>
      <c r="L10" s="27" t="s">
        <v>174</v>
      </c>
      <c r="N10" s="341">
        <f>J10-F10</f>
        <v>2.9900000000000013E-3</v>
      </c>
      <c r="O10" s="338"/>
      <c r="P10" s="339">
        <f t="shared" si="0"/>
        <v>0.32</v>
      </c>
      <c r="Q10" s="141"/>
      <c r="X10" s="335"/>
    </row>
    <row r="11" spans="2:24" x14ac:dyDescent="0.35">
      <c r="B11" s="67"/>
      <c r="E11" s="242"/>
      <c r="Q11" s="141"/>
      <c r="X11" s="335"/>
    </row>
    <row r="12" spans="2:24" x14ac:dyDescent="0.35">
      <c r="B12" s="67"/>
      <c r="C12" s="310" t="s">
        <v>164</v>
      </c>
      <c r="E12" s="242"/>
      <c r="Q12" s="141"/>
      <c r="X12" s="335"/>
    </row>
    <row r="13" spans="2:24" x14ac:dyDescent="0.35">
      <c r="B13" s="67"/>
      <c r="C13" s="304" t="s">
        <v>51</v>
      </c>
      <c r="D13" s="305">
        <v>5000</v>
      </c>
      <c r="E13" s="242" t="s">
        <v>145</v>
      </c>
      <c r="F13" s="338">
        <f>'Table C'!F16</f>
        <v>67.62</v>
      </c>
      <c r="G13" s="338"/>
      <c r="H13" s="27" t="s">
        <v>173</v>
      </c>
      <c r="J13" s="338">
        <f>'Table C'!I16</f>
        <v>89.810000000000016</v>
      </c>
      <c r="K13" s="338"/>
      <c r="L13" s="27" t="s">
        <v>173</v>
      </c>
      <c r="N13" s="338">
        <f>J13-F13</f>
        <v>22.190000000000012</v>
      </c>
      <c r="O13" s="338"/>
      <c r="P13" s="339">
        <f t="shared" ref="P13:P16" si="1">ROUND(N13/F13,2)</f>
        <v>0.33</v>
      </c>
      <c r="Q13" s="141"/>
      <c r="S13" s="62">
        <f>F38</f>
        <v>5381</v>
      </c>
      <c r="U13" s="340">
        <f>F13</f>
        <v>67.62</v>
      </c>
      <c r="V13" s="340">
        <f>J13</f>
        <v>89.810000000000016</v>
      </c>
      <c r="X13" s="335"/>
    </row>
    <row r="14" spans="2:24" x14ac:dyDescent="0.35">
      <c r="B14" s="67"/>
      <c r="C14" s="304" t="s">
        <v>52</v>
      </c>
      <c r="D14" s="305">
        <v>5000</v>
      </c>
      <c r="E14" s="242" t="s">
        <v>145</v>
      </c>
      <c r="F14" s="341">
        <f>'Table C'!F17</f>
        <v>1.0999999999999999E-2</v>
      </c>
      <c r="G14" s="341"/>
      <c r="H14" s="27" t="s">
        <v>174</v>
      </c>
      <c r="J14" s="341">
        <f>'Table C'!I17</f>
        <v>1.4549999999999999E-2</v>
      </c>
      <c r="K14" s="341"/>
      <c r="L14" s="27" t="s">
        <v>174</v>
      </c>
      <c r="N14" s="341">
        <f>J14-F14</f>
        <v>3.5499999999999993E-3</v>
      </c>
      <c r="O14" s="338"/>
      <c r="P14" s="339">
        <f t="shared" si="1"/>
        <v>0.32</v>
      </c>
      <c r="Q14" s="141"/>
      <c r="S14" s="342">
        <f>S13-D13</f>
        <v>381</v>
      </c>
      <c r="U14" s="27">
        <f>ROUND(S14*F14,2)</f>
        <v>4.1900000000000004</v>
      </c>
      <c r="V14" s="27">
        <f>ROUND(S14*J14,2)</f>
        <v>5.54</v>
      </c>
      <c r="X14" s="335"/>
    </row>
    <row r="15" spans="2:24" x14ac:dyDescent="0.35">
      <c r="B15" s="67"/>
      <c r="C15" s="304" t="s">
        <v>52</v>
      </c>
      <c r="D15" s="305">
        <v>5000</v>
      </c>
      <c r="E15" s="242" t="s">
        <v>145</v>
      </c>
      <c r="F15" s="341">
        <f>'Table C'!F18</f>
        <v>1.0149999999999999E-2</v>
      </c>
      <c r="G15" s="341"/>
      <c r="H15" s="27" t="s">
        <v>174</v>
      </c>
      <c r="J15" s="341">
        <f>'Table C'!I18</f>
        <v>1.342E-2</v>
      </c>
      <c r="K15" s="341"/>
      <c r="L15" s="27" t="s">
        <v>174</v>
      </c>
      <c r="N15" s="341">
        <f>J15-F15</f>
        <v>3.2700000000000003E-3</v>
      </c>
      <c r="O15" s="338"/>
      <c r="P15" s="339">
        <f t="shared" si="1"/>
        <v>0.32</v>
      </c>
      <c r="Q15" s="141"/>
      <c r="U15" s="340">
        <f>SUM(U13:U14)</f>
        <v>71.81</v>
      </c>
      <c r="V15" s="340">
        <f>SUM(V13:V14)</f>
        <v>95.350000000000023</v>
      </c>
      <c r="W15" s="340">
        <f>V15-U15</f>
        <v>23.54000000000002</v>
      </c>
      <c r="X15" s="343">
        <f>ROUND(W15/U15,2)</f>
        <v>0.33</v>
      </c>
    </row>
    <row r="16" spans="2:24" x14ac:dyDescent="0.35">
      <c r="B16" s="67"/>
      <c r="C16" s="304" t="s">
        <v>96</v>
      </c>
      <c r="D16" s="305">
        <v>15000</v>
      </c>
      <c r="E16" s="242" t="s">
        <v>145</v>
      </c>
      <c r="F16" s="341">
        <f>'Table C'!F19</f>
        <v>9.2899999999999996E-3</v>
      </c>
      <c r="G16" s="341"/>
      <c r="H16" s="27" t="s">
        <v>174</v>
      </c>
      <c r="J16" s="341">
        <f>'Table C'!I19</f>
        <v>1.2280000000000001E-2</v>
      </c>
      <c r="K16" s="341"/>
      <c r="L16" s="27" t="s">
        <v>174</v>
      </c>
      <c r="N16" s="341">
        <f>J16-F16</f>
        <v>2.9900000000000013E-3</v>
      </c>
      <c r="O16" s="338"/>
      <c r="P16" s="339">
        <f t="shared" si="1"/>
        <v>0.32</v>
      </c>
      <c r="Q16" s="141"/>
      <c r="X16" s="335"/>
    </row>
    <row r="17" spans="2:24" x14ac:dyDescent="0.35">
      <c r="B17" s="67"/>
      <c r="C17" s="304"/>
      <c r="D17" s="305"/>
      <c r="E17" s="242"/>
      <c r="F17" s="344"/>
      <c r="G17" s="344"/>
      <c r="N17" s="344"/>
      <c r="O17" s="344"/>
      <c r="P17" s="344"/>
      <c r="Q17" s="141"/>
      <c r="X17" s="335"/>
    </row>
    <row r="18" spans="2:24" x14ac:dyDescent="0.35">
      <c r="B18" s="67"/>
      <c r="C18" s="310" t="s">
        <v>165</v>
      </c>
      <c r="E18" s="242"/>
      <c r="Q18" s="141"/>
      <c r="X18" s="335"/>
    </row>
    <row r="19" spans="2:24" x14ac:dyDescent="0.35">
      <c r="B19" s="67"/>
      <c r="C19" s="304" t="s">
        <v>51</v>
      </c>
      <c r="D19" s="305">
        <v>15000</v>
      </c>
      <c r="E19" s="242" t="s">
        <v>145</v>
      </c>
      <c r="F19" s="338">
        <f>'Table C'!F22</f>
        <v>171.93</v>
      </c>
      <c r="G19" s="338"/>
      <c r="H19" s="27" t="s">
        <v>173</v>
      </c>
      <c r="J19" s="338">
        <f>'Table C'!I22</f>
        <v>228.28</v>
      </c>
      <c r="K19" s="338"/>
      <c r="L19" s="27" t="s">
        <v>173</v>
      </c>
      <c r="N19" s="338">
        <f>J19-F19</f>
        <v>56.349999999999994</v>
      </c>
      <c r="O19" s="338"/>
      <c r="P19" s="339">
        <f t="shared" ref="P19:P20" si="2">ROUND(N19/F19,2)</f>
        <v>0.33</v>
      </c>
      <c r="Q19" s="141"/>
      <c r="S19" s="62">
        <f>F39</f>
        <v>132045</v>
      </c>
      <c r="U19" s="340">
        <f>F19</f>
        <v>171.93</v>
      </c>
      <c r="V19" s="340">
        <f>J19</f>
        <v>228.28</v>
      </c>
      <c r="X19" s="335"/>
    </row>
    <row r="20" spans="2:24" x14ac:dyDescent="0.35">
      <c r="B20" s="67"/>
      <c r="C20" s="304" t="s">
        <v>96</v>
      </c>
      <c r="D20" s="305">
        <v>15000</v>
      </c>
      <c r="E20" s="242" t="s">
        <v>145</v>
      </c>
      <c r="F20" s="341">
        <f>'Table C'!F23</f>
        <v>9.2899999999999996E-3</v>
      </c>
      <c r="G20" s="341"/>
      <c r="H20" s="27" t="s">
        <v>174</v>
      </c>
      <c r="J20" s="341">
        <f>'Table C'!I23</f>
        <v>1.2280000000000001E-2</v>
      </c>
      <c r="K20" s="341"/>
      <c r="L20" s="27" t="s">
        <v>174</v>
      </c>
      <c r="N20" s="341">
        <f>J20-F20</f>
        <v>2.9900000000000013E-3</v>
      </c>
      <c r="O20" s="338"/>
      <c r="P20" s="339">
        <f t="shared" si="2"/>
        <v>0.32</v>
      </c>
      <c r="Q20" s="141"/>
      <c r="S20" s="342">
        <f>S19-D19</f>
        <v>117045</v>
      </c>
      <c r="U20" s="27">
        <f>ROUND(S20*F20,2)</f>
        <v>1087.3499999999999</v>
      </c>
      <c r="V20" s="27">
        <f>ROUND(S20*J20,2)</f>
        <v>1437.31</v>
      </c>
      <c r="X20" s="335"/>
    </row>
    <row r="21" spans="2:24" x14ac:dyDescent="0.35">
      <c r="B21" s="67"/>
      <c r="E21" s="242"/>
      <c r="F21" s="341"/>
      <c r="G21" s="341"/>
      <c r="N21" s="341"/>
      <c r="O21" s="341"/>
      <c r="P21" s="341"/>
      <c r="Q21" s="141"/>
      <c r="U21" s="340">
        <f>SUM(U19:U20)</f>
        <v>1259.28</v>
      </c>
      <c r="V21" s="340">
        <f>SUM(V19:V20)</f>
        <v>1665.59</v>
      </c>
      <c r="W21" s="340">
        <f>V21-U21</f>
        <v>406.30999999999995</v>
      </c>
      <c r="X21" s="343">
        <f>ROUND(W21/U21,2)</f>
        <v>0.32</v>
      </c>
    </row>
    <row r="22" spans="2:24" x14ac:dyDescent="0.35">
      <c r="B22" s="67"/>
      <c r="C22" s="310" t="s">
        <v>166</v>
      </c>
      <c r="E22" s="242"/>
      <c r="F22" s="341"/>
      <c r="G22" s="341"/>
      <c r="N22" s="341"/>
      <c r="O22" s="341"/>
      <c r="P22" s="341"/>
      <c r="Q22" s="141"/>
      <c r="X22" s="335"/>
    </row>
    <row r="23" spans="2:24" x14ac:dyDescent="0.35">
      <c r="B23" s="67"/>
      <c r="C23" s="304" t="s">
        <v>51</v>
      </c>
      <c r="D23" s="305">
        <v>100000</v>
      </c>
      <c r="E23" s="242" t="s">
        <v>145</v>
      </c>
      <c r="F23" s="338">
        <f>'Table C'!F26</f>
        <v>963.03</v>
      </c>
      <c r="G23" s="338"/>
      <c r="H23" s="27" t="s">
        <v>173</v>
      </c>
      <c r="J23" s="338">
        <f>'Table C'!I26</f>
        <v>1278.46</v>
      </c>
      <c r="K23" s="338"/>
      <c r="L23" s="27" t="s">
        <v>173</v>
      </c>
      <c r="N23" s="338">
        <f>J23-F23</f>
        <v>315.43000000000006</v>
      </c>
      <c r="O23" s="338"/>
      <c r="P23" s="339">
        <f t="shared" ref="P23:P24" si="3">ROUND(N23/F23,2)</f>
        <v>0.33</v>
      </c>
      <c r="Q23" s="141"/>
      <c r="S23" s="62">
        <f>F40</f>
        <v>94726</v>
      </c>
      <c r="U23" s="340">
        <f>F23</f>
        <v>963.03</v>
      </c>
      <c r="V23" s="340">
        <f>J23</f>
        <v>1278.46</v>
      </c>
      <c r="X23" s="335"/>
    </row>
    <row r="24" spans="2:24" x14ac:dyDescent="0.35">
      <c r="B24" s="67"/>
      <c r="C24" s="304" t="s">
        <v>96</v>
      </c>
      <c r="D24" s="305">
        <v>100000</v>
      </c>
      <c r="E24" s="242" t="s">
        <v>145</v>
      </c>
      <c r="F24" s="341">
        <f>'Table C'!F27</f>
        <v>9.2899999999999996E-3</v>
      </c>
      <c r="G24" s="341"/>
      <c r="H24" s="27" t="s">
        <v>174</v>
      </c>
      <c r="J24" s="341">
        <f>'Table C'!I27</f>
        <v>1.2280000000000001E-2</v>
      </c>
      <c r="K24" s="341"/>
      <c r="L24" s="27" t="s">
        <v>174</v>
      </c>
      <c r="N24" s="341">
        <f>J24-F24</f>
        <v>2.9900000000000013E-3</v>
      </c>
      <c r="O24" s="338"/>
      <c r="P24" s="339">
        <f t="shared" si="3"/>
        <v>0.32</v>
      </c>
      <c r="Q24" s="141"/>
      <c r="S24" s="342">
        <f>S23-D23</f>
        <v>-5274</v>
      </c>
      <c r="U24" s="27">
        <f>ROUND(S24*F24,2)</f>
        <v>-49</v>
      </c>
      <c r="V24" s="27">
        <f>ROUND(S24*J24,2)</f>
        <v>-64.760000000000005</v>
      </c>
      <c r="X24" s="335"/>
    </row>
    <row r="25" spans="2:24" x14ac:dyDescent="0.35">
      <c r="B25" s="67"/>
      <c r="F25" s="341"/>
      <c r="G25" s="341"/>
      <c r="N25" s="341"/>
      <c r="O25" s="341"/>
      <c r="P25" s="341"/>
      <c r="Q25" s="141"/>
      <c r="U25" s="340">
        <f>SUM(U23:U24)</f>
        <v>914.03</v>
      </c>
      <c r="V25" s="340">
        <f>SUM(V23:V24)</f>
        <v>1213.7</v>
      </c>
      <c r="W25" s="340">
        <f>V25-U25</f>
        <v>299.67000000000007</v>
      </c>
      <c r="X25" s="343">
        <f>ROUND(W25/U25,2)</f>
        <v>0.33</v>
      </c>
    </row>
    <row r="26" spans="2:24" x14ac:dyDescent="0.35">
      <c r="B26" s="67"/>
      <c r="C26" s="310" t="s">
        <v>175</v>
      </c>
      <c r="F26" s="341"/>
      <c r="G26" s="341"/>
      <c r="N26" s="341"/>
      <c r="O26" s="341"/>
      <c r="P26" s="341"/>
      <c r="Q26" s="141"/>
      <c r="X26" s="335"/>
    </row>
    <row r="27" spans="2:24" x14ac:dyDescent="0.35">
      <c r="B27" s="67"/>
      <c r="C27" s="304"/>
      <c r="D27" s="305"/>
      <c r="E27" s="305"/>
      <c r="F27" s="341">
        <f>'Table C'!F30</f>
        <v>4.5199999999999997E-3</v>
      </c>
      <c r="G27" s="341"/>
      <c r="H27" s="27" t="s">
        <v>174</v>
      </c>
      <c r="J27" s="341">
        <f>'Table C'!I30</f>
        <v>6.0000000000000001E-3</v>
      </c>
      <c r="K27" s="341"/>
      <c r="L27" s="27" t="s">
        <v>174</v>
      </c>
      <c r="N27" s="341">
        <f>J27-F27</f>
        <v>1.4800000000000004E-3</v>
      </c>
      <c r="O27" s="338"/>
      <c r="P27" s="339">
        <f>ROUND(N27/F27,2)</f>
        <v>0.33</v>
      </c>
      <c r="Q27" s="141"/>
      <c r="S27" s="62">
        <f>F41</f>
        <v>523333</v>
      </c>
      <c r="U27" s="340">
        <f>ROUND(S27*F27,2)</f>
        <v>2365.4699999999998</v>
      </c>
      <c r="V27" s="340">
        <f>ROUND(S27*J27,2)</f>
        <v>3140</v>
      </c>
      <c r="W27" s="340">
        <f>V27-U27</f>
        <v>774.5300000000002</v>
      </c>
      <c r="X27" s="343">
        <f>ROUND(W27/U27,2)</f>
        <v>0.33</v>
      </c>
    </row>
    <row r="28" spans="2:24" x14ac:dyDescent="0.35">
      <c r="B28" s="68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5"/>
    </row>
    <row r="31" spans="2:24" x14ac:dyDescent="0.35">
      <c r="B31" s="66"/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11"/>
    </row>
    <row r="32" spans="2:24" x14ac:dyDescent="0.35">
      <c r="B32" s="67"/>
      <c r="C32" s="462" t="s">
        <v>396</v>
      </c>
      <c r="D32" s="462"/>
      <c r="E32" s="462"/>
      <c r="F32" s="462"/>
      <c r="G32" s="462"/>
      <c r="H32" s="462"/>
      <c r="I32" s="462"/>
      <c r="J32" s="462"/>
      <c r="K32" s="462"/>
      <c r="L32" s="462"/>
      <c r="M32" s="462"/>
      <c r="N32" s="462"/>
      <c r="O32" s="141"/>
    </row>
    <row r="33" spans="2:18" x14ac:dyDescent="0.35">
      <c r="B33" s="67"/>
      <c r="O33" s="141"/>
    </row>
    <row r="34" spans="2:18" x14ac:dyDescent="0.35">
      <c r="B34" s="67"/>
      <c r="F34" s="127" t="s">
        <v>391</v>
      </c>
      <c r="G34" s="127"/>
      <c r="H34" s="127" t="s">
        <v>327</v>
      </c>
      <c r="J34" s="127" t="s">
        <v>327</v>
      </c>
      <c r="K34" s="127"/>
      <c r="O34" s="141"/>
    </row>
    <row r="35" spans="2:18" x14ac:dyDescent="0.35">
      <c r="B35" s="67"/>
      <c r="F35" s="127" t="s">
        <v>121</v>
      </c>
      <c r="G35" s="127"/>
      <c r="H35" s="127" t="s">
        <v>121</v>
      </c>
      <c r="J35" s="127" t="s">
        <v>121</v>
      </c>
      <c r="K35" s="127"/>
      <c r="L35" s="462" t="s">
        <v>343</v>
      </c>
      <c r="M35" s="462"/>
      <c r="N35" s="462"/>
      <c r="O35" s="141"/>
    </row>
    <row r="36" spans="2:18" x14ac:dyDescent="0.35">
      <c r="B36" s="67"/>
      <c r="F36" s="276" t="s">
        <v>143</v>
      </c>
      <c r="G36" s="127"/>
      <c r="H36" s="276" t="s">
        <v>392</v>
      </c>
      <c r="J36" s="276" t="s">
        <v>392</v>
      </c>
      <c r="K36" s="127"/>
      <c r="L36" s="276" t="s">
        <v>344</v>
      </c>
      <c r="N36" s="276" t="s">
        <v>345</v>
      </c>
      <c r="O36" s="141"/>
    </row>
    <row r="37" spans="2:18" x14ac:dyDescent="0.35">
      <c r="B37" s="67"/>
      <c r="C37" s="62" t="s">
        <v>295</v>
      </c>
      <c r="F37" s="62">
        <f>ROUND('ExBA - Beg. Rates'!E41/'ExBA - Beg. Rates'!D36,0)</f>
        <v>3020</v>
      </c>
      <c r="G37" s="127"/>
      <c r="H37" s="340">
        <f>U8</f>
        <v>43.99</v>
      </c>
      <c r="J37" s="340">
        <f>V8</f>
        <v>58.37</v>
      </c>
      <c r="K37" s="127"/>
      <c r="L37" s="340">
        <f>J37-H37</f>
        <v>14.379999999999995</v>
      </c>
      <c r="N37" s="339">
        <f>ROUND(L37/H37,2)</f>
        <v>0.33</v>
      </c>
      <c r="O37" s="141"/>
      <c r="R37" s="62">
        <v>3020</v>
      </c>
    </row>
    <row r="38" spans="2:18" x14ac:dyDescent="0.35">
      <c r="B38" s="67"/>
      <c r="C38" s="62" t="s">
        <v>164</v>
      </c>
      <c r="F38" s="62">
        <f>ROUND('ExBA - Beg. Rates'!E60/'ExBA - Beg. Rates'!D56,0)</f>
        <v>5381</v>
      </c>
      <c r="G38" s="127"/>
      <c r="H38" s="340">
        <f>U15</f>
        <v>71.81</v>
      </c>
      <c r="J38" s="340">
        <f>V15</f>
        <v>95.350000000000023</v>
      </c>
      <c r="K38" s="127"/>
      <c r="L38" s="340">
        <f t="shared" ref="L38:L41" si="4">J38-H38</f>
        <v>23.54000000000002</v>
      </c>
      <c r="N38" s="339">
        <f t="shared" ref="N38:N41" si="5">ROUND(L38/H38,2)</f>
        <v>0.33</v>
      </c>
      <c r="O38" s="141"/>
      <c r="R38" s="62">
        <v>5381</v>
      </c>
    </row>
    <row r="39" spans="2:18" x14ac:dyDescent="0.35">
      <c r="B39" s="67"/>
      <c r="C39" s="62" t="s">
        <v>165</v>
      </c>
      <c r="F39" s="62">
        <f>ROUND('ExBA - Beg. Rates'!E74/'ExBA - Beg. Rates'!D72,0)</f>
        <v>132045</v>
      </c>
      <c r="G39" s="62"/>
      <c r="H39" s="340">
        <f>U21</f>
        <v>1259.28</v>
      </c>
      <c r="J39" s="340">
        <f>V21</f>
        <v>1665.59</v>
      </c>
      <c r="L39" s="340">
        <f t="shared" si="4"/>
        <v>406.30999999999995</v>
      </c>
      <c r="N39" s="339">
        <f t="shared" si="5"/>
        <v>0.32</v>
      </c>
      <c r="O39" s="141"/>
      <c r="R39" s="62">
        <v>132045</v>
      </c>
    </row>
    <row r="40" spans="2:18" x14ac:dyDescent="0.35">
      <c r="B40" s="67"/>
      <c r="C40" s="62" t="s">
        <v>166</v>
      </c>
      <c r="F40" s="62">
        <f>ROUND('ExBA - Beg. Rates'!E88/'ExBA - Beg. Rates'!D86,0)</f>
        <v>94726</v>
      </c>
      <c r="G40" s="62"/>
      <c r="H40" s="340">
        <f>U25</f>
        <v>914.03</v>
      </c>
      <c r="J40" s="340">
        <f>V25</f>
        <v>1213.7</v>
      </c>
      <c r="L40" s="340">
        <f t="shared" si="4"/>
        <v>299.67000000000007</v>
      </c>
      <c r="N40" s="339">
        <f t="shared" si="5"/>
        <v>0.33</v>
      </c>
      <c r="O40" s="141"/>
      <c r="R40" s="62">
        <v>94726</v>
      </c>
    </row>
    <row r="41" spans="2:18" x14ac:dyDescent="0.35">
      <c r="B41" s="67"/>
      <c r="C41" s="62" t="s">
        <v>175</v>
      </c>
      <c r="F41" s="62">
        <f>ROUND('ExBA - Beg. Rates'!E101/'ExBA - Beg. Rates'!D100,0)</f>
        <v>523333</v>
      </c>
      <c r="G41" s="62"/>
      <c r="H41" s="340">
        <f>U27</f>
        <v>2365.4699999999998</v>
      </c>
      <c r="J41" s="340">
        <f>V27</f>
        <v>3140</v>
      </c>
      <c r="L41" s="340">
        <f t="shared" si="4"/>
        <v>774.5300000000002</v>
      </c>
      <c r="N41" s="339">
        <f t="shared" si="5"/>
        <v>0.33</v>
      </c>
      <c r="O41" s="141"/>
      <c r="R41" s="62">
        <v>523333</v>
      </c>
    </row>
    <row r="42" spans="2:18" x14ac:dyDescent="0.35">
      <c r="B42" s="68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5"/>
    </row>
    <row r="44" spans="2:18" x14ac:dyDescent="0.35">
      <c r="E44" s="313"/>
    </row>
  </sheetData>
  <mergeCells count="6">
    <mergeCell ref="C3:P3"/>
    <mergeCell ref="N4:P4"/>
    <mergeCell ref="F5:H5"/>
    <mergeCell ref="J5:L5"/>
    <mergeCell ref="L35:N35"/>
    <mergeCell ref="C32:N3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C2106-B77E-4B42-9E61-4EDBD2608B0B}">
  <dimension ref="A4:K52"/>
  <sheetViews>
    <sheetView showGridLines="0" workbookViewId="0">
      <selection activeCell="B11" sqref="B11:J51"/>
    </sheetView>
  </sheetViews>
  <sheetFormatPr defaultRowHeight="15.5" x14ac:dyDescent="0.35"/>
  <cols>
    <col min="1" max="1" width="2.765625" customWidth="1"/>
    <col min="3" max="3" width="2.765625" customWidth="1"/>
    <col min="4" max="4" width="12.765625" customWidth="1"/>
    <col min="5" max="5" width="2.765625" customWidth="1"/>
    <col min="6" max="6" width="12.765625" customWidth="1"/>
    <col min="7" max="7" width="2.765625" customWidth="1"/>
    <col min="8" max="8" width="12.765625" customWidth="1"/>
    <col min="9" max="9" width="2.765625" customWidth="1"/>
    <col min="10" max="10" width="12.765625" customWidth="1"/>
    <col min="11" max="11" width="2.765625" customWidth="1"/>
  </cols>
  <sheetData>
    <row r="4" spans="1:11" ht="22.5" x14ac:dyDescent="0.45">
      <c r="A4" s="234"/>
      <c r="B4" s="236"/>
      <c r="C4" s="467"/>
      <c r="D4" s="467"/>
      <c r="E4" s="467"/>
      <c r="F4" s="467"/>
      <c r="G4" s="467"/>
      <c r="H4" s="467"/>
      <c r="I4" s="467"/>
      <c r="J4" s="467"/>
      <c r="K4" s="237"/>
    </row>
    <row r="5" spans="1:11" ht="22.5" x14ac:dyDescent="0.45">
      <c r="A5" s="22"/>
      <c r="B5" s="466" t="s">
        <v>346</v>
      </c>
      <c r="C5" s="466"/>
      <c r="D5" s="466"/>
      <c r="E5" s="466"/>
      <c r="F5" s="466"/>
      <c r="G5" s="466"/>
      <c r="H5" s="466"/>
      <c r="I5" s="466"/>
      <c r="J5" s="466"/>
      <c r="K5" s="143"/>
    </row>
    <row r="6" spans="1:11" ht="22.5" x14ac:dyDescent="0.45">
      <c r="A6" s="22"/>
      <c r="B6" s="468" t="s">
        <v>347</v>
      </c>
      <c r="C6" s="468"/>
      <c r="D6" s="468"/>
      <c r="E6" s="468"/>
      <c r="F6" s="468"/>
      <c r="G6" s="468"/>
      <c r="H6" s="468"/>
      <c r="I6" s="468"/>
      <c r="J6" s="468"/>
      <c r="K6" s="143"/>
    </row>
    <row r="7" spans="1:11" ht="22.5" x14ac:dyDescent="0.45">
      <c r="A7" s="22"/>
      <c r="B7" s="466" t="str">
        <f>Adj!B1</f>
        <v>Morgan County Water District</v>
      </c>
      <c r="C7" s="466"/>
      <c r="D7" s="466"/>
      <c r="E7" s="466"/>
      <c r="F7" s="466"/>
      <c r="G7" s="466"/>
      <c r="H7" s="466"/>
      <c r="I7" s="466"/>
      <c r="J7" s="466"/>
      <c r="K7" s="143"/>
    </row>
    <row r="8" spans="1:11" ht="22.5" x14ac:dyDescent="0.45">
      <c r="A8" s="22"/>
      <c r="B8" s="323"/>
      <c r="C8" s="323"/>
      <c r="D8" s="323"/>
      <c r="E8" s="323"/>
      <c r="F8" s="323"/>
      <c r="G8" s="323"/>
      <c r="H8" s="323"/>
      <c r="I8" s="323"/>
      <c r="J8" s="323"/>
      <c r="K8" s="143"/>
    </row>
    <row r="9" spans="1:11" x14ac:dyDescent="0.35">
      <c r="A9" s="22"/>
      <c r="D9" s="324" t="s">
        <v>348</v>
      </c>
      <c r="F9" s="324" t="s">
        <v>349</v>
      </c>
      <c r="H9" s="325"/>
      <c r="J9" s="316"/>
      <c r="K9" s="143"/>
    </row>
    <row r="10" spans="1:11" x14ac:dyDescent="0.35">
      <c r="A10" s="22"/>
      <c r="D10" s="317" t="s">
        <v>350</v>
      </c>
      <c r="F10" s="317" t="s">
        <v>350</v>
      </c>
      <c r="H10" s="276" t="s">
        <v>351</v>
      </c>
      <c r="J10" s="318" t="s">
        <v>345</v>
      </c>
      <c r="K10" s="143"/>
    </row>
    <row r="11" spans="1:11" x14ac:dyDescent="0.35">
      <c r="A11" s="22"/>
      <c r="B11" s="310" t="s">
        <v>295</v>
      </c>
      <c r="K11" s="143"/>
    </row>
    <row r="12" spans="1:11" x14ac:dyDescent="0.35">
      <c r="A12" s="22"/>
      <c r="B12" s="73">
        <v>2000</v>
      </c>
      <c r="D12" s="158">
        <f>'34-Inch'!R21</f>
        <v>31.89</v>
      </c>
      <c r="F12" s="158">
        <f>'34-Inch'!Z21</f>
        <v>42.37</v>
      </c>
      <c r="H12" s="158">
        <f>F12-D12</f>
        <v>10.479999999999997</v>
      </c>
      <c r="J12" s="346">
        <f>ROUND(H12/D12,4)</f>
        <v>0.3286</v>
      </c>
      <c r="K12" s="143"/>
    </row>
    <row r="13" spans="1:11" x14ac:dyDescent="0.35">
      <c r="A13" s="22"/>
      <c r="B13" s="73">
        <v>4000</v>
      </c>
      <c r="D13" s="158">
        <f>'34-Inch'!R22</f>
        <v>55.61</v>
      </c>
      <c r="F13" s="158">
        <f>'34-Inch'!Z22</f>
        <v>73.75</v>
      </c>
      <c r="H13" s="158">
        <f t="shared" ref="H13:H21" si="0">F13-D13</f>
        <v>18.14</v>
      </c>
      <c r="J13" s="346">
        <f t="shared" ref="J13:J20" si="1">ROUND(H13/D13,4)</f>
        <v>0.32619999999999999</v>
      </c>
      <c r="K13" s="143"/>
    </row>
    <row r="14" spans="1:11" x14ac:dyDescent="0.35">
      <c r="A14" s="22"/>
      <c r="B14" s="73">
        <v>6000</v>
      </c>
      <c r="D14" s="158">
        <f>'34-Inch'!R23</f>
        <v>78.47</v>
      </c>
      <c r="F14" s="158">
        <f>'34-Inch'!Z23</f>
        <v>103.99</v>
      </c>
      <c r="H14" s="158">
        <f t="shared" si="0"/>
        <v>25.519999999999996</v>
      </c>
      <c r="J14" s="346">
        <f t="shared" si="1"/>
        <v>0.32519999999999999</v>
      </c>
      <c r="K14" s="143"/>
    </row>
    <row r="15" spans="1:11" x14ac:dyDescent="0.35">
      <c r="A15" s="22"/>
      <c r="B15" s="73">
        <v>8000</v>
      </c>
      <c r="D15" s="158">
        <f>'34-Inch'!R24</f>
        <v>100.47</v>
      </c>
      <c r="F15" s="158">
        <f>'34-Inch'!Z24</f>
        <v>133.09</v>
      </c>
      <c r="H15" s="158">
        <f t="shared" si="0"/>
        <v>32.620000000000005</v>
      </c>
      <c r="J15" s="346">
        <f t="shared" si="1"/>
        <v>0.32469999999999999</v>
      </c>
      <c r="K15" s="143"/>
    </row>
    <row r="16" spans="1:11" x14ac:dyDescent="0.35">
      <c r="A16" s="22"/>
      <c r="B16" s="73">
        <v>10000</v>
      </c>
      <c r="D16" s="158">
        <f>'34-Inch'!R25</f>
        <v>122.47</v>
      </c>
      <c r="F16" s="158">
        <f>'34-Inch'!Z25</f>
        <v>162.19</v>
      </c>
      <c r="H16" s="158">
        <f t="shared" si="0"/>
        <v>39.72</v>
      </c>
      <c r="J16" s="346">
        <f t="shared" si="1"/>
        <v>0.32429999999999998</v>
      </c>
      <c r="K16" s="143"/>
    </row>
    <row r="17" spans="1:11" x14ac:dyDescent="0.35">
      <c r="A17" s="22"/>
      <c r="B17" s="73">
        <v>12000</v>
      </c>
      <c r="D17" s="158">
        <f>'34-Inch'!R26</f>
        <v>142.76999999999998</v>
      </c>
      <c r="F17" s="158">
        <f>'34-Inch'!Z26</f>
        <v>189.03</v>
      </c>
      <c r="H17" s="158">
        <f t="shared" si="0"/>
        <v>46.260000000000019</v>
      </c>
      <c r="J17" s="346">
        <f t="shared" si="1"/>
        <v>0.32400000000000001</v>
      </c>
      <c r="K17" s="143"/>
    </row>
    <row r="18" spans="1:11" x14ac:dyDescent="0.35">
      <c r="A18" s="22"/>
      <c r="B18" s="73">
        <v>14000</v>
      </c>
      <c r="D18" s="158">
        <f>'34-Inch'!R27</f>
        <v>163.07</v>
      </c>
      <c r="F18" s="158">
        <f>'34-Inch'!Z27</f>
        <v>215.87</v>
      </c>
      <c r="H18" s="158">
        <f t="shared" si="0"/>
        <v>52.800000000000011</v>
      </c>
      <c r="J18" s="346">
        <f t="shared" si="1"/>
        <v>0.32379999999999998</v>
      </c>
      <c r="K18" s="143"/>
    </row>
    <row r="19" spans="1:11" x14ac:dyDescent="0.35">
      <c r="A19" s="22"/>
      <c r="B19" s="73">
        <v>16000</v>
      </c>
      <c r="D19" s="158">
        <f>'34-Inch'!R28</f>
        <v>183.37</v>
      </c>
      <c r="F19" s="158">
        <f>'34-Inch'!Z28</f>
        <v>242.70999999999998</v>
      </c>
      <c r="H19" s="158">
        <f t="shared" si="0"/>
        <v>59.339999999999975</v>
      </c>
      <c r="J19" s="346">
        <f t="shared" si="1"/>
        <v>0.3236</v>
      </c>
      <c r="K19" s="143"/>
    </row>
    <row r="20" spans="1:11" x14ac:dyDescent="0.35">
      <c r="A20" s="22"/>
      <c r="B20" s="73">
        <v>18000</v>
      </c>
      <c r="D20" s="158">
        <f>'34-Inch'!R29</f>
        <v>201.09</v>
      </c>
      <c r="F20" s="158">
        <f>'34-Inch'!Z29</f>
        <v>266.13</v>
      </c>
      <c r="H20" s="158">
        <f t="shared" si="0"/>
        <v>65.039999999999992</v>
      </c>
      <c r="J20" s="346">
        <f t="shared" si="1"/>
        <v>0.32340000000000002</v>
      </c>
      <c r="K20" s="143"/>
    </row>
    <row r="21" spans="1:11" x14ac:dyDescent="0.35">
      <c r="A21" s="22"/>
      <c r="B21" s="73">
        <v>20000</v>
      </c>
      <c r="D21" s="158">
        <f>'34-Inch'!R30</f>
        <v>219.67</v>
      </c>
      <c r="F21" s="158">
        <f>'34-Inch'!Z30</f>
        <v>290.69</v>
      </c>
      <c r="H21" s="158">
        <f t="shared" si="0"/>
        <v>71.02000000000001</v>
      </c>
      <c r="J21" s="346">
        <f>ROUND(H21/D21,4)</f>
        <v>0.32329999999999998</v>
      </c>
      <c r="K21" s="143"/>
    </row>
    <row r="22" spans="1:11" x14ac:dyDescent="0.35">
      <c r="A22" s="22"/>
      <c r="B22" s="27"/>
      <c r="J22" s="347"/>
      <c r="K22" s="143"/>
    </row>
    <row r="23" spans="1:11" x14ac:dyDescent="0.35">
      <c r="A23" s="22"/>
      <c r="B23" s="310" t="s">
        <v>164</v>
      </c>
      <c r="J23" s="347"/>
      <c r="K23" s="143"/>
    </row>
    <row r="24" spans="1:11" x14ac:dyDescent="0.35">
      <c r="A24" s="22"/>
      <c r="B24" s="73">
        <v>2000</v>
      </c>
      <c r="D24" s="60">
        <f>'1-Inch'!Q21</f>
        <v>67.62</v>
      </c>
      <c r="F24" s="60">
        <f>'1-Inch'!X21</f>
        <v>89.810000000000016</v>
      </c>
      <c r="H24" s="158">
        <f t="shared" ref="H24:H33" si="2">F24-D24</f>
        <v>22.190000000000012</v>
      </c>
      <c r="J24" s="346">
        <f t="shared" ref="J24:J33" si="3">ROUND(H24/D24,4)</f>
        <v>0.32819999999999999</v>
      </c>
      <c r="K24" s="143"/>
    </row>
    <row r="25" spans="1:11" x14ac:dyDescent="0.35">
      <c r="A25" s="22"/>
      <c r="B25" s="73">
        <v>4000</v>
      </c>
      <c r="D25" s="60">
        <f>'1-Inch'!Q22</f>
        <v>67.62</v>
      </c>
      <c r="F25" s="60">
        <f>'1-Inch'!X22</f>
        <v>89.810000000000016</v>
      </c>
      <c r="H25" s="158">
        <f t="shared" si="2"/>
        <v>22.190000000000012</v>
      </c>
      <c r="J25" s="346">
        <f t="shared" si="3"/>
        <v>0.32819999999999999</v>
      </c>
      <c r="K25" s="143"/>
    </row>
    <row r="26" spans="1:11" x14ac:dyDescent="0.35">
      <c r="A26" s="22"/>
      <c r="B26" s="73">
        <v>6000</v>
      </c>
      <c r="D26" s="60">
        <f>'1-Inch'!Q23</f>
        <v>78.62</v>
      </c>
      <c r="F26" s="60">
        <f>'1-Inch'!X23</f>
        <v>105.50000000000001</v>
      </c>
      <c r="H26" s="158">
        <f t="shared" si="2"/>
        <v>26.88000000000001</v>
      </c>
      <c r="J26" s="346">
        <f t="shared" si="3"/>
        <v>0.34189999999999998</v>
      </c>
      <c r="K26" s="143"/>
    </row>
    <row r="27" spans="1:11" x14ac:dyDescent="0.35">
      <c r="A27" s="22"/>
      <c r="B27" s="73">
        <v>8000</v>
      </c>
      <c r="D27" s="60">
        <f>'1-Inch'!Q24</f>
        <v>100.62</v>
      </c>
      <c r="F27" s="60">
        <f>'1-Inch'!X24</f>
        <v>136.88000000000002</v>
      </c>
      <c r="H27" s="158">
        <f t="shared" si="2"/>
        <v>36.260000000000019</v>
      </c>
      <c r="J27" s="346">
        <f t="shared" si="3"/>
        <v>0.3604</v>
      </c>
      <c r="K27" s="143"/>
    </row>
    <row r="28" spans="1:11" x14ac:dyDescent="0.35">
      <c r="A28" s="22"/>
      <c r="B28" s="73">
        <v>10000</v>
      </c>
      <c r="D28" s="60">
        <f>'1-Inch'!Q25</f>
        <v>122.62</v>
      </c>
      <c r="F28" s="60">
        <f>'1-Inch'!X25</f>
        <v>168.26</v>
      </c>
      <c r="H28" s="158">
        <f t="shared" si="2"/>
        <v>45.639999999999986</v>
      </c>
      <c r="J28" s="346">
        <f t="shared" si="3"/>
        <v>0.37219999999999998</v>
      </c>
      <c r="K28" s="143"/>
    </row>
    <row r="29" spans="1:11" x14ac:dyDescent="0.35">
      <c r="A29" s="22"/>
      <c r="B29" s="73">
        <v>12000</v>
      </c>
      <c r="D29" s="60">
        <f>'1-Inch'!Q26</f>
        <v>142.92000000000002</v>
      </c>
      <c r="F29" s="60">
        <f>'1-Inch'!X26</f>
        <v>197.35999999999999</v>
      </c>
      <c r="H29" s="158">
        <f t="shared" si="2"/>
        <v>54.439999999999969</v>
      </c>
      <c r="J29" s="346">
        <f t="shared" si="3"/>
        <v>0.38090000000000002</v>
      </c>
      <c r="K29" s="143"/>
    </row>
    <row r="30" spans="1:11" x14ac:dyDescent="0.35">
      <c r="A30" s="22"/>
      <c r="B30" s="73">
        <v>14000</v>
      </c>
      <c r="D30" s="60">
        <f>'1-Inch'!Q27</f>
        <v>163.22</v>
      </c>
      <c r="F30" s="60">
        <f>'1-Inch'!X27</f>
        <v>226.45999999999998</v>
      </c>
      <c r="H30" s="158">
        <f t="shared" si="2"/>
        <v>63.239999999999981</v>
      </c>
      <c r="J30" s="346">
        <f t="shared" si="3"/>
        <v>0.38750000000000001</v>
      </c>
      <c r="K30" s="143"/>
    </row>
    <row r="31" spans="1:11" x14ac:dyDescent="0.35">
      <c r="A31" s="22"/>
      <c r="B31" s="73">
        <v>16000</v>
      </c>
      <c r="D31" s="60">
        <f>'1-Inch'!Q28</f>
        <v>173.37</v>
      </c>
      <c r="F31" s="60">
        <f>'1-Inch'!X28</f>
        <v>241.01</v>
      </c>
      <c r="H31" s="158">
        <f t="shared" si="2"/>
        <v>67.639999999999986</v>
      </c>
      <c r="J31" s="346">
        <f t="shared" si="3"/>
        <v>0.3901</v>
      </c>
      <c r="K31" s="143"/>
    </row>
    <row r="32" spans="1:11" x14ac:dyDescent="0.35">
      <c r="A32" s="22"/>
      <c r="B32" s="73">
        <v>18000</v>
      </c>
      <c r="D32" s="60">
        <f>'1-Inch'!Q29</f>
        <v>201.24</v>
      </c>
      <c r="F32" s="60">
        <f>'1-Inch'!X29</f>
        <v>281.27</v>
      </c>
      <c r="H32" s="158">
        <f t="shared" si="2"/>
        <v>80.029999999999973</v>
      </c>
      <c r="J32" s="346">
        <f t="shared" si="3"/>
        <v>0.3977</v>
      </c>
      <c r="K32" s="143"/>
    </row>
    <row r="33" spans="1:11" x14ac:dyDescent="0.35">
      <c r="A33" s="22"/>
      <c r="B33" s="73">
        <v>20000</v>
      </c>
      <c r="D33" s="60">
        <f>'1-Inch'!Q30</f>
        <v>219.82</v>
      </c>
      <c r="F33" s="60">
        <f>'1-Inch'!X30</f>
        <v>308.11</v>
      </c>
      <c r="H33" s="158">
        <f t="shared" si="2"/>
        <v>88.29000000000002</v>
      </c>
      <c r="J33" s="346">
        <f t="shared" si="3"/>
        <v>0.40160000000000001</v>
      </c>
      <c r="K33" s="143"/>
    </row>
    <row r="34" spans="1:11" x14ac:dyDescent="0.35">
      <c r="A34" s="22"/>
      <c r="B34" s="73"/>
      <c r="J34" s="347"/>
      <c r="K34" s="143"/>
    </row>
    <row r="35" spans="1:11" x14ac:dyDescent="0.35">
      <c r="A35" s="22"/>
      <c r="B35" s="310" t="s">
        <v>165</v>
      </c>
      <c r="J35" s="347"/>
      <c r="K35" s="143"/>
    </row>
    <row r="36" spans="1:11" x14ac:dyDescent="0.35">
      <c r="A36" s="22"/>
      <c r="B36" s="72">
        <v>5000</v>
      </c>
      <c r="D36" s="60">
        <f>'2-Inch'!O17</f>
        <v>171.93</v>
      </c>
      <c r="F36" s="60">
        <f>'2-Inch'!T17</f>
        <v>240.58</v>
      </c>
      <c r="H36" s="158">
        <f t="shared" ref="H36:H41" si="4">F36-D36</f>
        <v>68.650000000000006</v>
      </c>
      <c r="J36" s="346">
        <f t="shared" ref="J36:J41" si="5">ROUND(H36/D36,4)</f>
        <v>0.39929999999999999</v>
      </c>
      <c r="K36" s="143"/>
    </row>
    <row r="37" spans="1:11" x14ac:dyDescent="0.35">
      <c r="A37" s="22"/>
      <c r="B37" s="72">
        <v>10000</v>
      </c>
      <c r="D37" s="60">
        <f>'2-Inch'!O18</f>
        <v>171.93</v>
      </c>
      <c r="F37" s="60">
        <f>'2-Inch'!T18</f>
        <v>240.58</v>
      </c>
      <c r="H37" s="158">
        <f t="shared" si="4"/>
        <v>68.650000000000006</v>
      </c>
      <c r="J37" s="346">
        <f t="shared" si="5"/>
        <v>0.39929999999999999</v>
      </c>
      <c r="K37" s="143"/>
    </row>
    <row r="38" spans="1:11" x14ac:dyDescent="0.35">
      <c r="A38" s="22"/>
      <c r="B38" s="72">
        <v>15000</v>
      </c>
      <c r="D38" s="60">
        <f>'2-Inch'!O19</f>
        <v>171.93</v>
      </c>
      <c r="F38" s="60">
        <f>'2-Inch'!T19</f>
        <v>240.58</v>
      </c>
      <c r="H38" s="158">
        <f t="shared" si="4"/>
        <v>68.650000000000006</v>
      </c>
      <c r="J38" s="346">
        <f t="shared" si="5"/>
        <v>0.39929999999999999</v>
      </c>
      <c r="K38" s="143"/>
    </row>
    <row r="39" spans="1:11" x14ac:dyDescent="0.35">
      <c r="A39" s="22"/>
      <c r="B39" s="72">
        <v>20000</v>
      </c>
      <c r="D39" s="60">
        <f>'2-Inch'!O20</f>
        <v>218.38</v>
      </c>
      <c r="F39" s="60">
        <f>'2-Inch'!T20</f>
        <v>305.83000000000004</v>
      </c>
      <c r="H39" s="158">
        <f t="shared" si="4"/>
        <v>87.450000000000045</v>
      </c>
      <c r="J39" s="346">
        <f t="shared" si="5"/>
        <v>0.40039999999999998</v>
      </c>
      <c r="K39" s="143"/>
    </row>
    <row r="40" spans="1:11" x14ac:dyDescent="0.35">
      <c r="A40" s="22"/>
      <c r="B40" s="72">
        <v>25000</v>
      </c>
      <c r="D40" s="60">
        <f>'2-Inch'!O21</f>
        <v>264.83</v>
      </c>
      <c r="F40" s="60">
        <f>'2-Inch'!T21</f>
        <v>371.08000000000004</v>
      </c>
      <c r="H40" s="158">
        <f t="shared" si="4"/>
        <v>106.25000000000006</v>
      </c>
      <c r="J40" s="346">
        <f t="shared" si="5"/>
        <v>0.4012</v>
      </c>
      <c r="K40" s="143"/>
    </row>
    <row r="41" spans="1:11" x14ac:dyDescent="0.35">
      <c r="A41" s="22"/>
      <c r="B41" s="72">
        <v>30000</v>
      </c>
      <c r="D41" s="60">
        <f>'2-Inch'!O22</f>
        <v>311.27999999999997</v>
      </c>
      <c r="F41" s="60">
        <f>'2-Inch'!T22</f>
        <v>436.33000000000004</v>
      </c>
      <c r="H41" s="158">
        <f t="shared" si="4"/>
        <v>125.05000000000007</v>
      </c>
      <c r="J41" s="346">
        <f t="shared" si="5"/>
        <v>0.4017</v>
      </c>
      <c r="K41" s="143"/>
    </row>
    <row r="42" spans="1:11" x14ac:dyDescent="0.35">
      <c r="A42" s="22"/>
      <c r="B42" s="27"/>
      <c r="J42" s="347"/>
      <c r="K42" s="143"/>
    </row>
    <row r="43" spans="1:11" x14ac:dyDescent="0.35">
      <c r="A43" s="22"/>
      <c r="B43" s="310" t="s">
        <v>166</v>
      </c>
      <c r="J43" s="347"/>
      <c r="K43" s="143"/>
    </row>
    <row r="44" spans="1:11" x14ac:dyDescent="0.35">
      <c r="A44" s="22"/>
      <c r="B44" s="72">
        <v>60000</v>
      </c>
      <c r="D44" s="60">
        <f>'6-Inch'!O16</f>
        <v>963.03</v>
      </c>
      <c r="F44" s="60">
        <f>'6-Inch'!T16</f>
        <v>1347.33</v>
      </c>
      <c r="H44" s="158">
        <f t="shared" ref="H44" si="6">F44-D44</f>
        <v>384.29999999999995</v>
      </c>
      <c r="J44" s="346">
        <f t="shared" ref="J44:J48" si="7">ROUND(H44/D44,4)</f>
        <v>0.39910000000000001</v>
      </c>
      <c r="K44" s="143"/>
    </row>
    <row r="45" spans="1:11" x14ac:dyDescent="0.35">
      <c r="A45" s="22"/>
      <c r="B45" s="72">
        <v>80000</v>
      </c>
      <c r="D45" s="60">
        <f>'6-Inch'!O17</f>
        <v>963.03</v>
      </c>
      <c r="F45" s="60">
        <f>'6-Inch'!T17</f>
        <v>1347.33</v>
      </c>
      <c r="H45" s="158">
        <f t="shared" ref="H45:H48" si="8">F45-D45</f>
        <v>384.29999999999995</v>
      </c>
      <c r="J45" s="346">
        <f t="shared" si="7"/>
        <v>0.39910000000000001</v>
      </c>
      <c r="K45" s="143"/>
    </row>
    <row r="46" spans="1:11" x14ac:dyDescent="0.35">
      <c r="A46" s="22"/>
      <c r="B46" s="72">
        <v>100000</v>
      </c>
      <c r="D46" s="60">
        <f>'6-Inch'!O18</f>
        <v>963.03</v>
      </c>
      <c r="F46" s="60">
        <f>'6-Inch'!T18</f>
        <v>1347.33</v>
      </c>
      <c r="H46" s="158">
        <f t="shared" si="8"/>
        <v>384.29999999999995</v>
      </c>
      <c r="J46" s="346">
        <f t="shared" si="7"/>
        <v>0.39910000000000001</v>
      </c>
      <c r="K46" s="143"/>
    </row>
    <row r="47" spans="1:11" x14ac:dyDescent="0.35">
      <c r="A47" s="22"/>
      <c r="B47" s="72">
        <v>120000</v>
      </c>
      <c r="D47" s="60">
        <f>'6-Inch'!O19</f>
        <v>1148.83</v>
      </c>
      <c r="F47" s="60">
        <f>'6-Inch'!T19</f>
        <v>1608.33</v>
      </c>
      <c r="H47" s="158">
        <f t="shared" si="8"/>
        <v>459.5</v>
      </c>
      <c r="J47" s="346">
        <f t="shared" si="7"/>
        <v>0.4</v>
      </c>
      <c r="K47" s="143"/>
    </row>
    <row r="48" spans="1:11" x14ac:dyDescent="0.35">
      <c r="A48" s="22"/>
      <c r="B48" s="72">
        <v>140000</v>
      </c>
      <c r="D48" s="60">
        <f>'6-Inch'!O20</f>
        <v>1334.6299999999999</v>
      </c>
      <c r="F48" s="60">
        <f>'6-Inch'!T20</f>
        <v>1869.33</v>
      </c>
      <c r="H48" s="158">
        <f t="shared" si="8"/>
        <v>534.70000000000005</v>
      </c>
      <c r="J48" s="346">
        <f t="shared" si="7"/>
        <v>0.40060000000000001</v>
      </c>
      <c r="K48" s="143"/>
    </row>
    <row r="49" spans="1:11" x14ac:dyDescent="0.35">
      <c r="A49" s="22"/>
      <c r="B49" s="310"/>
      <c r="J49" s="347"/>
      <c r="K49" s="143"/>
    </row>
    <row r="50" spans="1:11" x14ac:dyDescent="0.35">
      <c r="A50" s="22"/>
      <c r="B50" s="310" t="s">
        <v>175</v>
      </c>
      <c r="J50" s="347"/>
      <c r="K50" s="143"/>
    </row>
    <row r="51" spans="1:11" x14ac:dyDescent="0.35">
      <c r="A51" s="22"/>
      <c r="B51" s="72">
        <f>ROUND('ExBA - Beg. Rates'!C94/'ExBA - Beg. Rates'!D94,0)</f>
        <v>523333</v>
      </c>
      <c r="D51" s="60">
        <f>ROUND(B51*'Table C'!F30,2)</f>
        <v>2365.4699999999998</v>
      </c>
      <c r="F51" s="60">
        <f>ROUND(B51*'Table C'!I30,2)</f>
        <v>3140</v>
      </c>
      <c r="H51" s="158">
        <f t="shared" ref="H51" si="9">F51-D51</f>
        <v>774.5300000000002</v>
      </c>
      <c r="J51" s="346">
        <f>ROUND(H51/D51,4)</f>
        <v>0.32740000000000002</v>
      </c>
      <c r="K51" s="143"/>
    </row>
    <row r="52" spans="1:11" x14ac:dyDescent="0.35">
      <c r="A52" s="239"/>
      <c r="B52" s="56"/>
      <c r="C52" s="56"/>
      <c r="D52" s="56"/>
      <c r="E52" s="56"/>
      <c r="F52" s="56"/>
      <c r="G52" s="56"/>
      <c r="H52" s="56"/>
      <c r="I52" s="56"/>
      <c r="J52" s="56"/>
      <c r="K52" s="241"/>
    </row>
  </sheetData>
  <mergeCells count="4">
    <mergeCell ref="B7:J7"/>
    <mergeCell ref="C4:J4"/>
    <mergeCell ref="B5:J5"/>
    <mergeCell ref="B6:J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3C004-D5E9-4F84-97DF-729DAFFF2E6A}">
  <dimension ref="C3:Z50"/>
  <sheetViews>
    <sheetView topLeftCell="B1" workbookViewId="0">
      <selection activeCell="B1" sqref="A1:XFD1048576"/>
    </sheetView>
  </sheetViews>
  <sheetFormatPr defaultRowHeight="15.5" x14ac:dyDescent="0.35"/>
  <cols>
    <col min="3" max="3" width="4.765625" style="27" customWidth="1"/>
    <col min="4" max="5" width="10.765625" style="27" customWidth="1"/>
    <col min="6" max="6" width="11.765625" style="302" customWidth="1"/>
    <col min="7" max="7" width="10.765625" style="27" customWidth="1"/>
    <col min="8" max="8" width="1.23046875" style="27" customWidth="1"/>
    <col min="9" max="9" width="10.765625" style="302" customWidth="1"/>
    <col min="10" max="10" width="10.765625" style="27" customWidth="1"/>
    <col min="11" max="11" width="8.84375" style="319"/>
    <col min="12" max="12" width="11.4609375" style="72" bestFit="1" customWidth="1"/>
    <col min="13" max="15" width="10.4609375" style="72" bestFit="1" customWidth="1"/>
    <col min="16" max="17" width="11.4609375" style="72" bestFit="1" customWidth="1"/>
    <col min="20" max="20" width="11.4609375" style="72" bestFit="1" customWidth="1"/>
    <col min="21" max="23" width="10.4609375" style="72" bestFit="1" customWidth="1"/>
    <col min="24" max="25" width="11.4609375" style="72" bestFit="1" customWidth="1"/>
  </cols>
  <sheetData>
    <row r="3" spans="3:26" x14ac:dyDescent="0.35">
      <c r="C3"/>
      <c r="D3"/>
      <c r="E3"/>
      <c r="F3"/>
      <c r="G3"/>
      <c r="H3"/>
      <c r="I3"/>
      <c r="J3"/>
    </row>
    <row r="4" spans="3:26" x14ac:dyDescent="0.35">
      <c r="C4"/>
      <c r="D4"/>
      <c r="E4"/>
      <c r="F4"/>
      <c r="G4"/>
      <c r="H4"/>
      <c r="I4"/>
      <c r="J4"/>
    </row>
    <row r="5" spans="3:26" x14ac:dyDescent="0.35">
      <c r="C5"/>
      <c r="D5"/>
      <c r="E5"/>
      <c r="F5"/>
      <c r="G5"/>
      <c r="H5"/>
      <c r="I5"/>
      <c r="J5"/>
    </row>
    <row r="7" spans="3:26" x14ac:dyDescent="0.35">
      <c r="C7" s="301"/>
      <c r="I7" s="303"/>
      <c r="L7" s="469" t="s">
        <v>352</v>
      </c>
      <c r="M7" s="469"/>
      <c r="N7" s="469"/>
      <c r="O7" s="469"/>
      <c r="P7" s="469"/>
      <c r="Q7" s="469"/>
      <c r="R7" s="469"/>
      <c r="T7" s="469" t="s">
        <v>352</v>
      </c>
      <c r="U7" s="469"/>
      <c r="V7" s="469"/>
      <c r="W7" s="469"/>
      <c r="X7" s="469"/>
      <c r="Y7" s="469"/>
      <c r="Z7" s="469"/>
    </row>
    <row r="8" spans="3:26" x14ac:dyDescent="0.35">
      <c r="C8" s="310" t="s">
        <v>295</v>
      </c>
      <c r="F8" s="462" t="s">
        <v>342</v>
      </c>
      <c r="G8" s="462"/>
      <c r="I8" s="462" t="s">
        <v>341</v>
      </c>
      <c r="J8" s="462"/>
      <c r="M8" s="320">
        <v>2000</v>
      </c>
      <c r="N8" s="320">
        <v>3000</v>
      </c>
      <c r="O8" s="320">
        <v>5000</v>
      </c>
      <c r="P8" s="320">
        <v>5000</v>
      </c>
      <c r="Q8" s="320">
        <v>15000</v>
      </c>
      <c r="U8" s="320">
        <v>2000</v>
      </c>
      <c r="V8" s="320">
        <v>3000</v>
      </c>
      <c r="W8" s="320">
        <v>5000</v>
      </c>
      <c r="X8" s="320">
        <v>5000</v>
      </c>
      <c r="Y8" s="320">
        <v>15000</v>
      </c>
    </row>
    <row r="9" spans="3:26" x14ac:dyDescent="0.35">
      <c r="C9" s="304" t="s">
        <v>51</v>
      </c>
      <c r="D9" s="305">
        <v>2000</v>
      </c>
      <c r="E9" s="242" t="s">
        <v>145</v>
      </c>
      <c r="F9" s="306">
        <v>31.89</v>
      </c>
      <c r="G9" s="27" t="s">
        <v>173</v>
      </c>
      <c r="I9" s="306">
        <f>'Table C'!I9</f>
        <v>42.37</v>
      </c>
      <c r="J9" s="27" t="s">
        <v>173</v>
      </c>
      <c r="K9" s="319">
        <f>F9</f>
        <v>31.89</v>
      </c>
      <c r="M9" s="60">
        <f>F9</f>
        <v>31.89</v>
      </c>
      <c r="N9" s="321">
        <f>F10</f>
        <v>1.1860000000000001E-2</v>
      </c>
      <c r="O9" s="321">
        <f>F11</f>
        <v>1.0999999999999999E-2</v>
      </c>
      <c r="P9" s="321">
        <f>F12</f>
        <v>1.0149999999999999E-2</v>
      </c>
      <c r="Q9" s="321">
        <f>F13</f>
        <v>9.2899999999999996E-3</v>
      </c>
      <c r="U9" s="60">
        <f>I9</f>
        <v>42.37</v>
      </c>
      <c r="V9" s="321">
        <f>I10</f>
        <v>1.5689999999999999E-2</v>
      </c>
      <c r="W9" s="321">
        <f>I11</f>
        <v>1.4549999999999999E-2</v>
      </c>
      <c r="X9" s="321">
        <f>I12</f>
        <v>1.342E-2</v>
      </c>
      <c r="Y9" s="321">
        <f>I13</f>
        <v>1.2280000000000001E-2</v>
      </c>
    </row>
    <row r="10" spans="3:26" x14ac:dyDescent="0.35">
      <c r="C10" s="304" t="s">
        <v>52</v>
      </c>
      <c r="D10" s="305">
        <v>3000</v>
      </c>
      <c r="E10" s="242" t="s">
        <v>145</v>
      </c>
      <c r="F10" s="307">
        <v>1.1860000000000001E-2</v>
      </c>
      <c r="G10" s="27" t="s">
        <v>174</v>
      </c>
      <c r="I10" s="307">
        <f>'Table C'!I10</f>
        <v>1.5689999999999999E-2</v>
      </c>
      <c r="J10" s="27" t="s">
        <v>174</v>
      </c>
      <c r="K10" s="319">
        <f>D10*F10</f>
        <v>35.580000000000005</v>
      </c>
      <c r="L10" s="72">
        <v>2000</v>
      </c>
      <c r="M10" s="72">
        <v>2000</v>
      </c>
      <c r="T10" s="72">
        <v>2000</v>
      </c>
      <c r="U10" s="72">
        <v>2000</v>
      </c>
    </row>
    <row r="11" spans="3:26" x14ac:dyDescent="0.35">
      <c r="C11" s="304" t="s">
        <v>52</v>
      </c>
      <c r="D11" s="305">
        <v>5000</v>
      </c>
      <c r="E11" s="242" t="s">
        <v>145</v>
      </c>
      <c r="F11" s="307">
        <v>1.0999999999999999E-2</v>
      </c>
      <c r="G11" s="27" t="s">
        <v>174</v>
      </c>
      <c r="I11" s="307">
        <f>'Table C'!I11</f>
        <v>1.4549999999999999E-2</v>
      </c>
      <c r="J11" s="27" t="s">
        <v>174</v>
      </c>
      <c r="K11" s="319">
        <f>D11*F11</f>
        <v>55</v>
      </c>
      <c r="L11" s="72">
        <v>4000</v>
      </c>
      <c r="M11" s="72">
        <f>L11-D9</f>
        <v>2000</v>
      </c>
      <c r="N11" s="62">
        <f>L11-M11</f>
        <v>2000</v>
      </c>
      <c r="R11" s="72">
        <f>SUM(M11:Q11)</f>
        <v>4000</v>
      </c>
      <c r="T11" s="72">
        <v>4000</v>
      </c>
      <c r="U11" s="72">
        <v>2000</v>
      </c>
      <c r="V11" s="62">
        <f>T11-U11</f>
        <v>2000</v>
      </c>
      <c r="Z11" s="72">
        <f>SUM(U11:Y11)</f>
        <v>4000</v>
      </c>
    </row>
    <row r="12" spans="3:26" x14ac:dyDescent="0.35">
      <c r="C12" s="304" t="s">
        <v>52</v>
      </c>
      <c r="D12" s="305">
        <v>5000</v>
      </c>
      <c r="E12" s="242" t="s">
        <v>145</v>
      </c>
      <c r="F12" s="307">
        <v>1.0149999999999999E-2</v>
      </c>
      <c r="G12" s="27" t="s">
        <v>174</v>
      </c>
      <c r="I12" s="307">
        <f>'Table C'!I12</f>
        <v>1.342E-2</v>
      </c>
      <c r="J12" s="27" t="s">
        <v>174</v>
      </c>
      <c r="K12" s="319">
        <f>D12*F12</f>
        <v>50.75</v>
      </c>
      <c r="L12" s="72">
        <v>6000</v>
      </c>
      <c r="M12" s="72">
        <v>2000</v>
      </c>
      <c r="N12" s="72">
        <v>3000</v>
      </c>
      <c r="O12" s="72">
        <f>L12-M12-N12</f>
        <v>1000</v>
      </c>
      <c r="R12" s="72">
        <f t="shared" ref="R12:R19" si="0">SUM(M12:Q12)</f>
        <v>6000</v>
      </c>
      <c r="T12" s="72">
        <v>6000</v>
      </c>
      <c r="U12" s="72">
        <v>2000</v>
      </c>
      <c r="V12" s="72">
        <v>3000</v>
      </c>
      <c r="W12" s="72">
        <f>T12-U12-V12</f>
        <v>1000</v>
      </c>
      <c r="Z12" s="72">
        <f t="shared" ref="Z12:Z19" si="1">SUM(U12:Y12)</f>
        <v>6000</v>
      </c>
    </row>
    <row r="13" spans="3:26" x14ac:dyDescent="0.35">
      <c r="C13" s="304" t="s">
        <v>96</v>
      </c>
      <c r="D13" s="305">
        <v>15000</v>
      </c>
      <c r="E13" s="242" t="s">
        <v>145</v>
      </c>
      <c r="F13" s="307">
        <v>9.2899999999999996E-3</v>
      </c>
      <c r="G13" s="27" t="s">
        <v>174</v>
      </c>
      <c r="I13" s="307">
        <f>'Table C'!I13</f>
        <v>1.2280000000000001E-2</v>
      </c>
      <c r="J13" s="27" t="s">
        <v>174</v>
      </c>
      <c r="L13" s="72">
        <v>8000</v>
      </c>
      <c r="M13" s="72">
        <v>2000</v>
      </c>
      <c r="N13" s="72">
        <v>3000</v>
      </c>
      <c r="O13" s="72">
        <f>L13-M8-N8</f>
        <v>3000</v>
      </c>
      <c r="R13" s="72">
        <f t="shared" si="0"/>
        <v>8000</v>
      </c>
      <c r="T13" s="72">
        <v>8000</v>
      </c>
      <c r="U13" s="72">
        <v>2000</v>
      </c>
      <c r="V13" s="72">
        <v>3000</v>
      </c>
      <c r="W13" s="72">
        <f>T13-U8-V8</f>
        <v>3000</v>
      </c>
      <c r="Z13" s="72">
        <f t="shared" si="1"/>
        <v>8000</v>
      </c>
    </row>
    <row r="14" spans="3:26" x14ac:dyDescent="0.35">
      <c r="E14" s="242"/>
      <c r="F14" s="27"/>
      <c r="L14" s="72">
        <v>10000</v>
      </c>
      <c r="M14" s="72">
        <v>2000</v>
      </c>
      <c r="N14" s="72">
        <v>3000</v>
      </c>
      <c r="O14" s="72">
        <f>L14-M8-N8</f>
        <v>5000</v>
      </c>
      <c r="R14" s="72">
        <f t="shared" si="0"/>
        <v>10000</v>
      </c>
      <c r="T14" s="72">
        <v>10000</v>
      </c>
      <c r="U14" s="72">
        <v>2000</v>
      </c>
      <c r="V14" s="72">
        <v>3000</v>
      </c>
      <c r="W14" s="72">
        <f>T14-U8-V8</f>
        <v>5000</v>
      </c>
      <c r="Z14" s="72">
        <f t="shared" si="1"/>
        <v>10000</v>
      </c>
    </row>
    <row r="15" spans="3:26" x14ac:dyDescent="0.35">
      <c r="E15" s="242"/>
      <c r="F15" s="27"/>
      <c r="L15" s="72">
        <v>12000</v>
      </c>
      <c r="M15" s="72">
        <v>2000</v>
      </c>
      <c r="N15" s="72">
        <v>3000</v>
      </c>
      <c r="O15" s="72">
        <v>5000</v>
      </c>
      <c r="P15" s="72">
        <f>L15-M15-N15-O15</f>
        <v>2000</v>
      </c>
      <c r="R15" s="72">
        <f t="shared" si="0"/>
        <v>12000</v>
      </c>
      <c r="T15" s="72">
        <v>12000</v>
      </c>
      <c r="U15" s="72">
        <v>2000</v>
      </c>
      <c r="V15" s="72">
        <v>3000</v>
      </c>
      <c r="W15" s="72">
        <v>5000</v>
      </c>
      <c r="X15" s="72">
        <f>T15-U15-V15-W15</f>
        <v>2000</v>
      </c>
      <c r="Z15" s="72">
        <f t="shared" si="1"/>
        <v>12000</v>
      </c>
    </row>
    <row r="16" spans="3:26" x14ac:dyDescent="0.35">
      <c r="E16" s="242"/>
      <c r="F16" s="27"/>
      <c r="L16" s="72">
        <v>14000</v>
      </c>
      <c r="M16" s="72">
        <v>2000</v>
      </c>
      <c r="N16" s="72">
        <v>3000</v>
      </c>
      <c r="O16" s="72">
        <v>5000</v>
      </c>
      <c r="P16" s="72">
        <f>L16-M16-N16-O16</f>
        <v>4000</v>
      </c>
      <c r="R16" s="72">
        <f t="shared" si="0"/>
        <v>14000</v>
      </c>
      <c r="T16" s="72">
        <v>14000</v>
      </c>
      <c r="U16" s="72">
        <v>2000</v>
      </c>
      <c r="V16" s="72">
        <v>3000</v>
      </c>
      <c r="W16" s="72">
        <v>5000</v>
      </c>
      <c r="X16" s="72">
        <f>T16-U16-V16-W16</f>
        <v>4000</v>
      </c>
      <c r="Z16" s="72">
        <f t="shared" si="1"/>
        <v>14000</v>
      </c>
    </row>
    <row r="17" spans="5:26" x14ac:dyDescent="0.35">
      <c r="E17" s="242"/>
      <c r="F17" s="27"/>
      <c r="L17" s="72">
        <v>16000</v>
      </c>
      <c r="M17" s="72">
        <v>2000</v>
      </c>
      <c r="N17" s="72">
        <v>3000</v>
      </c>
      <c r="O17" s="72">
        <v>5000</v>
      </c>
      <c r="P17" s="72">
        <f>L17-M17-N17-O17</f>
        <v>6000</v>
      </c>
      <c r="R17" s="72">
        <f t="shared" si="0"/>
        <v>16000</v>
      </c>
      <c r="T17" s="72">
        <v>16000</v>
      </c>
      <c r="U17" s="72">
        <v>2000</v>
      </c>
      <c r="V17" s="72">
        <v>3000</v>
      </c>
      <c r="W17" s="72">
        <v>5000</v>
      </c>
      <c r="X17" s="72">
        <f>T17-U17-V17-W17</f>
        <v>6000</v>
      </c>
      <c r="Z17" s="72">
        <f t="shared" si="1"/>
        <v>16000</v>
      </c>
    </row>
    <row r="18" spans="5:26" x14ac:dyDescent="0.35">
      <c r="E18" s="242"/>
      <c r="F18" s="27"/>
      <c r="L18" s="72">
        <v>18000</v>
      </c>
      <c r="M18" s="72">
        <v>2000</v>
      </c>
      <c r="N18" s="72">
        <v>3000</v>
      </c>
      <c r="O18" s="72">
        <v>5000</v>
      </c>
      <c r="P18" s="72">
        <v>5000</v>
      </c>
      <c r="Q18" s="72">
        <f>L18-M18-N18-O18-P18</f>
        <v>3000</v>
      </c>
      <c r="R18" s="72">
        <f t="shared" si="0"/>
        <v>18000</v>
      </c>
      <c r="T18" s="72">
        <v>18000</v>
      </c>
      <c r="U18" s="72">
        <v>2000</v>
      </c>
      <c r="V18" s="72">
        <v>3000</v>
      </c>
      <c r="W18" s="72">
        <v>5000</v>
      </c>
      <c r="X18" s="72">
        <v>5000</v>
      </c>
      <c r="Y18" s="72">
        <f>T18-U18-V18-W18-X18</f>
        <v>3000</v>
      </c>
      <c r="Z18" s="72">
        <f t="shared" si="1"/>
        <v>18000</v>
      </c>
    </row>
    <row r="19" spans="5:26" x14ac:dyDescent="0.35">
      <c r="E19" s="242"/>
      <c r="F19" s="27"/>
      <c r="L19" s="72">
        <v>20000</v>
      </c>
      <c r="M19" s="72">
        <v>2000</v>
      </c>
      <c r="N19" s="72">
        <v>3000</v>
      </c>
      <c r="O19" s="72">
        <v>5000</v>
      </c>
      <c r="P19" s="72">
        <v>5000</v>
      </c>
      <c r="Q19" s="72">
        <f>+L19-M19-N19-O19-P19</f>
        <v>5000</v>
      </c>
      <c r="R19" s="72">
        <f t="shared" si="0"/>
        <v>20000</v>
      </c>
      <c r="T19" s="72">
        <v>20000</v>
      </c>
      <c r="U19" s="72">
        <v>2000</v>
      </c>
      <c r="V19" s="72">
        <v>3000</v>
      </c>
      <c r="W19" s="72">
        <v>5000</v>
      </c>
      <c r="X19" s="72">
        <v>5000</v>
      </c>
      <c r="Y19" s="72">
        <f>+T19-U19-V19-W19-X19</f>
        <v>5000</v>
      </c>
      <c r="Z19" s="72">
        <f t="shared" si="1"/>
        <v>20000</v>
      </c>
    </row>
    <row r="20" spans="5:26" x14ac:dyDescent="0.35">
      <c r="E20" s="242"/>
      <c r="F20" s="27"/>
    </row>
    <row r="21" spans="5:26" x14ac:dyDescent="0.35">
      <c r="E21" s="242"/>
      <c r="F21" s="27"/>
      <c r="L21" s="72">
        <v>2000</v>
      </c>
      <c r="M21" s="60">
        <f>M9</f>
        <v>31.89</v>
      </c>
      <c r="N21" s="60"/>
      <c r="O21" s="60"/>
      <c r="P21" s="60"/>
      <c r="Q21" s="60"/>
      <c r="R21" s="60">
        <f>SUM(M21:Q21)</f>
        <v>31.89</v>
      </c>
      <c r="T21" s="72">
        <v>2000</v>
      </c>
      <c r="U21" s="60">
        <f>U9</f>
        <v>42.37</v>
      </c>
      <c r="V21" s="60"/>
      <c r="W21" s="60"/>
      <c r="X21" s="60"/>
      <c r="Y21" s="60"/>
      <c r="Z21" s="60">
        <f>SUM(U21:Y21)</f>
        <v>42.37</v>
      </c>
    </row>
    <row r="22" spans="5:26" x14ac:dyDescent="0.35">
      <c r="E22" s="242"/>
      <c r="F22" s="27"/>
      <c r="L22" s="72">
        <v>4000</v>
      </c>
      <c r="M22" s="60">
        <f>M21</f>
        <v>31.89</v>
      </c>
      <c r="N22" s="60">
        <f>N11*N$9</f>
        <v>23.720000000000002</v>
      </c>
      <c r="O22" s="60"/>
      <c r="P22" s="60"/>
      <c r="Q22" s="60"/>
      <c r="R22" s="60">
        <f t="shared" ref="R22:R30" si="2">SUM(M22:Q22)</f>
        <v>55.61</v>
      </c>
      <c r="T22" s="72">
        <v>4000</v>
      </c>
      <c r="U22" s="60">
        <f>U21</f>
        <v>42.37</v>
      </c>
      <c r="V22" s="60">
        <f>V11*V$9</f>
        <v>31.38</v>
      </c>
      <c r="W22" s="60"/>
      <c r="X22" s="60"/>
      <c r="Y22" s="60"/>
      <c r="Z22" s="60">
        <f t="shared" ref="Z22:Z30" si="3">SUM(U22:Y22)</f>
        <v>73.75</v>
      </c>
    </row>
    <row r="23" spans="5:26" x14ac:dyDescent="0.35">
      <c r="E23" s="242"/>
      <c r="F23" s="27"/>
      <c r="L23" s="72">
        <v>6000</v>
      </c>
      <c r="M23" s="60">
        <f t="shared" ref="M23:M30" si="4">M22</f>
        <v>31.89</v>
      </c>
      <c r="N23" s="60">
        <f t="shared" ref="N23:O30" si="5">N12*N$9</f>
        <v>35.580000000000005</v>
      </c>
      <c r="O23" s="60">
        <f t="shared" si="5"/>
        <v>11</v>
      </c>
      <c r="P23" s="60"/>
      <c r="Q23" s="60"/>
      <c r="R23" s="60">
        <f t="shared" si="2"/>
        <v>78.47</v>
      </c>
      <c r="T23" s="72">
        <v>6000</v>
      </c>
      <c r="U23" s="60">
        <f t="shared" ref="U23:U30" si="6">U22</f>
        <v>42.37</v>
      </c>
      <c r="V23" s="60">
        <f t="shared" ref="V23:W25" si="7">V12*V$9</f>
        <v>47.07</v>
      </c>
      <c r="W23" s="60">
        <f t="shared" si="7"/>
        <v>14.549999999999999</v>
      </c>
      <c r="X23" s="60"/>
      <c r="Y23" s="60"/>
      <c r="Z23" s="60">
        <f t="shared" si="3"/>
        <v>103.99</v>
      </c>
    </row>
    <row r="24" spans="5:26" x14ac:dyDescent="0.35">
      <c r="E24" s="242"/>
      <c r="F24" s="27"/>
      <c r="L24" s="72">
        <v>8000</v>
      </c>
      <c r="M24" s="60">
        <f t="shared" si="4"/>
        <v>31.89</v>
      </c>
      <c r="N24" s="60">
        <f t="shared" si="5"/>
        <v>35.580000000000005</v>
      </c>
      <c r="O24" s="60">
        <f t="shared" ref="O24" si="8">O13*O$9</f>
        <v>33</v>
      </c>
      <c r="P24" s="60"/>
      <c r="Q24" s="60"/>
      <c r="R24" s="60">
        <f t="shared" si="2"/>
        <v>100.47</v>
      </c>
      <c r="T24" s="72">
        <v>8000</v>
      </c>
      <c r="U24" s="60">
        <f t="shared" si="6"/>
        <v>42.37</v>
      </c>
      <c r="V24" s="60">
        <f t="shared" ref="V24" si="9">V13*V$9</f>
        <v>47.07</v>
      </c>
      <c r="W24" s="60">
        <f t="shared" si="7"/>
        <v>43.65</v>
      </c>
      <c r="X24" s="60"/>
      <c r="Y24" s="60"/>
      <c r="Z24" s="60">
        <f t="shared" si="3"/>
        <v>133.09</v>
      </c>
    </row>
    <row r="25" spans="5:26" x14ac:dyDescent="0.35">
      <c r="E25" s="242"/>
      <c r="F25" s="27"/>
      <c r="L25" s="72">
        <v>10000</v>
      </c>
      <c r="M25" s="60">
        <f t="shared" si="4"/>
        <v>31.89</v>
      </c>
      <c r="N25" s="60">
        <f t="shared" si="5"/>
        <v>35.580000000000005</v>
      </c>
      <c r="O25" s="60">
        <f t="shared" ref="O25" si="10">O14*O$9</f>
        <v>55</v>
      </c>
      <c r="P25" s="60"/>
      <c r="Q25" s="60"/>
      <c r="R25" s="60">
        <f t="shared" si="2"/>
        <v>122.47</v>
      </c>
      <c r="T25" s="72">
        <v>10000</v>
      </c>
      <c r="U25" s="60">
        <f t="shared" si="6"/>
        <v>42.37</v>
      </c>
      <c r="V25" s="60">
        <f t="shared" ref="V25" si="11">V14*V$9</f>
        <v>47.07</v>
      </c>
      <c r="W25" s="60">
        <f t="shared" si="7"/>
        <v>72.75</v>
      </c>
      <c r="X25" s="60"/>
      <c r="Y25" s="60"/>
      <c r="Z25" s="60">
        <f t="shared" si="3"/>
        <v>162.19</v>
      </c>
    </row>
    <row r="26" spans="5:26" x14ac:dyDescent="0.35">
      <c r="E26" s="242"/>
      <c r="F26" s="27"/>
      <c r="L26" s="72">
        <v>12000</v>
      </c>
      <c r="M26" s="60">
        <f t="shared" si="4"/>
        <v>31.89</v>
      </c>
      <c r="N26" s="60">
        <f t="shared" si="5"/>
        <v>35.580000000000005</v>
      </c>
      <c r="O26" s="60">
        <f t="shared" ref="O26:P26" si="12">O15*O$9</f>
        <v>55</v>
      </c>
      <c r="P26" s="60">
        <f t="shared" si="12"/>
        <v>20.299999999999997</v>
      </c>
      <c r="Q26" s="60"/>
      <c r="R26" s="60">
        <f t="shared" si="2"/>
        <v>142.76999999999998</v>
      </c>
      <c r="T26" s="72">
        <v>12000</v>
      </c>
      <c r="U26" s="60">
        <f t="shared" si="6"/>
        <v>42.37</v>
      </c>
      <c r="V26" s="60">
        <f t="shared" ref="V26:X26" si="13">V15*V$9</f>
        <v>47.07</v>
      </c>
      <c r="W26" s="60">
        <f t="shared" si="13"/>
        <v>72.75</v>
      </c>
      <c r="X26" s="60">
        <f t="shared" si="13"/>
        <v>26.84</v>
      </c>
      <c r="Y26" s="60"/>
      <c r="Z26" s="60">
        <f t="shared" si="3"/>
        <v>189.03</v>
      </c>
    </row>
    <row r="27" spans="5:26" x14ac:dyDescent="0.35">
      <c r="E27" s="242"/>
      <c r="F27" s="27"/>
      <c r="L27" s="72">
        <v>14000</v>
      </c>
      <c r="M27" s="60">
        <f t="shared" si="4"/>
        <v>31.89</v>
      </c>
      <c r="N27" s="60">
        <f t="shared" si="5"/>
        <v>35.580000000000005</v>
      </c>
      <c r="O27" s="60">
        <f t="shared" ref="O27:P27" si="14">O16*O$9</f>
        <v>55</v>
      </c>
      <c r="P27" s="60">
        <f t="shared" si="14"/>
        <v>40.599999999999994</v>
      </c>
      <c r="Q27" s="60"/>
      <c r="R27" s="60">
        <f t="shared" si="2"/>
        <v>163.07</v>
      </c>
      <c r="T27" s="72">
        <v>14000</v>
      </c>
      <c r="U27" s="60">
        <f t="shared" si="6"/>
        <v>42.37</v>
      </c>
      <c r="V27" s="60">
        <f t="shared" ref="V27:X27" si="15">V16*V$9</f>
        <v>47.07</v>
      </c>
      <c r="W27" s="60">
        <f t="shared" si="15"/>
        <v>72.75</v>
      </c>
      <c r="X27" s="60">
        <f t="shared" si="15"/>
        <v>53.68</v>
      </c>
      <c r="Y27" s="60"/>
      <c r="Z27" s="60">
        <f t="shared" si="3"/>
        <v>215.87</v>
      </c>
    </row>
    <row r="28" spans="5:26" x14ac:dyDescent="0.35">
      <c r="E28" s="242"/>
      <c r="F28" s="27"/>
      <c r="L28" s="72">
        <v>16000</v>
      </c>
      <c r="M28" s="60">
        <f t="shared" si="4"/>
        <v>31.89</v>
      </c>
      <c r="N28" s="60">
        <f t="shared" si="5"/>
        <v>35.580000000000005</v>
      </c>
      <c r="O28" s="60">
        <f t="shared" ref="O28:P28" si="16">O17*O$9</f>
        <v>55</v>
      </c>
      <c r="P28" s="60">
        <f t="shared" si="16"/>
        <v>60.9</v>
      </c>
      <c r="Q28" s="60"/>
      <c r="R28" s="60">
        <f t="shared" si="2"/>
        <v>183.37</v>
      </c>
      <c r="T28" s="72">
        <v>16000</v>
      </c>
      <c r="U28" s="60">
        <f t="shared" si="6"/>
        <v>42.37</v>
      </c>
      <c r="V28" s="60">
        <f t="shared" ref="V28:X28" si="17">V17*V$9</f>
        <v>47.07</v>
      </c>
      <c r="W28" s="60">
        <f t="shared" si="17"/>
        <v>72.75</v>
      </c>
      <c r="X28" s="60">
        <f t="shared" si="17"/>
        <v>80.52</v>
      </c>
      <c r="Y28" s="60"/>
      <c r="Z28" s="60">
        <f t="shared" si="3"/>
        <v>242.70999999999998</v>
      </c>
    </row>
    <row r="29" spans="5:26" x14ac:dyDescent="0.35">
      <c r="E29" s="242"/>
      <c r="F29" s="27"/>
      <c r="L29" s="72">
        <v>18000</v>
      </c>
      <c r="M29" s="60">
        <f t="shared" si="4"/>
        <v>31.89</v>
      </c>
      <c r="N29" s="60">
        <f t="shared" si="5"/>
        <v>35.580000000000005</v>
      </c>
      <c r="O29" s="60">
        <f t="shared" ref="O29:Q30" si="18">O18*O$9</f>
        <v>55</v>
      </c>
      <c r="P29" s="60">
        <f t="shared" si="18"/>
        <v>50.75</v>
      </c>
      <c r="Q29" s="60">
        <f t="shared" si="18"/>
        <v>27.869999999999997</v>
      </c>
      <c r="R29" s="60">
        <f t="shared" si="2"/>
        <v>201.09</v>
      </c>
      <c r="T29" s="72">
        <v>18000</v>
      </c>
      <c r="U29" s="60">
        <f t="shared" si="6"/>
        <v>42.37</v>
      </c>
      <c r="V29" s="60">
        <f t="shared" ref="V29:Y29" si="19">V18*V$9</f>
        <v>47.07</v>
      </c>
      <c r="W29" s="60">
        <f t="shared" si="19"/>
        <v>72.75</v>
      </c>
      <c r="X29" s="60">
        <f t="shared" si="19"/>
        <v>67.099999999999994</v>
      </c>
      <c r="Y29" s="60">
        <f t="shared" si="19"/>
        <v>36.840000000000003</v>
      </c>
      <c r="Z29" s="60">
        <f t="shared" si="3"/>
        <v>266.13</v>
      </c>
    </row>
    <row r="30" spans="5:26" x14ac:dyDescent="0.35">
      <c r="E30" s="242"/>
      <c r="F30" s="27"/>
      <c r="L30" s="72">
        <v>20000</v>
      </c>
      <c r="M30" s="60">
        <f t="shared" si="4"/>
        <v>31.89</v>
      </c>
      <c r="N30" s="60">
        <f t="shared" si="5"/>
        <v>35.580000000000005</v>
      </c>
      <c r="O30" s="60">
        <f t="shared" ref="O30:P30" si="20">O19*O$9</f>
        <v>55</v>
      </c>
      <c r="P30" s="60">
        <f t="shared" si="20"/>
        <v>50.75</v>
      </c>
      <c r="Q30" s="60">
        <f t="shared" si="18"/>
        <v>46.449999999999996</v>
      </c>
      <c r="R30" s="60">
        <f t="shared" si="2"/>
        <v>219.67</v>
      </c>
      <c r="T30" s="72">
        <v>20000</v>
      </c>
      <c r="U30" s="60">
        <f t="shared" si="6"/>
        <v>42.37</v>
      </c>
      <c r="V30" s="60">
        <f t="shared" ref="V30:Y30" si="21">V19*V$9</f>
        <v>47.07</v>
      </c>
      <c r="W30" s="60">
        <f t="shared" si="21"/>
        <v>72.75</v>
      </c>
      <c r="X30" s="60">
        <f t="shared" si="21"/>
        <v>67.099999999999994</v>
      </c>
      <c r="Y30" s="60">
        <f t="shared" si="21"/>
        <v>61.400000000000006</v>
      </c>
      <c r="Z30" s="60">
        <f t="shared" si="3"/>
        <v>290.69</v>
      </c>
    </row>
    <row r="31" spans="5:26" x14ac:dyDescent="0.35">
      <c r="E31" s="242"/>
      <c r="F31" s="27"/>
    </row>
    <row r="32" spans="5:26" x14ac:dyDescent="0.35">
      <c r="E32" s="242"/>
      <c r="F32" s="27"/>
    </row>
    <row r="33" spans="3:10" x14ac:dyDescent="0.35">
      <c r="E33" s="242"/>
      <c r="F33" s="27"/>
    </row>
    <row r="34" spans="3:10" x14ac:dyDescent="0.35">
      <c r="C34" s="310" t="s">
        <v>164</v>
      </c>
      <c r="E34" s="242"/>
      <c r="F34" s="27"/>
    </row>
    <row r="35" spans="3:10" x14ac:dyDescent="0.35">
      <c r="C35" s="304" t="s">
        <v>51</v>
      </c>
      <c r="D35" s="305">
        <v>5000</v>
      </c>
      <c r="E35" s="242" t="s">
        <v>145</v>
      </c>
      <c r="F35" s="306">
        <v>31.89</v>
      </c>
      <c r="G35" s="27" t="s">
        <v>173</v>
      </c>
      <c r="I35" s="306">
        <f>'Table C'!I16</f>
        <v>89.810000000000016</v>
      </c>
      <c r="J35" s="27" t="s">
        <v>173</v>
      </c>
    </row>
    <row r="36" spans="3:10" x14ac:dyDescent="0.35">
      <c r="C36" s="304" t="s">
        <v>52</v>
      </c>
      <c r="D36" s="305">
        <v>5000</v>
      </c>
      <c r="E36" s="242" t="s">
        <v>145</v>
      </c>
      <c r="F36" s="307">
        <v>1.0999999999999999E-2</v>
      </c>
      <c r="G36" s="27" t="s">
        <v>174</v>
      </c>
      <c r="I36" s="307">
        <f>'Table C'!I17</f>
        <v>1.4549999999999999E-2</v>
      </c>
      <c r="J36" s="27" t="s">
        <v>174</v>
      </c>
    </row>
    <row r="37" spans="3:10" x14ac:dyDescent="0.35">
      <c r="C37" s="304" t="s">
        <v>52</v>
      </c>
      <c r="D37" s="305">
        <v>5000</v>
      </c>
      <c r="E37" s="242" t="s">
        <v>145</v>
      </c>
      <c r="F37" s="307">
        <v>1.0149999999999999E-2</v>
      </c>
      <c r="G37" s="27" t="s">
        <v>174</v>
      </c>
      <c r="I37" s="307">
        <f>'Table C'!I18</f>
        <v>1.342E-2</v>
      </c>
      <c r="J37" s="27" t="s">
        <v>174</v>
      </c>
    </row>
    <row r="38" spans="3:10" x14ac:dyDescent="0.35">
      <c r="C38" s="304" t="s">
        <v>96</v>
      </c>
      <c r="D38" s="305">
        <v>15000</v>
      </c>
      <c r="E38" s="242" t="s">
        <v>145</v>
      </c>
      <c r="F38" s="307">
        <v>9.2899999999999996E-3</v>
      </c>
      <c r="G38" s="27" t="s">
        <v>174</v>
      </c>
      <c r="I38" s="307">
        <f>'Table C'!I19</f>
        <v>1.2280000000000001E-2</v>
      </c>
      <c r="J38" s="27" t="s">
        <v>174</v>
      </c>
    </row>
    <row r="39" spans="3:10" x14ac:dyDescent="0.35">
      <c r="C39" s="304"/>
      <c r="D39" s="305"/>
      <c r="E39" s="242"/>
      <c r="F39" s="309"/>
    </row>
    <row r="40" spans="3:10" x14ac:dyDescent="0.35">
      <c r="C40" s="310" t="s">
        <v>165</v>
      </c>
      <c r="E40" s="242"/>
      <c r="F40" s="27"/>
    </row>
    <row r="41" spans="3:10" x14ac:dyDescent="0.35">
      <c r="C41" s="304" t="s">
        <v>51</v>
      </c>
      <c r="D41" s="305">
        <v>15000</v>
      </c>
      <c r="E41" s="242" t="s">
        <v>145</v>
      </c>
      <c r="F41" s="306">
        <v>171.93</v>
      </c>
      <c r="G41" s="27" t="s">
        <v>173</v>
      </c>
      <c r="I41" s="306">
        <f>'Table C'!I22</f>
        <v>228.28</v>
      </c>
      <c r="J41" s="27" t="s">
        <v>173</v>
      </c>
    </row>
    <row r="42" spans="3:10" x14ac:dyDescent="0.35">
      <c r="C42" s="304" t="s">
        <v>96</v>
      </c>
      <c r="D42" s="305">
        <v>15000</v>
      </c>
      <c r="E42" s="242" t="s">
        <v>145</v>
      </c>
      <c r="F42" s="307">
        <v>9.2899999999999996E-3</v>
      </c>
      <c r="G42" s="27" t="s">
        <v>174</v>
      </c>
      <c r="I42" s="307">
        <f>'Table C'!I23</f>
        <v>1.2280000000000001E-2</v>
      </c>
      <c r="J42" s="27" t="s">
        <v>174</v>
      </c>
    </row>
    <row r="43" spans="3:10" x14ac:dyDescent="0.35">
      <c r="E43" s="242"/>
      <c r="F43" s="307"/>
    </row>
    <row r="44" spans="3:10" x14ac:dyDescent="0.35">
      <c r="C44" s="310" t="s">
        <v>166</v>
      </c>
      <c r="E44" s="242"/>
      <c r="F44" s="307"/>
    </row>
    <row r="45" spans="3:10" x14ac:dyDescent="0.35">
      <c r="C45" s="304" t="s">
        <v>51</v>
      </c>
      <c r="D45" s="305">
        <v>100000</v>
      </c>
      <c r="E45" s="242" t="s">
        <v>145</v>
      </c>
      <c r="F45" s="306">
        <v>963.03</v>
      </c>
      <c r="G45" s="27" t="s">
        <v>173</v>
      </c>
      <c r="I45" s="306">
        <f>'Table C'!I26</f>
        <v>1278.46</v>
      </c>
      <c r="J45" s="27" t="s">
        <v>173</v>
      </c>
    </row>
    <row r="46" spans="3:10" x14ac:dyDescent="0.35">
      <c r="C46" s="304" t="s">
        <v>96</v>
      </c>
      <c r="D46" s="305">
        <v>100000</v>
      </c>
      <c r="E46" s="242" t="s">
        <v>145</v>
      </c>
      <c r="F46" s="307">
        <v>9.2899999999999996E-3</v>
      </c>
      <c r="G46" s="27" t="s">
        <v>174</v>
      </c>
      <c r="I46" s="307">
        <f>'Table C'!I27</f>
        <v>1.2280000000000001E-2</v>
      </c>
      <c r="J46" s="27" t="s">
        <v>174</v>
      </c>
    </row>
    <row r="47" spans="3:10" x14ac:dyDescent="0.35">
      <c r="F47" s="307"/>
    </row>
    <row r="48" spans="3:10" x14ac:dyDescent="0.35">
      <c r="C48" s="310" t="s">
        <v>175</v>
      </c>
      <c r="F48" s="307"/>
    </row>
    <row r="49" spans="3:10" x14ac:dyDescent="0.35">
      <c r="C49" s="304"/>
      <c r="D49" s="305"/>
      <c r="E49" s="305"/>
      <c r="F49" s="307">
        <v>4.5199999999999997E-3</v>
      </c>
      <c r="G49" s="27" t="s">
        <v>174</v>
      </c>
      <c r="I49" s="307">
        <f>'Table C'!I30</f>
        <v>6.0000000000000001E-3</v>
      </c>
      <c r="J49" s="27" t="s">
        <v>174</v>
      </c>
    </row>
    <row r="50" spans="3:10" x14ac:dyDescent="0.35">
      <c r="C50" s="313"/>
      <c r="D50" s="313"/>
      <c r="E50" s="313"/>
      <c r="F50" s="314"/>
      <c r="G50" s="313"/>
      <c r="H50" s="313"/>
      <c r="I50" s="314"/>
      <c r="J50" s="313"/>
    </row>
  </sheetData>
  <mergeCells count="4">
    <mergeCell ref="F8:G8"/>
    <mergeCell ref="I8:J8"/>
    <mergeCell ref="L7:R7"/>
    <mergeCell ref="T7:Z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C1B50-32E4-4D60-8175-C66EF35998E9}">
  <dimension ref="C3:X50"/>
  <sheetViews>
    <sheetView topLeftCell="G1" workbookViewId="0">
      <selection activeCell="Q11" sqref="Q11"/>
    </sheetView>
  </sheetViews>
  <sheetFormatPr defaultRowHeight="15.5" x14ac:dyDescent="0.35"/>
  <cols>
    <col min="3" max="3" width="4.765625" style="27" customWidth="1"/>
    <col min="4" max="5" width="10.765625" style="27" customWidth="1"/>
    <col min="6" max="6" width="11.765625" style="302" customWidth="1"/>
    <col min="7" max="7" width="10.765625" style="27" customWidth="1"/>
    <col min="8" max="8" width="1.23046875" style="27" customWidth="1"/>
    <col min="9" max="9" width="10.765625" style="302" customWidth="1"/>
    <col min="10" max="10" width="10.765625" style="27" customWidth="1"/>
    <col min="11" max="11" width="8.84375" style="319"/>
    <col min="12" max="12" width="11.4609375" style="72" bestFit="1" customWidth="1"/>
    <col min="13" max="14" width="10.4609375" style="72" bestFit="1" customWidth="1"/>
    <col min="15" max="16" width="11.4609375" style="72" bestFit="1" customWidth="1"/>
    <col min="19" max="19" width="11.4609375" style="72" bestFit="1" customWidth="1"/>
    <col min="20" max="21" width="10.4609375" style="72" bestFit="1" customWidth="1"/>
    <col min="22" max="23" width="11.4609375" style="72" bestFit="1" customWidth="1"/>
  </cols>
  <sheetData>
    <row r="3" spans="3:24" x14ac:dyDescent="0.35">
      <c r="C3"/>
      <c r="D3"/>
      <c r="E3"/>
      <c r="F3"/>
      <c r="G3"/>
      <c r="H3"/>
      <c r="I3"/>
      <c r="J3"/>
    </row>
    <row r="4" spans="3:24" x14ac:dyDescent="0.35">
      <c r="C4"/>
      <c r="D4"/>
      <c r="E4"/>
      <c r="F4"/>
      <c r="G4"/>
      <c r="H4"/>
      <c r="I4"/>
      <c r="J4"/>
    </row>
    <row r="5" spans="3:24" x14ac:dyDescent="0.35">
      <c r="C5"/>
      <c r="D5"/>
      <c r="E5"/>
      <c r="F5"/>
      <c r="G5"/>
      <c r="H5"/>
      <c r="I5"/>
      <c r="J5"/>
    </row>
    <row r="7" spans="3:24" x14ac:dyDescent="0.35">
      <c r="C7" s="301"/>
      <c r="I7" s="303"/>
      <c r="L7" s="469" t="s">
        <v>352</v>
      </c>
      <c r="M7" s="469"/>
      <c r="N7" s="469"/>
      <c r="O7" s="469"/>
      <c r="P7" s="469"/>
      <c r="Q7" s="469"/>
      <c r="S7" s="469" t="s">
        <v>352</v>
      </c>
      <c r="T7" s="469"/>
      <c r="U7" s="469"/>
      <c r="V7" s="469"/>
      <c r="W7" s="469"/>
      <c r="X7" s="469"/>
    </row>
    <row r="8" spans="3:24" x14ac:dyDescent="0.35">
      <c r="C8" s="310" t="s">
        <v>295</v>
      </c>
      <c r="F8" s="462" t="s">
        <v>342</v>
      </c>
      <c r="G8" s="462"/>
      <c r="I8" s="462" t="s">
        <v>341</v>
      </c>
      <c r="J8" s="462"/>
      <c r="M8" s="320">
        <f>D9</f>
        <v>5000</v>
      </c>
      <c r="N8" s="320">
        <v>5000</v>
      </c>
      <c r="O8" s="320">
        <v>5000</v>
      </c>
      <c r="P8" s="320">
        <v>15000</v>
      </c>
      <c r="T8" s="320">
        <v>2000</v>
      </c>
      <c r="U8" s="320">
        <v>5000</v>
      </c>
      <c r="V8" s="320">
        <v>5000</v>
      </c>
      <c r="W8" s="320">
        <v>15000</v>
      </c>
    </row>
    <row r="9" spans="3:24" x14ac:dyDescent="0.35">
      <c r="C9" s="304" t="s">
        <v>51</v>
      </c>
      <c r="D9" s="305">
        <v>5000</v>
      </c>
      <c r="E9" s="242" t="s">
        <v>145</v>
      </c>
      <c r="F9" s="306">
        <f>'Rates Comp'!F19</f>
        <v>67.62</v>
      </c>
      <c r="G9" s="27" t="s">
        <v>173</v>
      </c>
      <c r="I9" s="306">
        <f>'Rates Comp'!L19</f>
        <v>89.810000000000016</v>
      </c>
      <c r="J9" s="27" t="s">
        <v>173</v>
      </c>
      <c r="M9" s="306">
        <f>F9</f>
        <v>67.62</v>
      </c>
      <c r="N9" s="307">
        <f>F10</f>
        <v>1.0999999999999999E-2</v>
      </c>
      <c r="O9" s="307">
        <f>F11</f>
        <v>1.0149999999999999E-2</v>
      </c>
      <c r="P9" s="307">
        <f>F12</f>
        <v>9.2899999999999996E-3</v>
      </c>
      <c r="T9" s="60">
        <f>I9</f>
        <v>89.810000000000016</v>
      </c>
      <c r="U9" s="321">
        <f>I10</f>
        <v>1.5689999999999999E-2</v>
      </c>
      <c r="V9" s="321">
        <f>I11</f>
        <v>1.4549999999999999E-2</v>
      </c>
      <c r="W9" s="321">
        <f>I12</f>
        <v>1.342E-2</v>
      </c>
    </row>
    <row r="10" spans="3:24" x14ac:dyDescent="0.35">
      <c r="C10" s="304" t="s">
        <v>52</v>
      </c>
      <c r="D10" s="305">
        <v>5000</v>
      </c>
      <c r="E10" s="242" t="s">
        <v>145</v>
      </c>
      <c r="F10" s="307">
        <f>'Rates Comp'!F20</f>
        <v>1.0999999999999999E-2</v>
      </c>
      <c r="G10" s="27" t="s">
        <v>174</v>
      </c>
      <c r="I10" s="307">
        <f>'Rates Comp'!L13</f>
        <v>1.5689999999999999E-2</v>
      </c>
      <c r="J10" s="27" t="s">
        <v>174</v>
      </c>
      <c r="L10" s="72">
        <v>2000</v>
      </c>
      <c r="M10" s="72">
        <v>2000</v>
      </c>
      <c r="S10" s="72">
        <v>2000</v>
      </c>
      <c r="T10" s="72">
        <f>M10</f>
        <v>2000</v>
      </c>
    </row>
    <row r="11" spans="3:24" x14ac:dyDescent="0.35">
      <c r="C11" s="304" t="s">
        <v>52</v>
      </c>
      <c r="D11" s="305">
        <v>5000</v>
      </c>
      <c r="E11" s="242" t="s">
        <v>145</v>
      </c>
      <c r="F11" s="307">
        <f>'Rates Comp'!F21</f>
        <v>1.0149999999999999E-2</v>
      </c>
      <c r="G11" s="27" t="s">
        <v>174</v>
      </c>
      <c r="I11" s="307">
        <f>'Rates Comp'!L14</f>
        <v>1.4549999999999999E-2</v>
      </c>
      <c r="J11" s="27" t="s">
        <v>174</v>
      </c>
      <c r="L11" s="72">
        <v>4000</v>
      </c>
      <c r="M11" s="72">
        <v>3000</v>
      </c>
      <c r="N11" s="72">
        <f>L11-M11</f>
        <v>1000</v>
      </c>
      <c r="Q11" s="72">
        <f t="shared" ref="Q11:Q19" si="0">SUM(M11:P11)</f>
        <v>4000</v>
      </c>
      <c r="S11" s="72">
        <v>4000</v>
      </c>
      <c r="T11" s="72">
        <f t="shared" ref="T11:T19" si="1">M11</f>
        <v>3000</v>
      </c>
      <c r="U11" s="72">
        <f>N11</f>
        <v>1000</v>
      </c>
      <c r="X11" s="72">
        <f t="shared" ref="X11:X19" si="2">SUM(T11:W11)</f>
        <v>4000</v>
      </c>
    </row>
    <row r="12" spans="3:24" x14ac:dyDescent="0.35">
      <c r="C12" s="304" t="s">
        <v>96</v>
      </c>
      <c r="D12" s="305">
        <v>15000</v>
      </c>
      <c r="E12" s="242" t="s">
        <v>145</v>
      </c>
      <c r="F12" s="307">
        <f>'Rates Comp'!F22</f>
        <v>9.2899999999999996E-3</v>
      </c>
      <c r="G12" s="27" t="s">
        <v>174</v>
      </c>
      <c r="I12" s="307">
        <f>'Rates Comp'!L15</f>
        <v>1.342E-2</v>
      </c>
      <c r="J12" s="27" t="s">
        <v>174</v>
      </c>
      <c r="L12" s="72">
        <v>6000</v>
      </c>
      <c r="M12" s="72">
        <v>5000</v>
      </c>
      <c r="N12" s="72">
        <v>1000</v>
      </c>
      <c r="Q12" s="72">
        <f t="shared" si="0"/>
        <v>6000</v>
      </c>
      <c r="S12" s="72">
        <v>6000</v>
      </c>
      <c r="T12" s="72">
        <f t="shared" si="1"/>
        <v>5000</v>
      </c>
      <c r="U12" s="72">
        <f t="shared" ref="U12:W19" si="3">N12</f>
        <v>1000</v>
      </c>
      <c r="X12" s="72">
        <f t="shared" si="2"/>
        <v>6000</v>
      </c>
    </row>
    <row r="13" spans="3:24" x14ac:dyDescent="0.35">
      <c r="L13" s="72">
        <v>8000</v>
      </c>
      <c r="M13" s="72">
        <v>5000</v>
      </c>
      <c r="N13" s="72">
        <v>3000</v>
      </c>
      <c r="Q13" s="72">
        <f t="shared" si="0"/>
        <v>8000</v>
      </c>
      <c r="S13" s="72">
        <v>8000</v>
      </c>
      <c r="T13" s="72">
        <f t="shared" si="1"/>
        <v>5000</v>
      </c>
      <c r="U13" s="72">
        <f t="shared" si="3"/>
        <v>3000</v>
      </c>
      <c r="X13" s="72">
        <f t="shared" si="2"/>
        <v>8000</v>
      </c>
    </row>
    <row r="14" spans="3:24" x14ac:dyDescent="0.35">
      <c r="E14" s="242"/>
      <c r="F14" s="27"/>
      <c r="L14" s="72">
        <v>10000</v>
      </c>
      <c r="M14" s="72">
        <v>5000</v>
      </c>
      <c r="N14" s="72">
        <v>5000</v>
      </c>
      <c r="Q14" s="72">
        <f t="shared" si="0"/>
        <v>10000</v>
      </c>
      <c r="S14" s="72">
        <v>10000</v>
      </c>
      <c r="T14" s="72">
        <f t="shared" si="1"/>
        <v>5000</v>
      </c>
      <c r="U14" s="72">
        <f t="shared" si="3"/>
        <v>5000</v>
      </c>
      <c r="X14" s="72">
        <f t="shared" si="2"/>
        <v>10000</v>
      </c>
    </row>
    <row r="15" spans="3:24" x14ac:dyDescent="0.35">
      <c r="E15" s="242"/>
      <c r="F15" s="27"/>
      <c r="L15" s="72">
        <v>12000</v>
      </c>
      <c r="M15" s="72">
        <v>5000</v>
      </c>
      <c r="N15" s="72">
        <v>5000</v>
      </c>
      <c r="O15" s="72">
        <f>L15-M15-N15</f>
        <v>2000</v>
      </c>
      <c r="Q15" s="72">
        <f t="shared" si="0"/>
        <v>12000</v>
      </c>
      <c r="S15" s="72">
        <v>12000</v>
      </c>
      <c r="T15" s="72">
        <f t="shared" si="1"/>
        <v>5000</v>
      </c>
      <c r="U15" s="72">
        <f t="shared" si="3"/>
        <v>5000</v>
      </c>
      <c r="V15" s="72">
        <f t="shared" si="3"/>
        <v>2000</v>
      </c>
      <c r="X15" s="72">
        <f t="shared" si="2"/>
        <v>12000</v>
      </c>
    </row>
    <row r="16" spans="3:24" x14ac:dyDescent="0.35">
      <c r="E16" s="242"/>
      <c r="F16" s="27"/>
      <c r="L16" s="72">
        <v>14000</v>
      </c>
      <c r="M16" s="72">
        <v>5000</v>
      </c>
      <c r="N16" s="72">
        <v>5000</v>
      </c>
      <c r="O16" s="72">
        <f>L16-M16-N16</f>
        <v>4000</v>
      </c>
      <c r="Q16" s="72">
        <f t="shared" si="0"/>
        <v>14000</v>
      </c>
      <c r="S16" s="72">
        <v>14000</v>
      </c>
      <c r="T16" s="72">
        <f t="shared" si="1"/>
        <v>5000</v>
      </c>
      <c r="U16" s="72">
        <f t="shared" si="3"/>
        <v>5000</v>
      </c>
      <c r="V16" s="72">
        <f t="shared" si="3"/>
        <v>4000</v>
      </c>
      <c r="X16" s="72">
        <f t="shared" si="2"/>
        <v>14000</v>
      </c>
    </row>
    <row r="17" spans="5:24" x14ac:dyDescent="0.35">
      <c r="E17" s="242"/>
      <c r="F17" s="27"/>
      <c r="L17" s="72">
        <v>16000</v>
      </c>
      <c r="M17" s="72">
        <v>5000</v>
      </c>
      <c r="N17" s="72">
        <v>5000</v>
      </c>
      <c r="O17" s="72">
        <v>5000</v>
      </c>
      <c r="P17" s="72">
        <f>L17-M17-N17-O17</f>
        <v>1000</v>
      </c>
      <c r="Q17" s="72">
        <f t="shared" si="0"/>
        <v>16000</v>
      </c>
      <c r="S17" s="72">
        <v>16000</v>
      </c>
      <c r="T17" s="72">
        <f t="shared" si="1"/>
        <v>5000</v>
      </c>
      <c r="U17" s="72">
        <f t="shared" si="3"/>
        <v>5000</v>
      </c>
      <c r="V17" s="72">
        <f t="shared" si="3"/>
        <v>5000</v>
      </c>
      <c r="W17" s="72">
        <f t="shared" si="3"/>
        <v>1000</v>
      </c>
      <c r="X17" s="72">
        <f t="shared" si="2"/>
        <v>16000</v>
      </c>
    </row>
    <row r="18" spans="5:24" x14ac:dyDescent="0.35">
      <c r="E18" s="242"/>
      <c r="F18" s="27"/>
      <c r="L18" s="72">
        <v>18000</v>
      </c>
      <c r="M18" s="72">
        <v>5000</v>
      </c>
      <c r="N18" s="72">
        <v>5000</v>
      </c>
      <c r="O18" s="72">
        <v>5000</v>
      </c>
      <c r="P18" s="72">
        <f t="shared" ref="P18:P19" si="4">L18-M18-N18-O18</f>
        <v>3000</v>
      </c>
      <c r="Q18" s="72">
        <f t="shared" si="0"/>
        <v>18000</v>
      </c>
      <c r="S18" s="72">
        <v>18000</v>
      </c>
      <c r="T18" s="72">
        <f t="shared" si="1"/>
        <v>5000</v>
      </c>
      <c r="U18" s="72">
        <f t="shared" si="3"/>
        <v>5000</v>
      </c>
      <c r="V18" s="72">
        <f t="shared" si="3"/>
        <v>5000</v>
      </c>
      <c r="W18" s="72">
        <f t="shared" si="3"/>
        <v>3000</v>
      </c>
      <c r="X18" s="72">
        <f t="shared" si="2"/>
        <v>18000</v>
      </c>
    </row>
    <row r="19" spans="5:24" x14ac:dyDescent="0.35">
      <c r="E19" s="242"/>
      <c r="F19" s="27"/>
      <c r="L19" s="72">
        <v>20000</v>
      </c>
      <c r="M19" s="72">
        <v>5000</v>
      </c>
      <c r="N19" s="72">
        <v>5000</v>
      </c>
      <c r="O19" s="72">
        <v>5000</v>
      </c>
      <c r="P19" s="72">
        <f t="shared" si="4"/>
        <v>5000</v>
      </c>
      <c r="Q19" s="72">
        <f t="shared" si="0"/>
        <v>20000</v>
      </c>
      <c r="S19" s="72">
        <v>20000</v>
      </c>
      <c r="T19" s="72">
        <f t="shared" si="1"/>
        <v>5000</v>
      </c>
      <c r="U19" s="72">
        <f t="shared" si="3"/>
        <v>5000</v>
      </c>
      <c r="V19" s="72">
        <f t="shared" si="3"/>
        <v>5000</v>
      </c>
      <c r="W19" s="72">
        <f t="shared" si="3"/>
        <v>5000</v>
      </c>
      <c r="X19" s="72">
        <f t="shared" si="2"/>
        <v>20000</v>
      </c>
    </row>
    <row r="20" spans="5:24" x14ac:dyDescent="0.35">
      <c r="E20" s="242"/>
      <c r="F20" s="27"/>
    </row>
    <row r="21" spans="5:24" x14ac:dyDescent="0.35">
      <c r="E21" s="242"/>
      <c r="F21" s="27"/>
      <c r="L21" s="72">
        <v>2000</v>
      </c>
      <c r="M21" s="60">
        <f>M9</f>
        <v>67.62</v>
      </c>
      <c r="N21" s="60"/>
      <c r="O21" s="60"/>
      <c r="P21" s="60"/>
      <c r="Q21" s="60">
        <f t="shared" ref="Q21:Q30" si="5">SUM(M21:P21)</f>
        <v>67.62</v>
      </c>
      <c r="S21" s="72">
        <v>2000</v>
      </c>
      <c r="T21" s="60">
        <f>T9</f>
        <v>89.810000000000016</v>
      </c>
      <c r="U21" s="60"/>
      <c r="V21" s="60"/>
      <c r="W21" s="60"/>
      <c r="X21" s="60">
        <f t="shared" ref="X21:X30" si="6">SUM(T21:W21)</f>
        <v>89.810000000000016</v>
      </c>
    </row>
    <row r="22" spans="5:24" x14ac:dyDescent="0.35">
      <c r="E22" s="242"/>
      <c r="F22" s="27"/>
      <c r="L22" s="72">
        <v>4000</v>
      </c>
      <c r="M22" s="60">
        <f>M21</f>
        <v>67.62</v>
      </c>
      <c r="N22" s="60"/>
      <c r="O22" s="60"/>
      <c r="P22" s="60"/>
      <c r="Q22" s="60">
        <f t="shared" si="5"/>
        <v>67.62</v>
      </c>
      <c r="S22" s="72">
        <v>4000</v>
      </c>
      <c r="T22" s="60">
        <f>T21</f>
        <v>89.810000000000016</v>
      </c>
      <c r="U22" s="60"/>
      <c r="V22" s="60"/>
      <c r="W22" s="60"/>
      <c r="X22" s="60">
        <f t="shared" si="6"/>
        <v>89.810000000000016</v>
      </c>
    </row>
    <row r="23" spans="5:24" x14ac:dyDescent="0.35">
      <c r="E23" s="242"/>
      <c r="F23" s="27"/>
      <c r="L23" s="72">
        <v>6000</v>
      </c>
      <c r="M23" s="60">
        <f t="shared" ref="M23:M30" si="7">M22</f>
        <v>67.62</v>
      </c>
      <c r="N23" s="60">
        <f t="shared" ref="N23:P30" si="8">N12*N$9</f>
        <v>11</v>
      </c>
      <c r="O23" s="60"/>
      <c r="P23" s="60"/>
      <c r="Q23" s="60">
        <f t="shared" si="5"/>
        <v>78.62</v>
      </c>
      <c r="S23" s="72">
        <v>6000</v>
      </c>
      <c r="T23" s="60">
        <f t="shared" ref="T23:T30" si="9">T22</f>
        <v>89.810000000000016</v>
      </c>
      <c r="U23" s="60">
        <f t="shared" ref="U23:W30" si="10">U12*U$9</f>
        <v>15.69</v>
      </c>
      <c r="V23" s="60"/>
      <c r="W23" s="60"/>
      <c r="X23" s="60">
        <f t="shared" si="6"/>
        <v>105.50000000000001</v>
      </c>
    </row>
    <row r="24" spans="5:24" x14ac:dyDescent="0.35">
      <c r="E24" s="242"/>
      <c r="F24" s="27"/>
      <c r="L24" s="72">
        <v>8000</v>
      </c>
      <c r="M24" s="60">
        <f t="shared" si="7"/>
        <v>67.62</v>
      </c>
      <c r="N24" s="60">
        <f t="shared" si="8"/>
        <v>33</v>
      </c>
      <c r="O24" s="60"/>
      <c r="P24" s="60"/>
      <c r="Q24" s="60">
        <f t="shared" si="5"/>
        <v>100.62</v>
      </c>
      <c r="S24" s="72">
        <v>8000</v>
      </c>
      <c r="T24" s="60">
        <f t="shared" si="9"/>
        <v>89.810000000000016</v>
      </c>
      <c r="U24" s="60">
        <f t="shared" si="10"/>
        <v>47.07</v>
      </c>
      <c r="V24" s="60"/>
      <c r="W24" s="60"/>
      <c r="X24" s="60">
        <f t="shared" si="6"/>
        <v>136.88000000000002</v>
      </c>
    </row>
    <row r="25" spans="5:24" x14ac:dyDescent="0.35">
      <c r="E25" s="242"/>
      <c r="F25" s="27"/>
      <c r="L25" s="72">
        <v>10000</v>
      </c>
      <c r="M25" s="60">
        <f t="shared" si="7"/>
        <v>67.62</v>
      </c>
      <c r="N25" s="60">
        <f t="shared" si="8"/>
        <v>55</v>
      </c>
      <c r="O25" s="60"/>
      <c r="P25" s="60"/>
      <c r="Q25" s="60">
        <f t="shared" si="5"/>
        <v>122.62</v>
      </c>
      <c r="S25" s="72">
        <v>10000</v>
      </c>
      <c r="T25" s="60">
        <f t="shared" si="9"/>
        <v>89.810000000000016</v>
      </c>
      <c r="U25" s="60">
        <f t="shared" si="10"/>
        <v>78.449999999999989</v>
      </c>
      <c r="V25" s="60"/>
      <c r="W25" s="60"/>
      <c r="X25" s="60">
        <f t="shared" si="6"/>
        <v>168.26</v>
      </c>
    </row>
    <row r="26" spans="5:24" x14ac:dyDescent="0.35">
      <c r="E26" s="242"/>
      <c r="F26" s="27"/>
      <c r="L26" s="72">
        <v>12000</v>
      </c>
      <c r="M26" s="60">
        <f t="shared" si="7"/>
        <v>67.62</v>
      </c>
      <c r="N26" s="60">
        <f t="shared" si="8"/>
        <v>55</v>
      </c>
      <c r="O26" s="60">
        <f t="shared" si="8"/>
        <v>20.299999999999997</v>
      </c>
      <c r="P26" s="60"/>
      <c r="Q26" s="60">
        <f t="shared" si="5"/>
        <v>142.92000000000002</v>
      </c>
      <c r="S26" s="72">
        <v>12000</v>
      </c>
      <c r="T26" s="60">
        <f t="shared" si="9"/>
        <v>89.810000000000016</v>
      </c>
      <c r="U26" s="60">
        <f t="shared" si="10"/>
        <v>78.449999999999989</v>
      </c>
      <c r="V26" s="60">
        <f t="shared" si="10"/>
        <v>29.099999999999998</v>
      </c>
      <c r="W26" s="60"/>
      <c r="X26" s="60">
        <f t="shared" si="6"/>
        <v>197.35999999999999</v>
      </c>
    </row>
    <row r="27" spans="5:24" x14ac:dyDescent="0.35">
      <c r="E27" s="242"/>
      <c r="F27" s="27"/>
      <c r="L27" s="72">
        <v>14000</v>
      </c>
      <c r="M27" s="60">
        <f t="shared" si="7"/>
        <v>67.62</v>
      </c>
      <c r="N27" s="60">
        <f t="shared" si="8"/>
        <v>55</v>
      </c>
      <c r="O27" s="60">
        <f t="shared" si="8"/>
        <v>40.599999999999994</v>
      </c>
      <c r="P27" s="60"/>
      <c r="Q27" s="60">
        <f t="shared" si="5"/>
        <v>163.22</v>
      </c>
      <c r="S27" s="72">
        <v>14000</v>
      </c>
      <c r="T27" s="60">
        <f t="shared" si="9"/>
        <v>89.810000000000016</v>
      </c>
      <c r="U27" s="60">
        <f t="shared" si="10"/>
        <v>78.449999999999989</v>
      </c>
      <c r="V27" s="60">
        <f t="shared" si="10"/>
        <v>58.199999999999996</v>
      </c>
      <c r="W27" s="60"/>
      <c r="X27" s="60">
        <f t="shared" si="6"/>
        <v>226.45999999999998</v>
      </c>
    </row>
    <row r="28" spans="5:24" x14ac:dyDescent="0.35">
      <c r="E28" s="242"/>
      <c r="F28" s="27"/>
      <c r="L28" s="72">
        <v>16000</v>
      </c>
      <c r="M28" s="60">
        <f t="shared" si="7"/>
        <v>67.62</v>
      </c>
      <c r="N28" s="60">
        <f t="shared" si="8"/>
        <v>55</v>
      </c>
      <c r="O28" s="60">
        <f t="shared" si="8"/>
        <v>50.75</v>
      </c>
      <c r="P28" s="60"/>
      <c r="Q28" s="60">
        <f t="shared" si="5"/>
        <v>173.37</v>
      </c>
      <c r="S28" s="72">
        <v>16000</v>
      </c>
      <c r="T28" s="60">
        <f t="shared" si="9"/>
        <v>89.810000000000016</v>
      </c>
      <c r="U28" s="60">
        <f t="shared" si="10"/>
        <v>78.449999999999989</v>
      </c>
      <c r="V28" s="60">
        <f t="shared" si="10"/>
        <v>72.75</v>
      </c>
      <c r="W28" s="60"/>
      <c r="X28" s="60">
        <f t="shared" si="6"/>
        <v>241.01</v>
      </c>
    </row>
    <row r="29" spans="5:24" x14ac:dyDescent="0.35">
      <c r="E29" s="242"/>
      <c r="F29" s="27"/>
      <c r="L29" s="72">
        <v>18000</v>
      </c>
      <c r="M29" s="60">
        <f t="shared" si="7"/>
        <v>67.62</v>
      </c>
      <c r="N29" s="60">
        <f t="shared" si="8"/>
        <v>55</v>
      </c>
      <c r="O29" s="60">
        <f t="shared" si="8"/>
        <v>50.75</v>
      </c>
      <c r="P29" s="60">
        <f t="shared" si="8"/>
        <v>27.869999999999997</v>
      </c>
      <c r="Q29" s="60">
        <f t="shared" si="5"/>
        <v>201.24</v>
      </c>
      <c r="S29" s="72">
        <v>18000</v>
      </c>
      <c r="T29" s="60">
        <f t="shared" si="9"/>
        <v>89.810000000000016</v>
      </c>
      <c r="U29" s="60">
        <f t="shared" si="10"/>
        <v>78.449999999999989</v>
      </c>
      <c r="V29" s="60">
        <f t="shared" si="10"/>
        <v>72.75</v>
      </c>
      <c r="W29" s="60">
        <f t="shared" si="10"/>
        <v>40.26</v>
      </c>
      <c r="X29" s="60">
        <f t="shared" si="6"/>
        <v>281.27</v>
      </c>
    </row>
    <row r="30" spans="5:24" x14ac:dyDescent="0.35">
      <c r="E30" s="242"/>
      <c r="F30" s="27"/>
      <c r="L30" s="72">
        <v>20000</v>
      </c>
      <c r="M30" s="60">
        <f t="shared" si="7"/>
        <v>67.62</v>
      </c>
      <c r="N30" s="60">
        <f t="shared" si="8"/>
        <v>55</v>
      </c>
      <c r="O30" s="60">
        <f t="shared" si="8"/>
        <v>50.75</v>
      </c>
      <c r="P30" s="60">
        <f t="shared" si="8"/>
        <v>46.449999999999996</v>
      </c>
      <c r="Q30" s="60">
        <f t="shared" si="5"/>
        <v>219.82</v>
      </c>
      <c r="S30" s="72">
        <v>20000</v>
      </c>
      <c r="T30" s="60">
        <f t="shared" si="9"/>
        <v>89.810000000000016</v>
      </c>
      <c r="U30" s="60">
        <f t="shared" si="10"/>
        <v>78.449999999999989</v>
      </c>
      <c r="V30" s="60">
        <f t="shared" si="10"/>
        <v>72.75</v>
      </c>
      <c r="W30" s="60">
        <f t="shared" si="10"/>
        <v>67.099999999999994</v>
      </c>
      <c r="X30" s="60">
        <f t="shared" si="6"/>
        <v>308.11</v>
      </c>
    </row>
    <row r="31" spans="5:24" x14ac:dyDescent="0.35">
      <c r="E31" s="242"/>
      <c r="F31" s="27"/>
    </row>
    <row r="32" spans="5:24" x14ac:dyDescent="0.35">
      <c r="E32" s="242"/>
      <c r="F32" s="27"/>
    </row>
    <row r="33" spans="3:10" x14ac:dyDescent="0.35">
      <c r="E33" s="242"/>
      <c r="F33" s="27"/>
    </row>
    <row r="34" spans="3:10" x14ac:dyDescent="0.35">
      <c r="C34" s="310" t="s">
        <v>164</v>
      </c>
      <c r="E34" s="242"/>
      <c r="F34" s="27"/>
    </row>
    <row r="35" spans="3:10" x14ac:dyDescent="0.35">
      <c r="C35" s="304" t="s">
        <v>51</v>
      </c>
      <c r="D35" s="305">
        <v>5000</v>
      </c>
      <c r="E35" s="242" t="s">
        <v>145</v>
      </c>
      <c r="F35" s="306">
        <v>31.89</v>
      </c>
      <c r="G35" s="27" t="s">
        <v>173</v>
      </c>
      <c r="I35" s="306">
        <f>'Table C'!I16</f>
        <v>89.810000000000016</v>
      </c>
      <c r="J35" s="27" t="s">
        <v>173</v>
      </c>
    </row>
    <row r="36" spans="3:10" x14ac:dyDescent="0.35">
      <c r="C36" s="304" t="s">
        <v>52</v>
      </c>
      <c r="D36" s="305">
        <v>5000</v>
      </c>
      <c r="E36" s="242" t="s">
        <v>145</v>
      </c>
      <c r="F36" s="307">
        <v>1.0999999999999999E-2</v>
      </c>
      <c r="G36" s="27" t="s">
        <v>174</v>
      </c>
      <c r="I36" s="307">
        <f>'Table C'!I17</f>
        <v>1.4549999999999999E-2</v>
      </c>
      <c r="J36" s="27" t="s">
        <v>174</v>
      </c>
    </row>
    <row r="37" spans="3:10" x14ac:dyDescent="0.35">
      <c r="C37" s="304" t="s">
        <v>52</v>
      </c>
      <c r="D37" s="305">
        <v>5000</v>
      </c>
      <c r="E37" s="242" t="s">
        <v>145</v>
      </c>
      <c r="F37" s="307">
        <v>1.0149999999999999E-2</v>
      </c>
      <c r="G37" s="27" t="s">
        <v>174</v>
      </c>
      <c r="I37" s="307">
        <f>'Table C'!I18</f>
        <v>1.342E-2</v>
      </c>
      <c r="J37" s="27" t="s">
        <v>174</v>
      </c>
    </row>
    <row r="38" spans="3:10" x14ac:dyDescent="0.35">
      <c r="C38" s="304" t="s">
        <v>96</v>
      </c>
      <c r="D38" s="305">
        <v>15000</v>
      </c>
      <c r="E38" s="242" t="s">
        <v>145</v>
      </c>
      <c r="F38" s="307">
        <v>9.2899999999999996E-3</v>
      </c>
      <c r="G38" s="27" t="s">
        <v>174</v>
      </c>
      <c r="I38" s="307">
        <f>'Table C'!I19</f>
        <v>1.2280000000000001E-2</v>
      </c>
      <c r="J38" s="27" t="s">
        <v>174</v>
      </c>
    </row>
    <row r="39" spans="3:10" x14ac:dyDescent="0.35">
      <c r="C39" s="304"/>
      <c r="D39" s="305"/>
      <c r="E39" s="242"/>
      <c r="F39" s="309"/>
    </row>
    <row r="40" spans="3:10" x14ac:dyDescent="0.35">
      <c r="C40" s="310" t="s">
        <v>165</v>
      </c>
      <c r="E40" s="242"/>
      <c r="F40" s="27"/>
    </row>
    <row r="41" spans="3:10" x14ac:dyDescent="0.35">
      <c r="C41" s="304" t="s">
        <v>51</v>
      </c>
      <c r="D41" s="305">
        <v>15000</v>
      </c>
      <c r="E41" s="242" t="s">
        <v>145</v>
      </c>
      <c r="F41" s="306">
        <v>171.93</v>
      </c>
      <c r="G41" s="27" t="s">
        <v>173</v>
      </c>
      <c r="I41" s="306">
        <f>'Table C'!I22</f>
        <v>228.28</v>
      </c>
      <c r="J41" s="27" t="s">
        <v>173</v>
      </c>
    </row>
    <row r="42" spans="3:10" x14ac:dyDescent="0.35">
      <c r="C42" s="304" t="s">
        <v>96</v>
      </c>
      <c r="D42" s="305">
        <v>15000</v>
      </c>
      <c r="E42" s="242" t="s">
        <v>145</v>
      </c>
      <c r="F42" s="307">
        <v>9.2899999999999996E-3</v>
      </c>
      <c r="G42" s="27" t="s">
        <v>174</v>
      </c>
      <c r="I42" s="307">
        <f>'Table C'!I23</f>
        <v>1.2280000000000001E-2</v>
      </c>
      <c r="J42" s="27" t="s">
        <v>174</v>
      </c>
    </row>
    <row r="43" spans="3:10" x14ac:dyDescent="0.35">
      <c r="E43" s="242"/>
      <c r="F43" s="307"/>
    </row>
    <row r="44" spans="3:10" x14ac:dyDescent="0.35">
      <c r="C44" s="310" t="s">
        <v>166</v>
      </c>
      <c r="E44" s="242"/>
      <c r="F44" s="307"/>
    </row>
    <row r="45" spans="3:10" x14ac:dyDescent="0.35">
      <c r="C45" s="304" t="s">
        <v>51</v>
      </c>
      <c r="D45" s="305">
        <v>100000</v>
      </c>
      <c r="E45" s="242" t="s">
        <v>145</v>
      </c>
      <c r="F45" s="306">
        <v>963.03</v>
      </c>
      <c r="G45" s="27" t="s">
        <v>173</v>
      </c>
      <c r="I45" s="306">
        <f>'Table C'!I26</f>
        <v>1278.46</v>
      </c>
      <c r="J45" s="27" t="s">
        <v>173</v>
      </c>
    </row>
    <row r="46" spans="3:10" x14ac:dyDescent="0.35">
      <c r="C46" s="304" t="s">
        <v>96</v>
      </c>
      <c r="D46" s="305">
        <v>100000</v>
      </c>
      <c r="E46" s="242" t="s">
        <v>145</v>
      </c>
      <c r="F46" s="307">
        <v>9.2899999999999996E-3</v>
      </c>
      <c r="G46" s="27" t="s">
        <v>174</v>
      </c>
      <c r="I46" s="307">
        <f>'Table C'!I27</f>
        <v>1.2280000000000001E-2</v>
      </c>
      <c r="J46" s="27" t="s">
        <v>174</v>
      </c>
    </row>
    <row r="47" spans="3:10" x14ac:dyDescent="0.35">
      <c r="F47" s="307"/>
    </row>
    <row r="48" spans="3:10" x14ac:dyDescent="0.35">
      <c r="C48" s="310" t="s">
        <v>175</v>
      </c>
      <c r="F48" s="307"/>
    </row>
    <row r="49" spans="3:10" x14ac:dyDescent="0.35">
      <c r="C49" s="304"/>
      <c r="D49" s="305"/>
      <c r="E49" s="305"/>
      <c r="F49" s="307">
        <v>4.5199999999999997E-3</v>
      </c>
      <c r="G49" s="27" t="s">
        <v>174</v>
      </c>
      <c r="I49" s="307">
        <f>'Table C'!I30</f>
        <v>6.0000000000000001E-3</v>
      </c>
      <c r="J49" s="27" t="s">
        <v>174</v>
      </c>
    </row>
    <row r="50" spans="3:10" x14ac:dyDescent="0.35">
      <c r="C50" s="313"/>
      <c r="D50" s="313"/>
      <c r="E50" s="313"/>
      <c r="F50" s="314"/>
      <c r="G50" s="313"/>
      <c r="H50" s="313"/>
      <c r="I50" s="314"/>
      <c r="J50" s="313"/>
    </row>
  </sheetData>
  <mergeCells count="4">
    <mergeCell ref="L7:Q7"/>
    <mergeCell ref="S7:X7"/>
    <mergeCell ref="F8:G8"/>
    <mergeCell ref="I8:J8"/>
  </mergeCells>
  <pageMargins left="0.7" right="0.7" top="0.75" bottom="0.75" header="0.3" footer="0.3"/>
  <ignoredErrors>
    <ignoredError sqref="Q12:Q14" formulaRange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0E125-31D3-4807-9AF7-F94DDB1B99D3}">
  <dimension ref="C3:T26"/>
  <sheetViews>
    <sheetView topLeftCell="D3" workbookViewId="0">
      <selection activeCell="D3" sqref="A1:XFD1048576"/>
    </sheetView>
  </sheetViews>
  <sheetFormatPr defaultRowHeight="15.5" x14ac:dyDescent="0.35"/>
  <cols>
    <col min="3" max="3" width="4.765625" style="27" customWidth="1"/>
    <col min="4" max="5" width="10.765625" style="27" customWidth="1"/>
    <col min="6" max="6" width="11.765625" style="302" customWidth="1"/>
    <col min="7" max="7" width="10.765625" style="27" customWidth="1"/>
    <col min="8" max="8" width="1.23046875" style="27" customWidth="1"/>
    <col min="9" max="9" width="10.765625" style="302" customWidth="1"/>
    <col min="10" max="10" width="10.765625" style="27" customWidth="1"/>
    <col min="11" max="11" width="8.84375" style="319"/>
    <col min="12" max="12" width="11.4609375" style="72" bestFit="1" customWidth="1"/>
    <col min="13" max="13" width="10.4609375" style="72" bestFit="1" customWidth="1"/>
    <col min="14" max="14" width="11.4609375" style="72" bestFit="1" customWidth="1"/>
    <col min="17" max="17" width="11.4609375" style="72" bestFit="1" customWidth="1"/>
    <col min="18" max="18" width="10.4609375" style="72" bestFit="1" customWidth="1"/>
    <col min="19" max="19" width="11.4609375" style="72" bestFit="1" customWidth="1"/>
  </cols>
  <sheetData>
    <row r="3" spans="3:20" x14ac:dyDescent="0.35">
      <c r="C3"/>
      <c r="D3"/>
      <c r="E3"/>
      <c r="F3"/>
      <c r="G3"/>
      <c r="H3"/>
      <c r="I3"/>
      <c r="J3"/>
    </row>
    <row r="4" spans="3:20" x14ac:dyDescent="0.35">
      <c r="C4"/>
      <c r="D4"/>
      <c r="E4"/>
      <c r="F4"/>
      <c r="G4"/>
      <c r="H4"/>
      <c r="I4"/>
      <c r="J4"/>
    </row>
    <row r="5" spans="3:20" x14ac:dyDescent="0.35">
      <c r="C5"/>
      <c r="D5"/>
      <c r="E5"/>
      <c r="F5"/>
      <c r="G5"/>
      <c r="H5"/>
      <c r="I5"/>
      <c r="J5"/>
    </row>
    <row r="7" spans="3:20" x14ac:dyDescent="0.35">
      <c r="C7" s="301"/>
      <c r="I7" s="303"/>
      <c r="L7" s="469" t="s">
        <v>352</v>
      </c>
      <c r="M7" s="469"/>
      <c r="N7" s="469"/>
      <c r="O7" s="469"/>
      <c r="Q7" s="469" t="s">
        <v>352</v>
      </c>
      <c r="R7" s="469"/>
      <c r="S7" s="469"/>
      <c r="T7" s="469"/>
    </row>
    <row r="8" spans="3:20" x14ac:dyDescent="0.35">
      <c r="C8" s="310" t="s">
        <v>295</v>
      </c>
      <c r="F8" s="462" t="s">
        <v>342</v>
      </c>
      <c r="G8" s="462"/>
      <c r="I8" s="462" t="s">
        <v>341</v>
      </c>
      <c r="J8" s="462"/>
      <c r="M8" s="320">
        <f>D9</f>
        <v>15000</v>
      </c>
      <c r="N8" s="320">
        <v>15000</v>
      </c>
      <c r="R8" s="320">
        <f>M8</f>
        <v>15000</v>
      </c>
      <c r="S8" s="320">
        <v>15000</v>
      </c>
    </row>
    <row r="9" spans="3:20" x14ac:dyDescent="0.35">
      <c r="C9" s="304" t="s">
        <v>51</v>
      </c>
      <c r="D9" s="305">
        <v>15000</v>
      </c>
      <c r="E9" s="242" t="s">
        <v>145</v>
      </c>
      <c r="F9" s="306">
        <v>171.93</v>
      </c>
      <c r="G9" s="27" t="s">
        <v>173</v>
      </c>
      <c r="I9" s="306">
        <v>240.58</v>
      </c>
      <c r="J9" s="27" t="s">
        <v>173</v>
      </c>
      <c r="M9" s="306">
        <f>F9</f>
        <v>171.93</v>
      </c>
      <c r="N9" s="322">
        <f>F10</f>
        <v>9.2899999999999996E-3</v>
      </c>
      <c r="R9" s="60">
        <f>I9</f>
        <v>240.58</v>
      </c>
      <c r="S9" s="321">
        <f>I10</f>
        <v>1.3049999999999999E-2</v>
      </c>
    </row>
    <row r="10" spans="3:20" x14ac:dyDescent="0.35">
      <c r="C10" s="304" t="s">
        <v>96</v>
      </c>
      <c r="D10" s="305">
        <v>15000</v>
      </c>
      <c r="E10" s="242" t="s">
        <v>145</v>
      </c>
      <c r="F10" s="307">
        <v>9.2899999999999996E-3</v>
      </c>
      <c r="G10" s="27" t="s">
        <v>174</v>
      </c>
      <c r="I10" s="307">
        <v>1.3049999999999999E-2</v>
      </c>
      <c r="J10" s="27" t="s">
        <v>174</v>
      </c>
      <c r="L10" s="72">
        <v>5000</v>
      </c>
      <c r="M10" s="72">
        <f>L10</f>
        <v>5000</v>
      </c>
      <c r="Q10" s="72">
        <v>2000</v>
      </c>
      <c r="R10" s="72">
        <f t="shared" ref="R10:R15" si="0">M10</f>
        <v>5000</v>
      </c>
    </row>
    <row r="11" spans="3:20" x14ac:dyDescent="0.35">
      <c r="C11" s="304"/>
      <c r="D11" s="305"/>
      <c r="E11" s="242"/>
      <c r="F11" s="307"/>
      <c r="I11" s="307"/>
      <c r="L11" s="72">
        <v>10000</v>
      </c>
      <c r="M11" s="72">
        <f>L11</f>
        <v>10000</v>
      </c>
      <c r="O11" s="72">
        <f>SUM(M11:N11)</f>
        <v>10000</v>
      </c>
      <c r="Q11" s="72">
        <v>4000</v>
      </c>
      <c r="R11" s="72">
        <f t="shared" si="0"/>
        <v>10000</v>
      </c>
      <c r="T11" s="72">
        <f>SUM(R11:S11)</f>
        <v>10000</v>
      </c>
    </row>
    <row r="12" spans="3:20" x14ac:dyDescent="0.35">
      <c r="C12" s="304"/>
      <c r="D12" s="305"/>
      <c r="E12" s="242"/>
      <c r="F12" s="307"/>
      <c r="I12" s="307"/>
      <c r="L12" s="72">
        <v>15000</v>
      </c>
      <c r="M12" s="72">
        <f>L12</f>
        <v>15000</v>
      </c>
      <c r="O12" s="72">
        <f>SUM(M12:N12)</f>
        <v>15000</v>
      </c>
      <c r="Q12" s="72">
        <v>6000</v>
      </c>
      <c r="R12" s="72">
        <f t="shared" si="0"/>
        <v>15000</v>
      </c>
      <c r="T12" s="72">
        <f>SUM(R12:S12)</f>
        <v>15000</v>
      </c>
    </row>
    <row r="13" spans="3:20" x14ac:dyDescent="0.35">
      <c r="L13" s="72">
        <v>20000</v>
      </c>
      <c r="M13" s="72">
        <f>M12</f>
        <v>15000</v>
      </c>
      <c r="N13" s="72">
        <f>L13-M8</f>
        <v>5000</v>
      </c>
      <c r="O13" s="72">
        <f>SUM(M13:N13)</f>
        <v>20000</v>
      </c>
      <c r="Q13" s="72">
        <v>8000</v>
      </c>
      <c r="R13" s="72">
        <f t="shared" si="0"/>
        <v>15000</v>
      </c>
      <c r="S13" s="72">
        <f>N13</f>
        <v>5000</v>
      </c>
      <c r="T13" s="72">
        <f>SUM(R13:S13)</f>
        <v>20000</v>
      </c>
    </row>
    <row r="14" spans="3:20" x14ac:dyDescent="0.35">
      <c r="E14" s="242"/>
      <c r="F14" s="27"/>
      <c r="L14" s="72">
        <v>25000</v>
      </c>
      <c r="M14" s="72">
        <f>M13</f>
        <v>15000</v>
      </c>
      <c r="N14" s="72">
        <f>L14-N8</f>
        <v>10000</v>
      </c>
      <c r="O14" s="72">
        <f>SUM(M14:N14)</f>
        <v>25000</v>
      </c>
      <c r="Q14" s="72">
        <v>10000</v>
      </c>
      <c r="R14" s="72">
        <f t="shared" si="0"/>
        <v>15000</v>
      </c>
      <c r="S14" s="72">
        <f>N14</f>
        <v>10000</v>
      </c>
      <c r="T14" s="72">
        <f>SUM(R14:S14)</f>
        <v>25000</v>
      </c>
    </row>
    <row r="15" spans="3:20" x14ac:dyDescent="0.35">
      <c r="E15" s="242"/>
      <c r="F15" s="27"/>
      <c r="L15" s="72">
        <v>30000</v>
      </c>
      <c r="M15" s="72">
        <f>M14</f>
        <v>15000</v>
      </c>
      <c r="N15" s="72">
        <f>L15-N8</f>
        <v>15000</v>
      </c>
      <c r="O15" s="72">
        <f>SUM(M15:N15)</f>
        <v>30000</v>
      </c>
      <c r="Q15" s="72">
        <v>12000</v>
      </c>
      <c r="R15" s="72">
        <f t="shared" si="0"/>
        <v>15000</v>
      </c>
      <c r="S15" s="72">
        <f>N15</f>
        <v>15000</v>
      </c>
      <c r="T15" s="72">
        <f>SUM(R15:S15)</f>
        <v>30000</v>
      </c>
    </row>
    <row r="16" spans="3:20" x14ac:dyDescent="0.35">
      <c r="E16" s="242"/>
      <c r="F16" s="27"/>
    </row>
    <row r="17" spans="3:20" x14ac:dyDescent="0.35">
      <c r="E17" s="242"/>
      <c r="F17" s="27"/>
      <c r="L17" s="72">
        <v>5000</v>
      </c>
      <c r="M17" s="60">
        <f>M9</f>
        <v>171.93</v>
      </c>
      <c r="N17" s="60"/>
      <c r="O17" s="60">
        <f t="shared" ref="O17:O22" si="1">SUM(M17:N17)</f>
        <v>171.93</v>
      </c>
      <c r="Q17" s="72">
        <v>2000</v>
      </c>
      <c r="R17" s="60">
        <f>R9</f>
        <v>240.58</v>
      </c>
      <c r="S17" s="60"/>
      <c r="T17" s="60">
        <f t="shared" ref="T17:T22" si="2">SUM(R17:S17)</f>
        <v>240.58</v>
      </c>
    </row>
    <row r="18" spans="3:20" x14ac:dyDescent="0.35">
      <c r="E18" s="242"/>
      <c r="F18" s="27"/>
      <c r="L18" s="72">
        <v>10000</v>
      </c>
      <c r="M18" s="60">
        <f>M17</f>
        <v>171.93</v>
      </c>
      <c r="N18" s="60"/>
      <c r="O18" s="60">
        <f t="shared" si="1"/>
        <v>171.93</v>
      </c>
      <c r="Q18" s="72">
        <v>4000</v>
      </c>
      <c r="R18" s="60">
        <f>R17</f>
        <v>240.58</v>
      </c>
      <c r="S18" s="60"/>
      <c r="T18" s="60">
        <f t="shared" si="2"/>
        <v>240.58</v>
      </c>
    </row>
    <row r="19" spans="3:20" x14ac:dyDescent="0.35">
      <c r="E19" s="242"/>
      <c r="F19" s="27"/>
      <c r="L19" s="72">
        <v>15000</v>
      </c>
      <c r="M19" s="60">
        <f t="shared" ref="M19:M22" si="3">M18</f>
        <v>171.93</v>
      </c>
      <c r="N19" s="60"/>
      <c r="O19" s="60">
        <f t="shared" si="1"/>
        <v>171.93</v>
      </c>
      <c r="Q19" s="72">
        <v>6000</v>
      </c>
      <c r="R19" s="60">
        <f t="shared" ref="R19:R22" si="4">R18</f>
        <v>240.58</v>
      </c>
      <c r="S19" s="60"/>
      <c r="T19" s="60">
        <f t="shared" si="2"/>
        <v>240.58</v>
      </c>
    </row>
    <row r="20" spans="3:20" x14ac:dyDescent="0.35">
      <c r="E20" s="242"/>
      <c r="F20" s="27"/>
      <c r="L20" s="72">
        <v>20000</v>
      </c>
      <c r="M20" s="60">
        <f t="shared" si="3"/>
        <v>171.93</v>
      </c>
      <c r="N20" s="60">
        <f>N13*N$9</f>
        <v>46.449999999999996</v>
      </c>
      <c r="O20" s="60">
        <f t="shared" si="1"/>
        <v>218.38</v>
      </c>
      <c r="Q20" s="72">
        <v>8000</v>
      </c>
      <c r="R20" s="60">
        <f t="shared" si="4"/>
        <v>240.58</v>
      </c>
      <c r="S20" s="60">
        <f>S13*S$9</f>
        <v>65.25</v>
      </c>
      <c r="T20" s="60">
        <f t="shared" si="2"/>
        <v>305.83000000000004</v>
      </c>
    </row>
    <row r="21" spans="3:20" x14ac:dyDescent="0.35">
      <c r="E21" s="242"/>
      <c r="F21" s="27"/>
      <c r="L21" s="72">
        <v>25000</v>
      </c>
      <c r="M21" s="60">
        <f t="shared" si="3"/>
        <v>171.93</v>
      </c>
      <c r="N21" s="60">
        <f t="shared" ref="N21:N22" si="5">N14*N$9</f>
        <v>92.899999999999991</v>
      </c>
      <c r="O21" s="60">
        <f t="shared" si="1"/>
        <v>264.83</v>
      </c>
      <c r="Q21" s="72">
        <v>10000</v>
      </c>
      <c r="R21" s="60">
        <f t="shared" si="4"/>
        <v>240.58</v>
      </c>
      <c r="S21" s="60">
        <f t="shared" ref="S21:S22" si="6">S14*S$9</f>
        <v>130.5</v>
      </c>
      <c r="T21" s="60">
        <f t="shared" si="2"/>
        <v>371.08000000000004</v>
      </c>
    </row>
    <row r="22" spans="3:20" x14ac:dyDescent="0.35">
      <c r="E22" s="242"/>
      <c r="F22" s="27"/>
      <c r="L22" s="72">
        <v>30000</v>
      </c>
      <c r="M22" s="60">
        <f t="shared" si="3"/>
        <v>171.93</v>
      </c>
      <c r="N22" s="60">
        <f t="shared" si="5"/>
        <v>139.35</v>
      </c>
      <c r="O22" s="60">
        <f t="shared" si="1"/>
        <v>311.27999999999997</v>
      </c>
      <c r="Q22" s="72">
        <v>12000</v>
      </c>
      <c r="R22" s="60">
        <f t="shared" si="4"/>
        <v>240.58</v>
      </c>
      <c r="S22" s="60">
        <f t="shared" si="6"/>
        <v>195.75</v>
      </c>
      <c r="T22" s="60">
        <f t="shared" si="2"/>
        <v>436.33000000000004</v>
      </c>
    </row>
    <row r="23" spans="3:20" x14ac:dyDescent="0.35">
      <c r="E23" s="242"/>
      <c r="F23" s="27"/>
    </row>
    <row r="24" spans="3:20" x14ac:dyDescent="0.35">
      <c r="E24" s="242"/>
      <c r="F24" s="27"/>
    </row>
    <row r="25" spans="3:20" x14ac:dyDescent="0.35">
      <c r="E25" s="242"/>
      <c r="F25" s="27"/>
    </row>
    <row r="26" spans="3:20" x14ac:dyDescent="0.35">
      <c r="C26" s="310" t="s">
        <v>164</v>
      </c>
      <c r="E26" s="242"/>
      <c r="F26" s="27"/>
    </row>
  </sheetData>
  <mergeCells count="4">
    <mergeCell ref="L7:O7"/>
    <mergeCell ref="Q7:T7"/>
    <mergeCell ref="F8:G8"/>
    <mergeCell ref="I8:J8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AD087-346B-4CBD-AC80-72DA53E9B8AE}">
  <dimension ref="C3:T24"/>
  <sheetViews>
    <sheetView topLeftCell="C1" workbookViewId="0">
      <selection activeCell="L16" sqref="L16:L20"/>
    </sheetView>
  </sheetViews>
  <sheetFormatPr defaultRowHeight="15.5" x14ac:dyDescent="0.35"/>
  <cols>
    <col min="3" max="3" width="4.765625" style="27" customWidth="1"/>
    <col min="4" max="5" width="10.765625" style="27" customWidth="1"/>
    <col min="6" max="6" width="11.765625" style="302" customWidth="1"/>
    <col min="7" max="7" width="10.765625" style="27" customWidth="1"/>
    <col min="8" max="8" width="1.23046875" style="27" customWidth="1"/>
    <col min="9" max="9" width="10.765625" style="302" customWidth="1"/>
    <col min="10" max="10" width="10.765625" style="27" customWidth="1"/>
    <col min="11" max="11" width="8.84375" style="319"/>
    <col min="12" max="12" width="11.4609375" style="72" bestFit="1" customWidth="1"/>
    <col min="13" max="13" width="10.4609375" style="72" bestFit="1" customWidth="1"/>
    <col min="14" max="14" width="11.4609375" style="72" bestFit="1" customWidth="1"/>
    <col min="17" max="17" width="11.4609375" style="72" bestFit="1" customWidth="1"/>
    <col min="18" max="18" width="10.4609375" style="72" bestFit="1" customWidth="1"/>
    <col min="19" max="19" width="11.4609375" style="72" bestFit="1" customWidth="1"/>
  </cols>
  <sheetData>
    <row r="3" spans="3:20" x14ac:dyDescent="0.35">
      <c r="C3"/>
      <c r="D3"/>
      <c r="E3"/>
      <c r="F3"/>
      <c r="G3"/>
      <c r="H3"/>
      <c r="I3"/>
      <c r="J3"/>
    </row>
    <row r="4" spans="3:20" x14ac:dyDescent="0.35">
      <c r="C4"/>
      <c r="D4"/>
      <c r="E4"/>
      <c r="F4"/>
      <c r="G4"/>
      <c r="H4"/>
      <c r="I4"/>
      <c r="J4"/>
    </row>
    <row r="5" spans="3:20" x14ac:dyDescent="0.35">
      <c r="C5"/>
      <c r="D5"/>
      <c r="E5"/>
      <c r="F5"/>
      <c r="G5"/>
      <c r="H5"/>
      <c r="I5"/>
      <c r="J5"/>
    </row>
    <row r="7" spans="3:20" x14ac:dyDescent="0.35">
      <c r="C7" s="301"/>
      <c r="I7" s="303"/>
      <c r="L7" s="469" t="s">
        <v>352</v>
      </c>
      <c r="M7" s="469"/>
      <c r="N7" s="469"/>
      <c r="O7" s="469"/>
      <c r="Q7" s="469" t="s">
        <v>352</v>
      </c>
      <c r="R7" s="469"/>
      <c r="S7" s="469"/>
      <c r="T7" s="469"/>
    </row>
    <row r="8" spans="3:20" x14ac:dyDescent="0.35">
      <c r="C8" s="310" t="s">
        <v>295</v>
      </c>
      <c r="F8" s="462" t="s">
        <v>342</v>
      </c>
      <c r="G8" s="462"/>
      <c r="I8" s="462" t="s">
        <v>341</v>
      </c>
      <c r="J8" s="462"/>
      <c r="M8" s="320">
        <f>D9</f>
        <v>100000</v>
      </c>
      <c r="N8" s="320">
        <v>100000</v>
      </c>
      <c r="R8" s="320">
        <f>M8</f>
        <v>100000</v>
      </c>
      <c r="S8" s="320">
        <v>15000</v>
      </c>
    </row>
    <row r="9" spans="3:20" x14ac:dyDescent="0.35">
      <c r="C9" s="304" t="s">
        <v>51</v>
      </c>
      <c r="D9" s="305">
        <v>100000</v>
      </c>
      <c r="E9" s="242" t="s">
        <v>145</v>
      </c>
      <c r="F9" s="306">
        <v>963.03</v>
      </c>
      <c r="G9" s="27" t="s">
        <v>173</v>
      </c>
      <c r="I9" s="306">
        <v>1347.33</v>
      </c>
      <c r="J9" s="27" t="s">
        <v>173</v>
      </c>
      <c r="M9" s="306">
        <f>F9</f>
        <v>963.03</v>
      </c>
      <c r="N9" s="322">
        <f>F10</f>
        <v>9.2899999999999996E-3</v>
      </c>
      <c r="R9" s="60">
        <f>I9</f>
        <v>1347.33</v>
      </c>
      <c r="S9" s="321">
        <f>I10</f>
        <v>1.3049999999999999E-2</v>
      </c>
    </row>
    <row r="10" spans="3:20" x14ac:dyDescent="0.35">
      <c r="C10" s="304" t="s">
        <v>96</v>
      </c>
      <c r="D10" s="305">
        <v>100000</v>
      </c>
      <c r="E10" s="242" t="s">
        <v>145</v>
      </c>
      <c r="F10" s="307">
        <v>9.2899999999999996E-3</v>
      </c>
      <c r="G10" s="27" t="s">
        <v>174</v>
      </c>
      <c r="I10" s="307">
        <v>1.3049999999999999E-2</v>
      </c>
      <c r="J10" s="27" t="s">
        <v>174</v>
      </c>
      <c r="L10" s="72">
        <v>60000</v>
      </c>
      <c r="M10" s="72">
        <f>L10</f>
        <v>60000</v>
      </c>
      <c r="Q10" s="72">
        <v>60000</v>
      </c>
      <c r="R10" s="72">
        <f>M10</f>
        <v>60000</v>
      </c>
    </row>
    <row r="11" spans="3:20" x14ac:dyDescent="0.35">
      <c r="C11" s="304"/>
      <c r="D11" s="305"/>
      <c r="E11" s="242"/>
      <c r="F11" s="307"/>
      <c r="I11" s="307"/>
      <c r="L11" s="72">
        <v>80000</v>
      </c>
      <c r="M11" s="72">
        <f>L11</f>
        <v>80000</v>
      </c>
      <c r="O11" s="72">
        <f>SUM(M11:N11)</f>
        <v>80000</v>
      </c>
      <c r="Q11" s="72">
        <v>80000</v>
      </c>
      <c r="R11" s="72">
        <f>M11</f>
        <v>80000</v>
      </c>
      <c r="T11" s="72">
        <f>SUM(R11:S11)</f>
        <v>80000</v>
      </c>
    </row>
    <row r="12" spans="3:20" x14ac:dyDescent="0.35">
      <c r="C12" s="304"/>
      <c r="D12" s="305"/>
      <c r="E12" s="242"/>
      <c r="F12" s="307"/>
      <c r="I12" s="307"/>
      <c r="L12" s="72">
        <v>100000</v>
      </c>
      <c r="M12" s="72">
        <f>L12</f>
        <v>100000</v>
      </c>
      <c r="O12" s="72">
        <f>SUM(M12:N12)</f>
        <v>100000</v>
      </c>
      <c r="Q12" s="72">
        <v>100000</v>
      </c>
      <c r="R12" s="72">
        <f>M12</f>
        <v>100000</v>
      </c>
      <c r="T12" s="72">
        <f>SUM(R12:S12)</f>
        <v>100000</v>
      </c>
    </row>
    <row r="13" spans="3:20" x14ac:dyDescent="0.35">
      <c r="L13" s="72">
        <v>120000</v>
      </c>
      <c r="M13" s="72">
        <f>M12</f>
        <v>100000</v>
      </c>
      <c r="N13" s="72">
        <f>L13-N$8</f>
        <v>20000</v>
      </c>
      <c r="O13" s="72">
        <f>SUM(M13:N13)</f>
        <v>120000</v>
      </c>
      <c r="Q13" s="72">
        <v>120000</v>
      </c>
      <c r="R13" s="72">
        <f>M13</f>
        <v>100000</v>
      </c>
      <c r="S13" s="72">
        <f>N13</f>
        <v>20000</v>
      </c>
      <c r="T13" s="72">
        <f>SUM(R13:S13)</f>
        <v>120000</v>
      </c>
    </row>
    <row r="14" spans="3:20" x14ac:dyDescent="0.35">
      <c r="E14" s="242"/>
      <c r="F14" s="27"/>
      <c r="L14" s="72">
        <v>140000</v>
      </c>
      <c r="M14" s="72">
        <f>M13</f>
        <v>100000</v>
      </c>
      <c r="N14" s="72">
        <f>L14-N$8</f>
        <v>40000</v>
      </c>
      <c r="O14" s="72">
        <f>SUM(M14:N14)</f>
        <v>140000</v>
      </c>
      <c r="Q14" s="72">
        <v>140000</v>
      </c>
      <c r="R14" s="72">
        <f>M14</f>
        <v>100000</v>
      </c>
      <c r="S14" s="72">
        <f>N14</f>
        <v>40000</v>
      </c>
      <c r="T14" s="72">
        <f>SUM(R14:S14)</f>
        <v>140000</v>
      </c>
    </row>
    <row r="15" spans="3:20" x14ac:dyDescent="0.35">
      <c r="E15" s="242"/>
      <c r="F15" s="27"/>
    </row>
    <row r="16" spans="3:20" x14ac:dyDescent="0.35">
      <c r="E16" s="242"/>
      <c r="F16" s="27"/>
      <c r="L16" s="72">
        <v>60000</v>
      </c>
      <c r="M16" s="60">
        <f>M9</f>
        <v>963.03</v>
      </c>
      <c r="N16" s="60"/>
      <c r="O16" s="60">
        <f>SUM(M16:N16)</f>
        <v>963.03</v>
      </c>
      <c r="Q16" s="72">
        <v>60000</v>
      </c>
      <c r="R16" s="60">
        <f>R9</f>
        <v>1347.33</v>
      </c>
      <c r="S16" s="60"/>
      <c r="T16" s="60">
        <f>SUM(R16:S16)</f>
        <v>1347.33</v>
      </c>
    </row>
    <row r="17" spans="3:20" x14ac:dyDescent="0.35">
      <c r="E17" s="242"/>
      <c r="F17" s="27"/>
      <c r="L17" s="72">
        <v>80000</v>
      </c>
      <c r="M17" s="60">
        <f>M16</f>
        <v>963.03</v>
      </c>
      <c r="N17" s="60"/>
      <c r="O17" s="60">
        <f>SUM(M17:N17)</f>
        <v>963.03</v>
      </c>
      <c r="Q17" s="72">
        <v>80000</v>
      </c>
      <c r="R17" s="60">
        <f>R16</f>
        <v>1347.33</v>
      </c>
      <c r="S17" s="60"/>
      <c r="T17" s="60">
        <f>SUM(R17:S17)</f>
        <v>1347.33</v>
      </c>
    </row>
    <row r="18" spans="3:20" x14ac:dyDescent="0.35">
      <c r="E18" s="242"/>
      <c r="F18" s="27"/>
      <c r="L18" s="72">
        <v>100000</v>
      </c>
      <c r="M18" s="60">
        <f t="shared" ref="M18:M20" si="0">M17</f>
        <v>963.03</v>
      </c>
      <c r="N18" s="60"/>
      <c r="O18" s="60">
        <f>SUM(M18:N18)</f>
        <v>963.03</v>
      </c>
      <c r="Q18" s="72">
        <v>100000</v>
      </c>
      <c r="R18" s="60">
        <f t="shared" ref="R18:R20" si="1">R17</f>
        <v>1347.33</v>
      </c>
      <c r="S18" s="60"/>
      <c r="T18" s="60">
        <f>SUM(R18:S18)</f>
        <v>1347.33</v>
      </c>
    </row>
    <row r="19" spans="3:20" x14ac:dyDescent="0.35">
      <c r="E19" s="242"/>
      <c r="F19" s="27"/>
      <c r="L19" s="72">
        <v>120000</v>
      </c>
      <c r="M19" s="60">
        <f t="shared" si="0"/>
        <v>963.03</v>
      </c>
      <c r="N19" s="60">
        <f>N13*N$9</f>
        <v>185.79999999999998</v>
      </c>
      <c r="O19" s="60">
        <f>SUM(M19:N19)</f>
        <v>1148.83</v>
      </c>
      <c r="Q19" s="72">
        <v>120000</v>
      </c>
      <c r="R19" s="60">
        <f t="shared" si="1"/>
        <v>1347.33</v>
      </c>
      <c r="S19" s="60">
        <f>S13*S$9</f>
        <v>261</v>
      </c>
      <c r="T19" s="60">
        <f>SUM(R19:S19)</f>
        <v>1608.33</v>
      </c>
    </row>
    <row r="20" spans="3:20" x14ac:dyDescent="0.35">
      <c r="E20" s="242"/>
      <c r="F20" s="27"/>
      <c r="L20" s="72">
        <v>140000</v>
      </c>
      <c r="M20" s="60">
        <f t="shared" si="0"/>
        <v>963.03</v>
      </c>
      <c r="N20" s="60">
        <f>N14*N$9</f>
        <v>371.59999999999997</v>
      </c>
      <c r="O20" s="60">
        <f>SUM(M20:N20)</f>
        <v>1334.6299999999999</v>
      </c>
      <c r="Q20" s="72">
        <v>140000</v>
      </c>
      <c r="R20" s="60">
        <f t="shared" si="1"/>
        <v>1347.33</v>
      </c>
      <c r="S20" s="60">
        <f>S14*S$9</f>
        <v>522</v>
      </c>
      <c r="T20" s="60">
        <f>SUM(R20:S20)</f>
        <v>1869.33</v>
      </c>
    </row>
    <row r="21" spans="3:20" x14ac:dyDescent="0.35">
      <c r="E21" s="242"/>
      <c r="F21" s="27"/>
    </row>
    <row r="22" spans="3:20" x14ac:dyDescent="0.35">
      <c r="E22" s="242"/>
      <c r="F22" s="27"/>
    </row>
    <row r="23" spans="3:20" x14ac:dyDescent="0.35">
      <c r="E23" s="242"/>
      <c r="F23" s="27"/>
    </row>
    <row r="24" spans="3:20" x14ac:dyDescent="0.35">
      <c r="C24" s="310" t="s">
        <v>164</v>
      </c>
      <c r="E24" s="242"/>
      <c r="F24" s="27"/>
    </row>
  </sheetData>
  <mergeCells count="4">
    <mergeCell ref="L7:O7"/>
    <mergeCell ref="Q7:T7"/>
    <mergeCell ref="F8:G8"/>
    <mergeCell ref="I8:J8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397BA-A57A-451F-8EEE-E5A6DEAFA756}">
  <dimension ref="A1"/>
  <sheetViews>
    <sheetView workbookViewId="0"/>
  </sheetViews>
  <sheetFormatPr defaultRowHeight="15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402D4-D515-4E93-ACB5-973A4D800860}">
  <dimension ref="A6:H21"/>
  <sheetViews>
    <sheetView topLeftCell="A7" zoomScale="160" zoomScaleNormal="160" workbookViewId="0">
      <selection activeCell="H17" sqref="H17:H21"/>
    </sheetView>
  </sheetViews>
  <sheetFormatPr defaultRowHeight="15.5" x14ac:dyDescent="0.35"/>
  <cols>
    <col min="2" max="2" width="15.3046875" customWidth="1"/>
  </cols>
  <sheetData>
    <row r="6" spans="1:3" x14ac:dyDescent="0.35">
      <c r="A6">
        <v>1</v>
      </c>
      <c r="B6" s="172" t="s">
        <v>270</v>
      </c>
      <c r="C6" t="s">
        <v>365</v>
      </c>
    </row>
    <row r="7" spans="1:3" x14ac:dyDescent="0.35">
      <c r="A7">
        <v>2</v>
      </c>
      <c r="B7" s="172" t="s">
        <v>268</v>
      </c>
      <c r="C7" t="s">
        <v>366</v>
      </c>
    </row>
    <row r="8" spans="1:3" x14ac:dyDescent="0.35">
      <c r="A8">
        <v>3</v>
      </c>
      <c r="B8" s="172" t="s">
        <v>265</v>
      </c>
      <c r="C8" t="s">
        <v>367</v>
      </c>
    </row>
    <row r="9" spans="1:3" x14ac:dyDescent="0.35">
      <c r="A9">
        <v>4</v>
      </c>
      <c r="B9" s="172" t="s">
        <v>267</v>
      </c>
      <c r="C9" t="s">
        <v>368</v>
      </c>
    </row>
    <row r="10" spans="1:3" x14ac:dyDescent="0.35">
      <c r="A10">
        <v>5</v>
      </c>
      <c r="B10" s="172" t="s">
        <v>370</v>
      </c>
      <c r="C10" t="s">
        <v>369</v>
      </c>
    </row>
    <row r="11" spans="1:3" x14ac:dyDescent="0.35">
      <c r="A11">
        <v>6</v>
      </c>
      <c r="B11" s="172" t="s">
        <v>271</v>
      </c>
      <c r="C11" t="s">
        <v>371</v>
      </c>
    </row>
    <row r="12" spans="1:3" x14ac:dyDescent="0.35">
      <c r="A12">
        <v>7</v>
      </c>
      <c r="B12" s="172" t="s">
        <v>266</v>
      </c>
      <c r="C12" t="s">
        <v>372</v>
      </c>
    </row>
    <row r="13" spans="1:3" x14ac:dyDescent="0.35">
      <c r="A13">
        <v>8</v>
      </c>
      <c r="B13" s="172" t="s">
        <v>269</v>
      </c>
      <c r="C13" t="s">
        <v>373</v>
      </c>
    </row>
    <row r="14" spans="1:3" x14ac:dyDescent="0.35">
      <c r="A14">
        <v>9</v>
      </c>
      <c r="B14" s="172" t="s">
        <v>375</v>
      </c>
      <c r="C14" t="s">
        <v>374</v>
      </c>
    </row>
    <row r="15" spans="1:3" x14ac:dyDescent="0.35">
      <c r="A15">
        <v>10</v>
      </c>
      <c r="B15" s="172" t="s">
        <v>273</v>
      </c>
      <c r="C15" t="s">
        <v>376</v>
      </c>
    </row>
    <row r="16" spans="1:3" x14ac:dyDescent="0.35">
      <c r="A16">
        <v>11</v>
      </c>
      <c r="B16" s="172" t="s">
        <v>272</v>
      </c>
    </row>
    <row r="17" spans="1:8" x14ac:dyDescent="0.35">
      <c r="A17">
        <v>12</v>
      </c>
      <c r="B17" s="172" t="s">
        <v>378</v>
      </c>
      <c r="C17" t="s">
        <v>377</v>
      </c>
      <c r="H17" t="s">
        <v>456</v>
      </c>
    </row>
    <row r="18" spans="1:8" x14ac:dyDescent="0.35">
      <c r="A18">
        <v>13</v>
      </c>
      <c r="B18" s="172" t="s">
        <v>379</v>
      </c>
      <c r="C18" t="s">
        <v>383</v>
      </c>
      <c r="H18" t="s">
        <v>457</v>
      </c>
    </row>
    <row r="19" spans="1:8" x14ac:dyDescent="0.35">
      <c r="A19">
        <v>14</v>
      </c>
      <c r="B19" s="172" t="s">
        <v>380</v>
      </c>
      <c r="C19" t="s">
        <v>376</v>
      </c>
      <c r="H19" t="s">
        <v>458</v>
      </c>
    </row>
    <row r="20" spans="1:8" x14ac:dyDescent="0.35">
      <c r="A20">
        <v>15</v>
      </c>
      <c r="B20" s="172" t="s">
        <v>381</v>
      </c>
      <c r="C20" t="s">
        <v>384</v>
      </c>
      <c r="H20" t="s">
        <v>459</v>
      </c>
    </row>
    <row r="21" spans="1:8" x14ac:dyDescent="0.35">
      <c r="A21">
        <v>16</v>
      </c>
      <c r="B21" s="172" t="s">
        <v>382</v>
      </c>
      <c r="C21" t="s">
        <v>384</v>
      </c>
      <c r="H21" t="s">
        <v>460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C3947-24F1-4415-A981-D9D73DE7886B}">
  <dimension ref="A9:C19"/>
  <sheetViews>
    <sheetView workbookViewId="0">
      <selection activeCell="C10" sqref="C10"/>
    </sheetView>
  </sheetViews>
  <sheetFormatPr defaultColWidth="12.765625" defaultRowHeight="15.5" x14ac:dyDescent="0.35"/>
  <cols>
    <col min="3" max="3" width="12.765625" style="60"/>
  </cols>
  <sheetData>
    <row r="9" spans="1:3" x14ac:dyDescent="0.35">
      <c r="A9" s="27" t="s">
        <v>357</v>
      </c>
    </row>
    <row r="10" spans="1:3" x14ac:dyDescent="0.35">
      <c r="A10" s="27" t="s">
        <v>15</v>
      </c>
      <c r="C10" s="60" t="e">
        <f>-#REF!</f>
        <v>#REF!</v>
      </c>
    </row>
    <row r="11" spans="1:3" x14ac:dyDescent="0.35">
      <c r="A11" s="27" t="s">
        <v>16</v>
      </c>
      <c r="C11" s="270" t="e">
        <f>-#REF!</f>
        <v>#REF!</v>
      </c>
    </row>
    <row r="13" spans="1:3" x14ac:dyDescent="0.35">
      <c r="A13" s="27" t="s">
        <v>358</v>
      </c>
      <c r="C13" s="60" t="e">
        <f>SUM(C10:C12)</f>
        <v>#REF!</v>
      </c>
    </row>
    <row r="14" spans="1:3" x14ac:dyDescent="0.35">
      <c r="A14" s="27" t="s">
        <v>359</v>
      </c>
      <c r="C14" s="270">
        <f>'ExBA - Beg. Rates'!F12</f>
        <v>35511</v>
      </c>
    </row>
    <row r="16" spans="1:3" x14ac:dyDescent="0.35">
      <c r="A16" s="27" t="s">
        <v>360</v>
      </c>
      <c r="C16" s="60" t="e">
        <f>ROUND(C13/C14,2)</f>
        <v>#REF!</v>
      </c>
    </row>
    <row r="17" spans="1:3" x14ac:dyDescent="0.35">
      <c r="A17" s="27" t="s">
        <v>361</v>
      </c>
      <c r="C17" s="270">
        <v>-5.87</v>
      </c>
    </row>
    <row r="18" spans="1:3" ht="16" thickBot="1" x14ac:dyDescent="0.4">
      <c r="A18" s="27" t="s">
        <v>112</v>
      </c>
      <c r="C18" s="271" t="e">
        <f>SUM(C16:C17)</f>
        <v>#REF!</v>
      </c>
    </row>
    <row r="19" spans="1:3" ht="16" thickTop="1" x14ac:dyDescent="0.3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F2DF4-8067-46BB-8EDB-905FA31BEBDC}">
  <dimension ref="A6:I43"/>
  <sheetViews>
    <sheetView topLeftCell="A7" workbookViewId="0">
      <selection activeCell="A20" sqref="A20:A24"/>
    </sheetView>
  </sheetViews>
  <sheetFormatPr defaultColWidth="14.765625" defaultRowHeight="15.5" x14ac:dyDescent="0.35"/>
  <sheetData>
    <row r="6" spans="1:9" x14ac:dyDescent="0.35">
      <c r="A6" s="23"/>
      <c r="B6" s="23"/>
      <c r="C6" s="23"/>
      <c r="D6" s="175" t="s">
        <v>327</v>
      </c>
      <c r="E6" s="23"/>
      <c r="F6" s="23"/>
      <c r="G6" s="142"/>
    </row>
    <row r="7" spans="1:9" x14ac:dyDescent="0.35">
      <c r="A7" s="23"/>
      <c r="B7" s="416" t="s">
        <v>326</v>
      </c>
      <c r="C7" s="416"/>
      <c r="D7" s="175" t="s">
        <v>134</v>
      </c>
      <c r="E7" s="417" t="s">
        <v>290</v>
      </c>
      <c r="F7" s="417"/>
      <c r="G7" s="417"/>
    </row>
    <row r="8" spans="1:9" x14ac:dyDescent="0.35">
      <c r="A8" s="183" t="s">
        <v>78</v>
      </c>
      <c r="B8" s="25" t="s">
        <v>274</v>
      </c>
      <c r="C8" s="25" t="s">
        <v>275</v>
      </c>
      <c r="D8" s="25" t="s">
        <v>289</v>
      </c>
      <c r="E8" s="25" t="s">
        <v>274</v>
      </c>
      <c r="F8" s="183" t="s">
        <v>275</v>
      </c>
      <c r="G8" s="25" t="s">
        <v>57</v>
      </c>
    </row>
    <row r="9" spans="1:9" x14ac:dyDescent="0.35">
      <c r="A9" s="172" t="s">
        <v>276</v>
      </c>
      <c r="B9" s="172">
        <v>2080</v>
      </c>
      <c r="C9" s="172"/>
      <c r="D9" s="173">
        <v>35.1</v>
      </c>
      <c r="E9" s="232">
        <f t="shared" ref="E9:E24" si="0">ROUND(B9*D9,0)</f>
        <v>73008</v>
      </c>
      <c r="F9" s="232">
        <f t="shared" ref="F9:F24" si="1">ROUND(C9*(1.5*D9),0)</f>
        <v>0</v>
      </c>
      <c r="G9" s="232">
        <f t="shared" ref="G9:G24" si="2">SUM(E9,F9)</f>
        <v>73008</v>
      </c>
    </row>
    <row r="10" spans="1:9" x14ac:dyDescent="0.35">
      <c r="A10" s="172" t="s">
        <v>277</v>
      </c>
      <c r="B10" s="172">
        <v>2080</v>
      </c>
      <c r="C10" s="172">
        <v>10</v>
      </c>
      <c r="D10" s="173">
        <v>21.63</v>
      </c>
      <c r="E10" s="106">
        <f t="shared" si="0"/>
        <v>44990</v>
      </c>
      <c r="F10" s="106">
        <f t="shared" si="1"/>
        <v>324</v>
      </c>
      <c r="G10" s="106">
        <f t="shared" si="2"/>
        <v>45314</v>
      </c>
      <c r="I10" t="s">
        <v>461</v>
      </c>
    </row>
    <row r="11" spans="1:9" x14ac:dyDescent="0.35">
      <c r="A11" s="172" t="s">
        <v>278</v>
      </c>
      <c r="B11" s="172">
        <v>2080</v>
      </c>
      <c r="C11" s="172">
        <v>12</v>
      </c>
      <c r="D11" s="173">
        <v>21.63</v>
      </c>
      <c r="E11" s="106">
        <f t="shared" si="0"/>
        <v>44990</v>
      </c>
      <c r="F11" s="106">
        <f t="shared" si="1"/>
        <v>389</v>
      </c>
      <c r="G11" s="106">
        <f t="shared" si="2"/>
        <v>45379</v>
      </c>
      <c r="I11" t="s">
        <v>462</v>
      </c>
    </row>
    <row r="12" spans="1:9" x14ac:dyDescent="0.35">
      <c r="A12" s="172" t="s">
        <v>279</v>
      </c>
      <c r="B12" s="172">
        <v>2080</v>
      </c>
      <c r="C12" s="172">
        <v>180.5</v>
      </c>
      <c r="D12" s="173">
        <v>21</v>
      </c>
      <c r="E12" s="106">
        <f t="shared" si="0"/>
        <v>43680</v>
      </c>
      <c r="F12" s="106">
        <f t="shared" si="1"/>
        <v>5686</v>
      </c>
      <c r="G12" s="106">
        <f t="shared" si="2"/>
        <v>49366</v>
      </c>
      <c r="I12" t="s">
        <v>463</v>
      </c>
    </row>
    <row r="13" spans="1:9" x14ac:dyDescent="0.35">
      <c r="A13" s="172" t="s">
        <v>508</v>
      </c>
      <c r="B13" s="172">
        <v>2080</v>
      </c>
      <c r="C13" s="172"/>
      <c r="D13" s="173">
        <v>21</v>
      </c>
      <c r="E13" s="106">
        <f t="shared" si="0"/>
        <v>43680</v>
      </c>
      <c r="F13" s="106">
        <f t="shared" si="1"/>
        <v>0</v>
      </c>
      <c r="G13" s="106">
        <f t="shared" si="2"/>
        <v>43680</v>
      </c>
      <c r="I13" t="s">
        <v>464</v>
      </c>
    </row>
    <row r="14" spans="1:9" x14ac:dyDescent="0.35">
      <c r="A14" s="172" t="s">
        <v>509</v>
      </c>
      <c r="B14" s="172">
        <v>2080</v>
      </c>
      <c r="C14" s="172">
        <v>72.2</v>
      </c>
      <c r="D14" s="173">
        <v>21</v>
      </c>
      <c r="E14" s="106">
        <f t="shared" si="0"/>
        <v>43680</v>
      </c>
      <c r="F14" s="106">
        <f t="shared" si="1"/>
        <v>2274</v>
      </c>
      <c r="G14" s="106">
        <f t="shared" si="2"/>
        <v>45954</v>
      </c>
    </row>
    <row r="15" spans="1:9" x14ac:dyDescent="0.35">
      <c r="A15" s="172" t="s">
        <v>510</v>
      </c>
      <c r="B15" s="172">
        <v>2080</v>
      </c>
      <c r="C15" s="172">
        <v>90</v>
      </c>
      <c r="D15" s="173">
        <v>20</v>
      </c>
      <c r="E15" s="106">
        <f t="shared" si="0"/>
        <v>41600</v>
      </c>
      <c r="F15" s="106">
        <f t="shared" si="1"/>
        <v>2700</v>
      </c>
      <c r="G15" s="106">
        <f t="shared" si="2"/>
        <v>44300</v>
      </c>
    </row>
    <row r="16" spans="1:9" x14ac:dyDescent="0.35">
      <c r="A16" s="172" t="s">
        <v>511</v>
      </c>
      <c r="B16" s="172">
        <v>2080</v>
      </c>
      <c r="C16" s="172">
        <v>12.5</v>
      </c>
      <c r="D16" s="173">
        <v>19.23</v>
      </c>
      <c r="E16" s="106">
        <f t="shared" si="0"/>
        <v>39998</v>
      </c>
      <c r="F16" s="106">
        <f t="shared" si="1"/>
        <v>361</v>
      </c>
      <c r="G16" s="106">
        <f t="shared" si="2"/>
        <v>40359</v>
      </c>
    </row>
    <row r="17" spans="1:9" x14ac:dyDescent="0.35">
      <c r="A17" s="172" t="s">
        <v>512</v>
      </c>
      <c r="B17" s="172">
        <v>2080</v>
      </c>
      <c r="C17" s="172"/>
      <c r="D17" s="173">
        <v>18.27</v>
      </c>
      <c r="E17" s="106">
        <f t="shared" si="0"/>
        <v>38002</v>
      </c>
      <c r="F17" s="106">
        <f t="shared" si="1"/>
        <v>0</v>
      </c>
      <c r="G17" s="106">
        <f t="shared" si="2"/>
        <v>38002</v>
      </c>
    </row>
    <row r="18" spans="1:9" x14ac:dyDescent="0.35">
      <c r="A18" s="172" t="s">
        <v>513</v>
      </c>
      <c r="B18" s="172">
        <v>2080</v>
      </c>
      <c r="C18" s="172">
        <v>10</v>
      </c>
      <c r="D18" s="173">
        <v>17</v>
      </c>
      <c r="E18" s="106">
        <f t="shared" si="0"/>
        <v>35360</v>
      </c>
      <c r="F18" s="106">
        <f t="shared" si="1"/>
        <v>255</v>
      </c>
      <c r="G18" s="106">
        <f t="shared" si="2"/>
        <v>35615</v>
      </c>
      <c r="I18" t="s">
        <v>456</v>
      </c>
    </row>
    <row r="19" spans="1:9" x14ac:dyDescent="0.35">
      <c r="A19" s="172" t="s">
        <v>514</v>
      </c>
      <c r="B19" s="172">
        <v>2080</v>
      </c>
      <c r="C19" s="172">
        <v>3.5</v>
      </c>
      <c r="D19" s="173">
        <v>17</v>
      </c>
      <c r="E19" s="106">
        <f t="shared" si="0"/>
        <v>35360</v>
      </c>
      <c r="F19" s="106">
        <f t="shared" si="1"/>
        <v>89</v>
      </c>
      <c r="G19" s="106">
        <f t="shared" si="2"/>
        <v>35449</v>
      </c>
      <c r="I19" t="s">
        <v>457</v>
      </c>
    </row>
    <row r="20" spans="1:9" x14ac:dyDescent="0.35">
      <c r="A20" s="172" t="s">
        <v>515</v>
      </c>
      <c r="B20" s="172">
        <v>2080</v>
      </c>
      <c r="C20" s="172"/>
      <c r="D20" s="173">
        <v>16</v>
      </c>
      <c r="E20" s="106">
        <f t="shared" si="0"/>
        <v>33280</v>
      </c>
      <c r="F20" s="106">
        <f t="shared" si="1"/>
        <v>0</v>
      </c>
      <c r="G20" s="106">
        <f t="shared" si="2"/>
        <v>33280</v>
      </c>
      <c r="I20" t="s">
        <v>458</v>
      </c>
    </row>
    <row r="21" spans="1:9" x14ac:dyDescent="0.35">
      <c r="A21" s="172" t="s">
        <v>516</v>
      </c>
      <c r="B21" s="172">
        <v>2080</v>
      </c>
      <c r="C21" s="172"/>
      <c r="D21" s="173">
        <v>15</v>
      </c>
      <c r="E21" s="106">
        <f t="shared" si="0"/>
        <v>31200</v>
      </c>
      <c r="F21" s="106">
        <f t="shared" si="1"/>
        <v>0</v>
      </c>
      <c r="G21" s="106">
        <f t="shared" si="2"/>
        <v>31200</v>
      </c>
      <c r="I21" t="s">
        <v>459</v>
      </c>
    </row>
    <row r="22" spans="1:9" x14ac:dyDescent="0.35">
      <c r="A22" s="172" t="s">
        <v>517</v>
      </c>
      <c r="B22" s="172">
        <v>2080</v>
      </c>
      <c r="C22" s="172"/>
      <c r="D22" s="173">
        <v>15</v>
      </c>
      <c r="E22" s="106">
        <f t="shared" si="0"/>
        <v>31200</v>
      </c>
      <c r="F22" s="106">
        <f t="shared" si="1"/>
        <v>0</v>
      </c>
      <c r="G22" s="106">
        <f t="shared" si="2"/>
        <v>31200</v>
      </c>
      <c r="I22" t="s">
        <v>460</v>
      </c>
    </row>
    <row r="23" spans="1:9" x14ac:dyDescent="0.35">
      <c r="A23" s="172" t="s">
        <v>518</v>
      </c>
      <c r="B23" s="172">
        <v>2080</v>
      </c>
      <c r="C23" s="172"/>
      <c r="D23" s="173">
        <v>15</v>
      </c>
      <c r="E23" s="106">
        <f t="shared" si="0"/>
        <v>31200</v>
      </c>
      <c r="F23" s="106">
        <f t="shared" si="1"/>
        <v>0</v>
      </c>
      <c r="G23" s="106">
        <f t="shared" si="2"/>
        <v>31200</v>
      </c>
    </row>
    <row r="24" spans="1:9" x14ac:dyDescent="0.35">
      <c r="A24" s="172" t="s">
        <v>519</v>
      </c>
      <c r="B24" s="172">
        <v>2080</v>
      </c>
      <c r="C24" s="172"/>
      <c r="D24" s="173">
        <v>15</v>
      </c>
      <c r="E24" s="177">
        <f t="shared" si="0"/>
        <v>31200</v>
      </c>
      <c r="F24" s="177">
        <f t="shared" si="1"/>
        <v>0</v>
      </c>
      <c r="G24" s="177">
        <f t="shared" si="2"/>
        <v>31200</v>
      </c>
    </row>
    <row r="25" spans="1:9" ht="16" thickBot="1" x14ac:dyDescent="0.4">
      <c r="A25" s="23"/>
      <c r="B25" s="23"/>
      <c r="C25" s="23"/>
      <c r="D25" s="23"/>
      <c r="E25" s="202">
        <f>SUM(E9:E24)</f>
        <v>642428</v>
      </c>
      <c r="F25" s="202">
        <f>SUM(F9:F24)</f>
        <v>12078</v>
      </c>
      <c r="G25" s="202">
        <f>SUM(G9:G24)</f>
        <v>654506</v>
      </c>
    </row>
    <row r="26" spans="1:9" ht="16" thickTop="1" x14ac:dyDescent="0.35">
      <c r="A26" s="23"/>
      <c r="B26" s="23"/>
      <c r="C26" s="23"/>
      <c r="D26" s="23"/>
      <c r="E26" s="23"/>
      <c r="F26" s="23"/>
      <c r="G26" s="23"/>
    </row>
    <row r="27" spans="1:9" x14ac:dyDescent="0.35">
      <c r="A27" s="23"/>
      <c r="B27" s="23"/>
      <c r="C27" s="23"/>
      <c r="D27" s="23"/>
      <c r="E27" s="23"/>
      <c r="F27" s="23"/>
      <c r="G27" s="23"/>
    </row>
    <row r="28" spans="1:9" x14ac:dyDescent="0.35">
      <c r="A28" s="24" t="s">
        <v>292</v>
      </c>
      <c r="B28" s="201"/>
      <c r="C28" s="201"/>
      <c r="D28" s="201"/>
      <c r="E28" s="106"/>
      <c r="F28" s="23"/>
      <c r="G28" s="106">
        <f>G25</f>
        <v>654506</v>
      </c>
    </row>
    <row r="29" spans="1:9" x14ac:dyDescent="0.35">
      <c r="A29" s="177" t="s">
        <v>293</v>
      </c>
      <c r="B29" s="177"/>
      <c r="C29" s="177"/>
      <c r="D29" s="187"/>
      <c r="E29" s="177"/>
      <c r="F29" s="23"/>
      <c r="G29" s="177">
        <f>-'SAO- DSC Revised - 3 Emp'!F21</f>
        <v>-444858</v>
      </c>
    </row>
    <row r="30" spans="1:9" ht="16" thickBot="1" x14ac:dyDescent="0.4">
      <c r="A30" s="177" t="s">
        <v>258</v>
      </c>
      <c r="B30" s="177"/>
      <c r="C30" s="177"/>
      <c r="D30" s="23"/>
      <c r="E30" s="23"/>
      <c r="F30" s="23"/>
      <c r="G30" s="202">
        <f>SUM(G28:G29)</f>
        <v>209648</v>
      </c>
    </row>
    <row r="31" spans="1:9" ht="16" thickTop="1" x14ac:dyDescent="0.35"/>
    <row r="32" spans="1:9" x14ac:dyDescent="0.35">
      <c r="A32" s="24" t="s">
        <v>292</v>
      </c>
      <c r="B32" s="23"/>
      <c r="C32" s="23"/>
      <c r="D32" s="23"/>
      <c r="E32" s="23"/>
      <c r="F32" s="23"/>
      <c r="G32" s="185">
        <f>G28</f>
        <v>654506</v>
      </c>
    </row>
    <row r="33" spans="1:7" x14ac:dyDescent="0.35">
      <c r="A33" s="23" t="s">
        <v>79</v>
      </c>
      <c r="B33" s="23"/>
      <c r="C33" s="23"/>
      <c r="D33" s="23"/>
      <c r="E33" s="23"/>
      <c r="F33" s="23"/>
      <c r="G33" s="219">
        <v>7.6499999999999999E-2</v>
      </c>
    </row>
    <row r="34" spans="1:7" x14ac:dyDescent="0.35">
      <c r="A34" s="23" t="s">
        <v>80</v>
      </c>
      <c r="B34" s="23"/>
      <c r="C34" s="23"/>
      <c r="D34" s="23"/>
      <c r="E34" s="23"/>
      <c r="F34" s="23"/>
      <c r="G34" s="106">
        <f>ROUND(G32*G33,0)</f>
        <v>50070</v>
      </c>
    </row>
    <row r="35" spans="1:7" x14ac:dyDescent="0.35">
      <c r="A35" s="23" t="s">
        <v>306</v>
      </c>
      <c r="B35" s="23"/>
      <c r="C35" s="23"/>
      <c r="D35" s="23"/>
      <c r="E35" s="23"/>
      <c r="F35" s="23"/>
      <c r="G35" s="177">
        <v>-33243</v>
      </c>
    </row>
    <row r="36" spans="1:7" ht="16" thickBot="1" x14ac:dyDescent="0.4">
      <c r="A36" s="214" t="s">
        <v>81</v>
      </c>
      <c r="B36" s="233"/>
      <c r="C36" s="23"/>
      <c r="D36" s="23"/>
      <c r="E36" s="23"/>
      <c r="F36" s="23"/>
      <c r="G36" s="202">
        <f>SUM(G34:G35)</f>
        <v>16827</v>
      </c>
    </row>
    <row r="37" spans="1:7" ht="16" thickTop="1" x14ac:dyDescent="0.35"/>
    <row r="38" spans="1:7" x14ac:dyDescent="0.35">
      <c r="A38" s="23" t="s">
        <v>82</v>
      </c>
      <c r="G38" s="57">
        <f>G25</f>
        <v>654506</v>
      </c>
    </row>
    <row r="39" spans="1:7" x14ac:dyDescent="0.35">
      <c r="A39" s="23" t="s">
        <v>139</v>
      </c>
      <c r="G39" s="290">
        <v>0.2334</v>
      </c>
    </row>
    <row r="40" spans="1:7" x14ac:dyDescent="0.35">
      <c r="A40" s="23" t="s">
        <v>140</v>
      </c>
      <c r="G40" s="288">
        <f>ROUND(G38*G39,0)</f>
        <v>152762</v>
      </c>
    </row>
    <row r="41" spans="1:7" x14ac:dyDescent="0.35">
      <c r="A41" s="23" t="s">
        <v>141</v>
      </c>
      <c r="G41" s="288">
        <f>Adj!H55</f>
        <v>-205889</v>
      </c>
    </row>
    <row r="42" spans="1:7" ht="16" thickBot="1" x14ac:dyDescent="0.4">
      <c r="A42" s="23" t="s">
        <v>142</v>
      </c>
      <c r="G42" s="289">
        <f>SUM(G40:G41)</f>
        <v>-53127</v>
      </c>
    </row>
    <row r="43" spans="1:7" ht="16" thickTop="1" x14ac:dyDescent="0.35"/>
  </sheetData>
  <mergeCells count="2">
    <mergeCell ref="B7:C7"/>
    <mergeCell ref="E7:G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12978-0C2A-44BB-BC49-32806A2A96A6}">
  <dimension ref="A6:O58"/>
  <sheetViews>
    <sheetView topLeftCell="D31" workbookViewId="0">
      <selection activeCell="A30" sqref="A30:A34"/>
    </sheetView>
  </sheetViews>
  <sheetFormatPr defaultColWidth="14.765625" defaultRowHeight="15.5" x14ac:dyDescent="0.35"/>
  <cols>
    <col min="8" max="8" width="3.3046875" customWidth="1"/>
  </cols>
  <sheetData>
    <row r="6" spans="1:15" x14ac:dyDescent="0.35">
      <c r="A6" s="23"/>
      <c r="B6" s="23"/>
      <c r="C6" s="23"/>
      <c r="D6" s="175" t="s">
        <v>327</v>
      </c>
      <c r="E6" s="23"/>
      <c r="F6" s="23"/>
      <c r="G6" s="142"/>
      <c r="I6" s="23"/>
      <c r="J6" s="23"/>
      <c r="K6" s="23"/>
      <c r="L6" s="175" t="s">
        <v>327</v>
      </c>
      <c r="M6" s="23"/>
      <c r="N6" s="23"/>
      <c r="O6" s="142"/>
    </row>
    <row r="7" spans="1:15" x14ac:dyDescent="0.35">
      <c r="A7" s="23"/>
      <c r="B7" s="416" t="s">
        <v>326</v>
      </c>
      <c r="C7" s="416"/>
      <c r="D7" s="175" t="s">
        <v>134</v>
      </c>
      <c r="E7" s="417" t="s">
        <v>290</v>
      </c>
      <c r="F7" s="417"/>
      <c r="G7" s="417"/>
      <c r="I7" s="23"/>
      <c r="J7" s="416" t="s">
        <v>326</v>
      </c>
      <c r="K7" s="416"/>
      <c r="L7" s="175" t="s">
        <v>134</v>
      </c>
      <c r="M7" s="417" t="s">
        <v>290</v>
      </c>
      <c r="N7" s="417"/>
      <c r="O7" s="417"/>
    </row>
    <row r="8" spans="1:15" x14ac:dyDescent="0.35">
      <c r="A8" s="183" t="s">
        <v>78</v>
      </c>
      <c r="B8" s="25" t="s">
        <v>274</v>
      </c>
      <c r="C8" s="25" t="s">
        <v>275</v>
      </c>
      <c r="D8" s="25" t="s">
        <v>289</v>
      </c>
      <c r="E8" s="25" t="s">
        <v>274</v>
      </c>
      <c r="F8" s="183" t="s">
        <v>275</v>
      </c>
      <c r="G8" s="25" t="s">
        <v>57</v>
      </c>
      <c r="I8" s="183" t="s">
        <v>78</v>
      </c>
      <c r="J8" s="25" t="s">
        <v>274</v>
      </c>
      <c r="K8" s="25" t="s">
        <v>275</v>
      </c>
      <c r="L8" s="25" t="s">
        <v>289</v>
      </c>
      <c r="M8" s="25" t="s">
        <v>274</v>
      </c>
      <c r="N8" s="183" t="s">
        <v>275</v>
      </c>
      <c r="O8" s="25" t="s">
        <v>57</v>
      </c>
    </row>
    <row r="9" spans="1:15" x14ac:dyDescent="0.35">
      <c r="A9" s="172" t="s">
        <v>284</v>
      </c>
      <c r="B9" s="172">
        <v>2080</v>
      </c>
      <c r="C9" s="172"/>
      <c r="D9" s="173">
        <v>16</v>
      </c>
      <c r="E9" s="232">
        <f>-'Emp Sal &amp; Wages - Application'!G20</f>
        <v>-33280</v>
      </c>
      <c r="F9" s="106">
        <f t="shared" ref="F9:F13" si="0">ROUND(C9*(1.5*D9),0)</f>
        <v>0</v>
      </c>
      <c r="G9" s="106">
        <f t="shared" ref="G9:G13" si="1">SUM(E9,F9)</f>
        <v>-33280</v>
      </c>
      <c r="I9" s="172" t="s">
        <v>284</v>
      </c>
      <c r="J9" s="172">
        <v>2080</v>
      </c>
      <c r="K9" s="172"/>
      <c r="L9" s="173">
        <v>16</v>
      </c>
      <c r="M9" s="106">
        <f>E9</f>
        <v>-33280</v>
      </c>
      <c r="N9" s="106">
        <f t="shared" ref="N9:N13" si="2">ROUND(K9*(1.5*L9),0)</f>
        <v>0</v>
      </c>
      <c r="O9" s="106">
        <f t="shared" ref="O9:O13" si="3">SUM(M9,N9)</f>
        <v>-33280</v>
      </c>
    </row>
    <row r="10" spans="1:15" x14ac:dyDescent="0.35">
      <c r="A10" s="172" t="s">
        <v>285</v>
      </c>
      <c r="B10" s="172">
        <v>2080</v>
      </c>
      <c r="C10" s="172"/>
      <c r="D10" s="173">
        <v>15</v>
      </c>
      <c r="E10" s="106">
        <f>-'Emp Sal &amp; Wages - Application'!G21</f>
        <v>-31200</v>
      </c>
      <c r="F10" s="106">
        <f t="shared" si="0"/>
        <v>0</v>
      </c>
      <c r="G10" s="106">
        <f t="shared" si="1"/>
        <v>-31200</v>
      </c>
      <c r="I10" s="172" t="s">
        <v>285</v>
      </c>
      <c r="J10" s="172">
        <v>2080</v>
      </c>
      <c r="K10" s="172"/>
      <c r="L10" s="173">
        <v>15</v>
      </c>
      <c r="M10" s="106">
        <v>0</v>
      </c>
      <c r="N10" s="106">
        <f t="shared" si="2"/>
        <v>0</v>
      </c>
      <c r="O10" s="106">
        <f t="shared" si="3"/>
        <v>0</v>
      </c>
    </row>
    <row r="11" spans="1:15" x14ac:dyDescent="0.35">
      <c r="A11" s="172" t="s">
        <v>286</v>
      </c>
      <c r="B11" s="172">
        <v>2080</v>
      </c>
      <c r="C11" s="172"/>
      <c r="D11" s="173">
        <v>15</v>
      </c>
      <c r="E11" s="106">
        <f>-'Emp Sal &amp; Wages - Application'!G22</f>
        <v>-31200</v>
      </c>
      <c r="F11" s="106">
        <f t="shared" si="0"/>
        <v>0</v>
      </c>
      <c r="G11" s="106">
        <f t="shared" si="1"/>
        <v>-31200</v>
      </c>
      <c r="I11" s="172" t="s">
        <v>286</v>
      </c>
      <c r="J11" s="172">
        <v>2080</v>
      </c>
      <c r="K11" s="172"/>
      <c r="L11" s="173">
        <v>15</v>
      </c>
      <c r="M11" s="106">
        <f>E11</f>
        <v>-31200</v>
      </c>
      <c r="N11" s="106">
        <f t="shared" si="2"/>
        <v>0</v>
      </c>
      <c r="O11" s="106">
        <f t="shared" si="3"/>
        <v>-31200</v>
      </c>
    </row>
    <row r="12" spans="1:15" x14ac:dyDescent="0.35">
      <c r="A12" s="172" t="s">
        <v>287</v>
      </c>
      <c r="B12" s="172">
        <v>2080</v>
      </c>
      <c r="C12" s="172"/>
      <c r="D12" s="173">
        <v>15</v>
      </c>
      <c r="E12" s="106">
        <f>-'Emp Sal &amp; Wages - Application'!G23</f>
        <v>-31200</v>
      </c>
      <c r="F12" s="106">
        <f t="shared" si="0"/>
        <v>0</v>
      </c>
      <c r="G12" s="106">
        <f t="shared" si="1"/>
        <v>-31200</v>
      </c>
      <c r="I12" s="172" t="s">
        <v>287</v>
      </c>
      <c r="J12" s="172">
        <v>2080</v>
      </c>
      <c r="K12" s="172"/>
      <c r="L12" s="173">
        <v>15</v>
      </c>
      <c r="M12" s="106">
        <v>0</v>
      </c>
      <c r="N12" s="106">
        <f t="shared" si="2"/>
        <v>0</v>
      </c>
      <c r="O12" s="106">
        <f t="shared" si="3"/>
        <v>0</v>
      </c>
    </row>
    <row r="13" spans="1:15" x14ac:dyDescent="0.35">
      <c r="A13" s="172" t="s">
        <v>288</v>
      </c>
      <c r="B13" s="172">
        <v>2080</v>
      </c>
      <c r="C13" s="172"/>
      <c r="D13" s="173">
        <v>15</v>
      </c>
      <c r="E13" s="386">
        <f>-'Emp Sal &amp; Wages - Application'!G24</f>
        <v>-31200</v>
      </c>
      <c r="F13" s="177">
        <f t="shared" si="0"/>
        <v>0</v>
      </c>
      <c r="G13" s="177">
        <f t="shared" si="1"/>
        <v>-31200</v>
      </c>
      <c r="I13" s="172" t="s">
        <v>288</v>
      </c>
      <c r="J13" s="172">
        <v>2080</v>
      </c>
      <c r="K13" s="172"/>
      <c r="L13" s="173">
        <v>15</v>
      </c>
      <c r="M13" s="177">
        <f>E13</f>
        <v>-31200</v>
      </c>
      <c r="N13" s="177">
        <f t="shared" si="2"/>
        <v>0</v>
      </c>
      <c r="O13" s="177">
        <f t="shared" si="3"/>
        <v>-31200</v>
      </c>
    </row>
    <row r="14" spans="1:15" ht="16" thickBot="1" x14ac:dyDescent="0.4">
      <c r="A14" s="23"/>
      <c r="B14" s="23"/>
      <c r="C14" s="23"/>
      <c r="D14" s="23"/>
      <c r="E14" s="202">
        <f>SUM(E9:E13)</f>
        <v>-158080</v>
      </c>
      <c r="F14" s="202">
        <f>SUM(F10:F13)</f>
        <v>0</v>
      </c>
      <c r="G14" s="202">
        <f>SUM(G9:G13)</f>
        <v>-158080</v>
      </c>
      <c r="I14" s="23"/>
      <c r="J14" s="23"/>
      <c r="K14" s="23"/>
      <c r="L14" s="23"/>
      <c r="M14" s="202">
        <f>SUM(M9:M13)</f>
        <v>-95680</v>
      </c>
      <c r="N14" s="202">
        <f>SUM(N10:N13)</f>
        <v>0</v>
      </c>
      <c r="O14" s="202">
        <f>SUM(O9:O13)</f>
        <v>-95680</v>
      </c>
    </row>
    <row r="15" spans="1:15" ht="16" thickTop="1" x14ac:dyDescent="0.35">
      <c r="A15" s="23"/>
      <c r="B15" s="23"/>
      <c r="C15" s="23"/>
      <c r="D15" s="23"/>
      <c r="E15" s="23"/>
      <c r="F15" s="23"/>
      <c r="G15" s="23"/>
      <c r="I15" s="23"/>
      <c r="J15" s="23"/>
      <c r="K15" s="23"/>
      <c r="L15" s="23"/>
      <c r="M15" s="23"/>
      <c r="N15" s="23"/>
      <c r="O15" s="23"/>
    </row>
    <row r="17" spans="1:15" x14ac:dyDescent="0.35">
      <c r="A17" s="24" t="s">
        <v>292</v>
      </c>
      <c r="B17" s="23"/>
      <c r="C17" s="23"/>
      <c r="D17" s="23"/>
      <c r="E17" s="23"/>
      <c r="F17" s="23"/>
      <c r="G17" s="185">
        <f>G14</f>
        <v>-158080</v>
      </c>
      <c r="I17" s="24" t="s">
        <v>292</v>
      </c>
      <c r="J17" s="23"/>
      <c r="K17" s="23"/>
      <c r="L17" s="23"/>
      <c r="M17" s="23"/>
      <c r="N17" s="23"/>
      <c r="O17" s="185">
        <f>O14</f>
        <v>-95680</v>
      </c>
    </row>
    <row r="18" spans="1:15" x14ac:dyDescent="0.35">
      <c r="A18" s="23" t="s">
        <v>79</v>
      </c>
      <c r="B18" s="23"/>
      <c r="C18" s="23"/>
      <c r="D18" s="23"/>
      <c r="E18" s="23"/>
      <c r="F18" s="23"/>
      <c r="G18" s="219">
        <v>7.6499999999999999E-2</v>
      </c>
      <c r="I18" s="23" t="s">
        <v>79</v>
      </c>
      <c r="J18" s="23"/>
      <c r="K18" s="23"/>
      <c r="L18" s="23"/>
      <c r="M18" s="23"/>
      <c r="N18" s="23"/>
      <c r="O18" s="219">
        <v>7.6499999999999999E-2</v>
      </c>
    </row>
    <row r="19" spans="1:15" ht="16" thickBot="1" x14ac:dyDescent="0.4">
      <c r="A19" s="23" t="s">
        <v>432</v>
      </c>
      <c r="B19" s="23"/>
      <c r="C19" s="23"/>
      <c r="D19" s="23"/>
      <c r="E19" s="23"/>
      <c r="F19" s="23"/>
      <c r="G19" s="202">
        <f>ROUND(G17*G18,0)</f>
        <v>-12093</v>
      </c>
      <c r="I19" s="23" t="s">
        <v>432</v>
      </c>
      <c r="J19" s="23"/>
      <c r="K19" s="23"/>
      <c r="L19" s="23"/>
      <c r="M19" s="23"/>
      <c r="N19" s="23"/>
      <c r="O19" s="202">
        <f>ROUND(O17*O18,0)</f>
        <v>-7320</v>
      </c>
    </row>
    <row r="20" spans="1:15" ht="16" thickTop="1" x14ac:dyDescent="0.35"/>
    <row r="21" spans="1:15" x14ac:dyDescent="0.35">
      <c r="A21" s="23" t="s">
        <v>82</v>
      </c>
      <c r="G21" s="57">
        <f>G14</f>
        <v>-158080</v>
      </c>
      <c r="I21" s="23" t="s">
        <v>82</v>
      </c>
      <c r="O21" s="57">
        <f>O14</f>
        <v>-95680</v>
      </c>
    </row>
    <row r="22" spans="1:15" x14ac:dyDescent="0.35">
      <c r="A22" s="23" t="s">
        <v>139</v>
      </c>
      <c r="G22" s="290">
        <v>0.2334</v>
      </c>
      <c r="I22" s="23" t="s">
        <v>139</v>
      </c>
      <c r="O22" s="290">
        <v>0.2334</v>
      </c>
    </row>
    <row r="23" spans="1:15" ht="16" thickBot="1" x14ac:dyDescent="0.4">
      <c r="A23" s="23" t="s">
        <v>140</v>
      </c>
      <c r="G23" s="202">
        <f>ROUND(G21*G22,0)</f>
        <v>-36896</v>
      </c>
      <c r="I23" s="23" t="s">
        <v>140</v>
      </c>
      <c r="O23" s="202">
        <f>ROUND(O21*O22,0)</f>
        <v>-22332</v>
      </c>
    </row>
    <row r="24" spans="1:15" ht="16" thickTop="1" x14ac:dyDescent="0.35"/>
    <row r="27" spans="1:15" x14ac:dyDescent="0.3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1:15" x14ac:dyDescent="0.35">
      <c r="A28" s="60"/>
      <c r="B28" s="60"/>
      <c r="C28" s="60"/>
      <c r="D28" s="82" t="s">
        <v>70</v>
      </c>
      <c r="E28" s="82" t="s">
        <v>119</v>
      </c>
      <c r="F28" s="60"/>
      <c r="G28" s="82" t="s">
        <v>294</v>
      </c>
      <c r="I28" s="60"/>
      <c r="J28" s="60"/>
      <c r="K28" s="60"/>
      <c r="L28" s="82" t="s">
        <v>70</v>
      </c>
      <c r="M28" s="82" t="s">
        <v>119</v>
      </c>
      <c r="N28" s="60"/>
      <c r="O28" s="82" t="s">
        <v>294</v>
      </c>
    </row>
    <row r="29" spans="1:15" x14ac:dyDescent="0.35">
      <c r="A29" s="60"/>
      <c r="B29" s="60"/>
      <c r="C29" s="25" t="s">
        <v>1</v>
      </c>
      <c r="D29" s="25" t="s">
        <v>280</v>
      </c>
      <c r="E29" s="25" t="s">
        <v>281</v>
      </c>
      <c r="F29" s="25" t="s">
        <v>118</v>
      </c>
      <c r="G29" s="25" t="s">
        <v>78</v>
      </c>
      <c r="I29" s="60"/>
      <c r="J29" s="60"/>
      <c r="K29" s="25" t="s">
        <v>1</v>
      </c>
      <c r="L29" s="25" t="s">
        <v>280</v>
      </c>
      <c r="M29" s="25" t="s">
        <v>281</v>
      </c>
      <c r="N29" s="25" t="s">
        <v>118</v>
      </c>
      <c r="O29" s="25" t="s">
        <v>78</v>
      </c>
    </row>
    <row r="30" spans="1:15" x14ac:dyDescent="0.35">
      <c r="A30" s="172" t="s">
        <v>515</v>
      </c>
      <c r="B30" s="273"/>
      <c r="C30" s="273">
        <f>-'Anthem Aug 2023 Inv'!D15</f>
        <v>-2.75</v>
      </c>
      <c r="D30" s="273">
        <f>-'Anthem Aug 2023 Inv'!F15</f>
        <v>-22.07</v>
      </c>
      <c r="E30" s="273">
        <f>-'Anthem Aug 2023 Inv'!H15</f>
        <v>-8.16</v>
      </c>
      <c r="F30" s="273">
        <f>-'Anthem Aug 2023 Inv'!J15</f>
        <v>-873.37</v>
      </c>
      <c r="G30" s="273">
        <f>SUM(C30,D30,E30,F30)</f>
        <v>-906.35</v>
      </c>
      <c r="I30" s="172" t="s">
        <v>515</v>
      </c>
      <c r="J30" s="273"/>
      <c r="K30" s="403">
        <f>C30</f>
        <v>-2.75</v>
      </c>
      <c r="L30" s="403">
        <f>D30</f>
        <v>-22.07</v>
      </c>
      <c r="M30" s="403">
        <f>E30</f>
        <v>-8.16</v>
      </c>
      <c r="N30" s="403">
        <f>F30</f>
        <v>-873.37</v>
      </c>
      <c r="O30" s="273">
        <f>SUM(K30,L30,M30,N30)</f>
        <v>-906.35</v>
      </c>
    </row>
    <row r="31" spans="1:15" x14ac:dyDescent="0.35">
      <c r="A31" s="172" t="s">
        <v>516</v>
      </c>
      <c r="B31" s="273"/>
      <c r="C31" s="273">
        <f>-'Anthem Aug 2023 Inv'!D16</f>
        <v>-2.75</v>
      </c>
      <c r="D31" s="273">
        <f>-'Anthem Aug 2023 Inv'!F16</f>
        <v>-22.07</v>
      </c>
      <c r="E31" s="273">
        <f>-'Anthem Aug 2023 Inv'!H16</f>
        <v>-8.16</v>
      </c>
      <c r="F31" s="273">
        <f>-'Anthem Aug 2023 Inv'!J16</f>
        <v>-873.37</v>
      </c>
      <c r="G31" s="273">
        <f>SUM(C31,D31,E31,F31)</f>
        <v>-906.35</v>
      </c>
      <c r="I31" s="172" t="s">
        <v>516</v>
      </c>
      <c r="J31" s="273"/>
      <c r="K31" s="273">
        <v>0</v>
      </c>
      <c r="L31" s="273">
        <v>0</v>
      </c>
      <c r="M31" s="273">
        <v>0</v>
      </c>
      <c r="N31" s="273">
        <v>0</v>
      </c>
      <c r="O31" s="273">
        <f>SUM(K31,L31,M31,N31)</f>
        <v>0</v>
      </c>
    </row>
    <row r="32" spans="1:15" x14ac:dyDescent="0.35">
      <c r="A32" s="172" t="s">
        <v>517</v>
      </c>
      <c r="B32" s="273"/>
      <c r="C32" s="273">
        <f>-'Anthem Aug 2023 Inv'!D17</f>
        <v>-2.75</v>
      </c>
      <c r="D32" s="273">
        <f>-'Anthem Aug 2023 Inv'!F17</f>
        <v>-22.07</v>
      </c>
      <c r="E32" s="273">
        <f>-'Anthem Aug 2023 Inv'!H17</f>
        <v>-8.16</v>
      </c>
      <c r="F32" s="273">
        <f>-'Anthem Aug 2023 Inv'!J17</f>
        <v>-873.37</v>
      </c>
      <c r="G32" s="273">
        <f>SUM(C32,D32,E32,F32)</f>
        <v>-906.35</v>
      </c>
      <c r="I32" s="172" t="s">
        <v>517</v>
      </c>
      <c r="J32" s="273"/>
      <c r="K32" s="273">
        <f t="shared" ref="K32:N34" si="4">C32</f>
        <v>-2.75</v>
      </c>
      <c r="L32" s="273">
        <f t="shared" si="4"/>
        <v>-22.07</v>
      </c>
      <c r="M32" s="273">
        <f t="shared" si="4"/>
        <v>-8.16</v>
      </c>
      <c r="N32" s="273">
        <f t="shared" si="4"/>
        <v>-873.37</v>
      </c>
      <c r="O32" s="273">
        <f>SUM(K32,L32,M32,N32)</f>
        <v>-906.35</v>
      </c>
    </row>
    <row r="33" spans="1:15" x14ac:dyDescent="0.35">
      <c r="A33" s="172" t="s">
        <v>518</v>
      </c>
      <c r="B33" s="273"/>
      <c r="C33" s="273">
        <f>-'Anthem Aug 2023 Inv'!D18</f>
        <v>-2.75</v>
      </c>
      <c r="D33" s="273">
        <f>-'Anthem Aug 2023 Inv'!F18</f>
        <v>-22.07</v>
      </c>
      <c r="E33" s="273">
        <f>-'Anthem Aug 2023 Inv'!H18</f>
        <v>-8.16</v>
      </c>
      <c r="F33" s="273">
        <f>-'Anthem Aug 2023 Inv'!J18</f>
        <v>-873.37</v>
      </c>
      <c r="G33" s="273">
        <f>SUM(C33,D33,E33,F33)</f>
        <v>-906.35</v>
      </c>
      <c r="I33" s="172" t="s">
        <v>518</v>
      </c>
      <c r="J33" s="273"/>
      <c r="K33" s="273">
        <v>0</v>
      </c>
      <c r="L33" s="273">
        <v>0</v>
      </c>
      <c r="M33" s="273">
        <v>0</v>
      </c>
      <c r="N33" s="273">
        <v>0</v>
      </c>
      <c r="O33" s="273">
        <f>SUM(K33,L33,M33,N33)</f>
        <v>0</v>
      </c>
    </row>
    <row r="34" spans="1:15" x14ac:dyDescent="0.35">
      <c r="A34" s="172" t="s">
        <v>519</v>
      </c>
      <c r="B34" s="273"/>
      <c r="C34" s="275">
        <f>-'Anthem Aug 2023 Inv'!D19</f>
        <v>-2.75</v>
      </c>
      <c r="D34" s="273">
        <f>-'Anthem Aug 2023 Inv'!F19</f>
        <v>-22.07</v>
      </c>
      <c r="E34" s="273">
        <f>-'Anthem Aug 2023 Inv'!H19</f>
        <v>-8.16</v>
      </c>
      <c r="F34" s="273">
        <f>-'Anthem Aug 2023 Inv'!J19</f>
        <v>-873.37</v>
      </c>
      <c r="G34" s="275">
        <f>SUM(C34,D34,E34,F34)</f>
        <v>-906.35</v>
      </c>
      <c r="I34" s="172" t="s">
        <v>519</v>
      </c>
      <c r="J34" s="273"/>
      <c r="K34" s="275">
        <f t="shared" si="4"/>
        <v>-2.75</v>
      </c>
      <c r="L34" s="275">
        <f t="shared" si="4"/>
        <v>-22.07</v>
      </c>
      <c r="M34" s="275">
        <f t="shared" si="4"/>
        <v>-8.16</v>
      </c>
      <c r="N34" s="275">
        <f t="shared" si="4"/>
        <v>-873.37</v>
      </c>
      <c r="O34" s="275">
        <f>SUM(K34,L34,M34,N34)</f>
        <v>-906.35</v>
      </c>
    </row>
    <row r="35" spans="1:15" x14ac:dyDescent="0.35">
      <c r="A35" s="269" t="s">
        <v>312</v>
      </c>
      <c r="B35" s="60"/>
      <c r="C35" s="60">
        <f>SUM(C30:C34)</f>
        <v>-13.75</v>
      </c>
      <c r="D35" s="60">
        <f>SUM(D30:D34)</f>
        <v>-110.35</v>
      </c>
      <c r="E35" s="60">
        <f>SUM(E30:E34)</f>
        <v>-40.799999999999997</v>
      </c>
      <c r="F35" s="60">
        <f>SUM(F30:F34)</f>
        <v>-4366.8500000000004</v>
      </c>
      <c r="G35" s="60">
        <f>SUM(G30:G34)</f>
        <v>-4531.75</v>
      </c>
      <c r="I35" s="269" t="s">
        <v>312</v>
      </c>
      <c r="J35" s="60"/>
      <c r="K35" s="60">
        <v>0</v>
      </c>
      <c r="L35" s="60">
        <f>SUM(L30:L34)</f>
        <v>-66.210000000000008</v>
      </c>
      <c r="M35" s="60">
        <f>SUM(M30:M34)</f>
        <v>-24.48</v>
      </c>
      <c r="N35" s="60">
        <f>SUM(N30:N34)</f>
        <v>-2620.11</v>
      </c>
      <c r="O35" s="60">
        <f>SUM(O30:O34)</f>
        <v>-2719.05</v>
      </c>
    </row>
    <row r="36" spans="1:15" x14ac:dyDescent="0.35">
      <c r="A36" s="269" t="s">
        <v>313</v>
      </c>
      <c r="B36" s="60"/>
      <c r="C36" s="270">
        <v>12</v>
      </c>
      <c r="D36" s="270">
        <v>12</v>
      </c>
      <c r="E36" s="270">
        <v>12</v>
      </c>
      <c r="F36" s="270">
        <v>12</v>
      </c>
      <c r="G36" s="270">
        <v>12</v>
      </c>
      <c r="I36" s="269" t="s">
        <v>313</v>
      </c>
      <c r="J36" s="60"/>
      <c r="K36" s="270">
        <v>12</v>
      </c>
      <c r="L36" s="270">
        <v>12</v>
      </c>
      <c r="M36" s="270">
        <v>12</v>
      </c>
      <c r="N36" s="270">
        <v>12</v>
      </c>
      <c r="O36" s="270">
        <v>12</v>
      </c>
    </row>
    <row r="37" spans="1:15" ht="16" thickBot="1" x14ac:dyDescent="0.4">
      <c r="A37" s="269" t="s">
        <v>314</v>
      </c>
      <c r="B37" s="60"/>
      <c r="C37" s="271">
        <f>C35*C36</f>
        <v>-165</v>
      </c>
      <c r="D37" s="271">
        <f>D35*D36</f>
        <v>-1324.1999999999998</v>
      </c>
      <c r="E37" s="271">
        <f>E35*E36</f>
        <v>-489.59999999999997</v>
      </c>
      <c r="F37" s="271">
        <f>F35*F36</f>
        <v>-52402.200000000004</v>
      </c>
      <c r="G37" s="271">
        <f>G35*G36</f>
        <v>-54381</v>
      </c>
      <c r="I37" s="269" t="s">
        <v>314</v>
      </c>
      <c r="J37" s="60"/>
      <c r="K37" s="271">
        <f>K35*K36</f>
        <v>0</v>
      </c>
      <c r="L37" s="271">
        <f>L35*L36</f>
        <v>-794.5200000000001</v>
      </c>
      <c r="M37" s="271">
        <f>M35*M36</f>
        <v>-293.76</v>
      </c>
      <c r="N37" s="271">
        <f>N35*N36</f>
        <v>-31441.32</v>
      </c>
      <c r="O37" s="271">
        <f>O35*O36</f>
        <v>-32628.600000000002</v>
      </c>
    </row>
    <row r="38" spans="1:15" ht="16" thickTop="1" x14ac:dyDescent="0.35">
      <c r="A38" s="60"/>
      <c r="B38" s="60"/>
      <c r="C38" s="60"/>
      <c r="D38" s="60"/>
      <c r="E38" s="60"/>
      <c r="F38" s="60"/>
      <c r="G38" s="60"/>
      <c r="I38" s="60"/>
      <c r="J38" s="60"/>
      <c r="K38" s="60"/>
      <c r="L38" s="60"/>
      <c r="M38" s="60"/>
      <c r="N38" s="60"/>
      <c r="O38" s="60"/>
    </row>
    <row r="39" spans="1:15" x14ac:dyDescent="0.3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</row>
    <row r="40" spans="1:15" x14ac:dyDescent="0.35">
      <c r="A40" s="274" t="s">
        <v>362</v>
      </c>
      <c r="B40" s="273"/>
      <c r="C40" s="60"/>
      <c r="D40" s="60"/>
      <c r="E40" s="60"/>
      <c r="F40" s="60"/>
      <c r="G40" s="60"/>
      <c r="H40" s="60"/>
      <c r="I40" s="274" t="s">
        <v>362</v>
      </c>
      <c r="J40" s="273"/>
      <c r="K40" s="60"/>
      <c r="L40" s="60"/>
      <c r="M40" s="60"/>
      <c r="N40" s="60"/>
      <c r="O40" s="60"/>
    </row>
    <row r="41" spans="1:15" x14ac:dyDescent="0.35">
      <c r="A41" s="178" t="s">
        <v>116</v>
      </c>
      <c r="B41" s="60"/>
      <c r="C41" s="182"/>
      <c r="D41" s="60"/>
      <c r="E41" s="182"/>
      <c r="F41" s="28"/>
      <c r="G41" s="23"/>
      <c r="H41" s="60"/>
      <c r="I41" s="178" t="s">
        <v>116</v>
      </c>
      <c r="J41" s="60"/>
      <c r="K41" s="182"/>
      <c r="L41" s="60"/>
      <c r="M41" s="182"/>
      <c r="N41" s="28"/>
      <c r="O41" s="23"/>
    </row>
    <row r="42" spans="1:15" ht="18" x14ac:dyDescent="0.6">
      <c r="A42" s="23"/>
      <c r="B42" s="60"/>
      <c r="C42" s="209" t="s">
        <v>121</v>
      </c>
      <c r="D42" s="209" t="s">
        <v>72</v>
      </c>
      <c r="E42" s="209" t="s">
        <v>73</v>
      </c>
      <c r="F42" s="209" t="s">
        <v>54</v>
      </c>
      <c r="I42" s="23"/>
      <c r="J42" s="60"/>
      <c r="K42" s="209" t="s">
        <v>121</v>
      </c>
      <c r="L42" s="209" t="s">
        <v>72</v>
      </c>
      <c r="M42" s="209" t="s">
        <v>73</v>
      </c>
      <c r="N42" s="209" t="s">
        <v>54</v>
      </c>
    </row>
    <row r="43" spans="1:15" ht="18" x14ac:dyDescent="0.6">
      <c r="A43" s="23"/>
      <c r="B43" s="60"/>
      <c r="C43" s="209" t="s">
        <v>73</v>
      </c>
      <c r="D43" s="209" t="s">
        <v>117</v>
      </c>
      <c r="E43" s="209" t="s">
        <v>74</v>
      </c>
      <c r="F43" s="209" t="s">
        <v>71</v>
      </c>
      <c r="I43" s="23"/>
      <c r="J43" s="60"/>
      <c r="K43" s="209" t="s">
        <v>73</v>
      </c>
      <c r="L43" s="209" t="s">
        <v>117</v>
      </c>
      <c r="M43" s="209" t="s">
        <v>74</v>
      </c>
      <c r="N43" s="209" t="s">
        <v>71</v>
      </c>
    </row>
    <row r="44" spans="1:15" ht="18" x14ac:dyDescent="0.6">
      <c r="A44" s="212" t="s">
        <v>120</v>
      </c>
      <c r="B44" s="60"/>
      <c r="C44" s="213"/>
      <c r="D44" s="213"/>
      <c r="E44" s="213"/>
      <c r="F44" s="213"/>
      <c r="I44" s="212" t="s">
        <v>120</v>
      </c>
      <c r="J44" s="60"/>
      <c r="K44" s="213"/>
      <c r="L44" s="213"/>
      <c r="M44" s="213"/>
      <c r="N44" s="213"/>
    </row>
    <row r="45" spans="1:15" x14ac:dyDescent="0.35">
      <c r="A45" s="179" t="s">
        <v>118</v>
      </c>
      <c r="B45" s="60"/>
      <c r="C45" s="182">
        <f>F37</f>
        <v>-52402.200000000004</v>
      </c>
      <c r="D45" s="216">
        <v>0.21</v>
      </c>
      <c r="E45" s="182">
        <f>C45*D45</f>
        <v>-11004.462000000001</v>
      </c>
      <c r="F45" s="182">
        <f>C45-E45</f>
        <v>-41397.738000000005</v>
      </c>
      <c r="I45" s="179" t="s">
        <v>118</v>
      </c>
      <c r="J45" s="60"/>
      <c r="K45" s="182">
        <f>N37</f>
        <v>-31441.32</v>
      </c>
      <c r="L45" s="216">
        <v>0.21</v>
      </c>
      <c r="M45" s="182">
        <f>K45*L45</f>
        <v>-6602.6772000000001</v>
      </c>
      <c r="N45" s="182">
        <f>K45-M45</f>
        <v>-24838.642800000001</v>
      </c>
    </row>
    <row r="46" spans="1:15" x14ac:dyDescent="0.35">
      <c r="A46" s="179" t="s">
        <v>1</v>
      </c>
      <c r="B46" s="60"/>
      <c r="C46" s="182">
        <f>C37</f>
        <v>-165</v>
      </c>
      <c r="D46" s="216">
        <v>0</v>
      </c>
      <c r="E46" s="182">
        <f>C46*D46</f>
        <v>0</v>
      </c>
      <c r="F46" s="182">
        <f>C46-E46</f>
        <v>-165</v>
      </c>
      <c r="I46" s="179" t="s">
        <v>1</v>
      </c>
      <c r="J46" s="60"/>
      <c r="K46" s="182">
        <f>K37</f>
        <v>0</v>
      </c>
      <c r="L46" s="216">
        <v>0</v>
      </c>
      <c r="M46" s="182">
        <f>K46*L46</f>
        <v>0</v>
      </c>
      <c r="N46" s="182">
        <f>K46-M46</f>
        <v>0</v>
      </c>
    </row>
    <row r="47" spans="1:15" x14ac:dyDescent="0.35">
      <c r="A47" s="179" t="s">
        <v>70</v>
      </c>
      <c r="B47" s="60"/>
      <c r="C47" s="182">
        <f>D37</f>
        <v>-1324.1999999999998</v>
      </c>
      <c r="D47" s="216">
        <v>0.6</v>
      </c>
      <c r="E47" s="182">
        <f>C47*D47</f>
        <v>-794.51999999999987</v>
      </c>
      <c r="F47" s="182">
        <f>C47-E47</f>
        <v>-529.67999999999995</v>
      </c>
      <c r="I47" s="179" t="s">
        <v>70</v>
      </c>
      <c r="J47" s="60"/>
      <c r="K47" s="182">
        <f>L37</f>
        <v>-794.5200000000001</v>
      </c>
      <c r="L47" s="216">
        <v>0.6</v>
      </c>
      <c r="M47" s="182">
        <f>K47*L47</f>
        <v>-476.71200000000005</v>
      </c>
      <c r="N47" s="182">
        <f>K47-M47</f>
        <v>-317.80800000000005</v>
      </c>
    </row>
    <row r="48" spans="1:15" ht="18" x14ac:dyDescent="0.6">
      <c r="A48" s="179" t="s">
        <v>119</v>
      </c>
      <c r="B48" s="60"/>
      <c r="C48" s="182">
        <f>E37</f>
        <v>-489.59999999999997</v>
      </c>
      <c r="D48" s="216">
        <v>0</v>
      </c>
      <c r="E48" s="182">
        <f>C48*D48</f>
        <v>0</v>
      </c>
      <c r="F48" s="220">
        <f>C48-E48</f>
        <v>-489.59999999999997</v>
      </c>
      <c r="I48" s="179" t="s">
        <v>119</v>
      </c>
      <c r="J48" s="60"/>
      <c r="K48" s="182">
        <f>M37</f>
        <v>-293.76</v>
      </c>
      <c r="L48" s="216">
        <v>0</v>
      </c>
      <c r="M48" s="182">
        <f>K48*L48</f>
        <v>0</v>
      </c>
      <c r="N48" s="220">
        <f>K48-M48</f>
        <v>-293.76</v>
      </c>
    </row>
    <row r="49" spans="1:15" x14ac:dyDescent="0.35">
      <c r="A49" s="179"/>
      <c r="B49" s="60"/>
      <c r="C49" s="182">
        <f>SUM(C45:C48)</f>
        <v>-54381</v>
      </c>
      <c r="D49" s="216"/>
      <c r="E49" s="182"/>
      <c r="F49" s="182">
        <f>SUM(F45:F48)</f>
        <v>-42582.018000000004</v>
      </c>
      <c r="I49" s="179"/>
      <c r="J49" s="60"/>
      <c r="K49" s="182">
        <f>SUM(K45:K48)</f>
        <v>-32529.599999999999</v>
      </c>
      <c r="L49" s="216"/>
      <c r="M49" s="182"/>
      <c r="N49" s="182">
        <f>SUM(N45:N48)</f>
        <v>-25450.210800000001</v>
      </c>
    </row>
    <row r="50" spans="1:15" x14ac:dyDescent="0.35">
      <c r="A50" s="179"/>
      <c r="B50" s="60"/>
      <c r="C50" s="182"/>
      <c r="D50" s="224" t="s">
        <v>122</v>
      </c>
      <c r="E50" s="28">
        <v>1</v>
      </c>
      <c r="F50" s="182">
        <f>F49*E50</f>
        <v>-42582.018000000004</v>
      </c>
      <c r="I50" s="179"/>
      <c r="J50" s="60"/>
      <c r="K50" s="182"/>
      <c r="L50" s="224" t="s">
        <v>122</v>
      </c>
      <c r="M50" s="28">
        <v>1</v>
      </c>
      <c r="N50" s="182">
        <f>N49*M50</f>
        <v>-25450.210800000001</v>
      </c>
    </row>
    <row r="51" spans="1:15" ht="18" x14ac:dyDescent="0.6">
      <c r="A51" s="212"/>
      <c r="B51" s="60"/>
      <c r="C51" s="213"/>
      <c r="D51" s="213"/>
      <c r="E51" s="213"/>
      <c r="F51" s="60"/>
      <c r="I51" s="212"/>
      <c r="J51" s="60"/>
      <c r="K51" s="213"/>
      <c r="L51" s="213"/>
      <c r="M51" s="213"/>
      <c r="N51" s="60"/>
    </row>
    <row r="52" spans="1:15" x14ac:dyDescent="0.35">
      <c r="A52" s="179"/>
      <c r="B52" s="60"/>
      <c r="C52" s="182"/>
      <c r="D52" s="216"/>
      <c r="E52" s="182"/>
      <c r="F52" s="60"/>
      <c r="I52" s="179"/>
      <c r="J52" s="60"/>
      <c r="K52" s="182"/>
      <c r="L52" s="216"/>
      <c r="M52" s="182"/>
      <c r="N52" s="60"/>
    </row>
    <row r="53" spans="1:15" x14ac:dyDescent="0.35">
      <c r="A53" s="23"/>
      <c r="B53" s="60"/>
      <c r="C53" s="186" t="s">
        <v>123</v>
      </c>
      <c r="D53" s="28">
        <f>ROUND(F50+F59,0)</f>
        <v>-42582</v>
      </c>
      <c r="E53" s="182"/>
      <c r="F53" s="60"/>
      <c r="G53" s="60"/>
      <c r="I53" s="23"/>
      <c r="J53" s="60"/>
      <c r="K53" s="186" t="s">
        <v>123</v>
      </c>
      <c r="L53" s="28">
        <f>ROUND(N50+N59,0)</f>
        <v>-25450</v>
      </c>
      <c r="M53" s="182"/>
      <c r="N53" s="60"/>
      <c r="O53" s="60"/>
    </row>
    <row r="54" spans="1:15" x14ac:dyDescent="0.35">
      <c r="A54" s="23"/>
      <c r="B54" s="60"/>
      <c r="C54" s="186" t="s">
        <v>75</v>
      </c>
      <c r="D54" s="28">
        <f>D53*12</f>
        <v>-510984</v>
      </c>
      <c r="E54" s="182"/>
      <c r="F54" s="60"/>
      <c r="G54" s="60"/>
      <c r="I54" s="23"/>
      <c r="J54" s="60"/>
      <c r="K54" s="186" t="s">
        <v>75</v>
      </c>
      <c r="L54" s="28">
        <f>L53*12</f>
        <v>-305400</v>
      </c>
      <c r="M54" s="182"/>
      <c r="N54" s="60"/>
      <c r="O54" s="60"/>
    </row>
    <row r="55" spans="1:15" ht="18" x14ac:dyDescent="0.6">
      <c r="A55" s="23"/>
      <c r="B55" s="60"/>
      <c r="C55" s="186" t="s">
        <v>76</v>
      </c>
      <c r="D55" s="249">
        <v>-87335</v>
      </c>
      <c r="E55" s="220"/>
      <c r="F55" s="60"/>
      <c r="G55" s="60"/>
      <c r="I55" s="23"/>
      <c r="J55" s="60"/>
      <c r="K55" s="186" t="s">
        <v>76</v>
      </c>
      <c r="L55" s="249">
        <v>-87335</v>
      </c>
      <c r="M55" s="220"/>
      <c r="N55" s="60"/>
      <c r="O55" s="60"/>
    </row>
    <row r="56" spans="1:15" ht="16" thickBot="1" x14ac:dyDescent="0.4">
      <c r="A56" s="195"/>
      <c r="B56" s="60"/>
      <c r="C56" s="228" t="s">
        <v>77</v>
      </c>
      <c r="D56" s="225">
        <f>D54+D55</f>
        <v>-598319</v>
      </c>
      <c r="E56" s="223"/>
      <c r="F56" s="60"/>
      <c r="G56" s="60"/>
      <c r="I56" s="195"/>
      <c r="J56" s="60"/>
      <c r="K56" s="228" t="s">
        <v>77</v>
      </c>
      <c r="L56" s="225">
        <f>L54+L55</f>
        <v>-392735</v>
      </c>
      <c r="M56" s="223"/>
      <c r="N56" s="60"/>
      <c r="O56" s="60"/>
    </row>
    <row r="57" spans="1:15" ht="16" thickTop="1" x14ac:dyDescent="0.35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</row>
    <row r="58" spans="1:15" x14ac:dyDescent="0.3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</row>
  </sheetData>
  <mergeCells count="4">
    <mergeCell ref="B7:C7"/>
    <mergeCell ref="E7:G7"/>
    <mergeCell ref="J7:K7"/>
    <mergeCell ref="M7: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23D8B-260A-45F1-BCDA-1D1F1D9CDD9E}">
  <dimension ref="A11:J29"/>
  <sheetViews>
    <sheetView topLeftCell="A7" workbookViewId="0">
      <selection activeCell="J28" activeCellId="1" sqref="H28 J28"/>
    </sheetView>
  </sheetViews>
  <sheetFormatPr defaultColWidth="8.84375" defaultRowHeight="15.5" x14ac:dyDescent="0.35"/>
  <cols>
    <col min="1" max="1" width="29.07421875" style="27" customWidth="1"/>
    <col min="2" max="2" width="8.84375" style="27"/>
    <col min="3" max="3" width="9.84375" style="27" bestFit="1" customWidth="1"/>
    <col min="4" max="4" width="28.53515625" style="27" customWidth="1"/>
    <col min="5" max="5" width="25" style="27" customWidth="1"/>
    <col min="6" max="6" width="12.765625" style="62" customWidth="1"/>
    <col min="7" max="7" width="2" style="62" customWidth="1"/>
    <col min="8" max="8" width="9.4609375" style="62" bestFit="1" customWidth="1"/>
    <col min="9" max="9" width="12.765625" style="27" customWidth="1"/>
    <col min="10" max="10" width="9.4609375" style="27" bestFit="1" customWidth="1"/>
    <col min="11" max="16384" width="8.84375" style="27"/>
  </cols>
  <sheetData>
    <row r="11" spans="1:10" x14ac:dyDescent="0.35">
      <c r="A11" s="390" t="s">
        <v>445</v>
      </c>
    </row>
    <row r="12" spans="1:10" x14ac:dyDescent="0.35">
      <c r="A12" s="392" t="s">
        <v>479</v>
      </c>
      <c r="D12" s="398" t="s">
        <v>447</v>
      </c>
      <c r="F12" s="62">
        <v>-181</v>
      </c>
      <c r="I12" s="62">
        <v>-181</v>
      </c>
    </row>
    <row r="13" spans="1:10" x14ac:dyDescent="0.35">
      <c r="A13" s="392" t="s">
        <v>480</v>
      </c>
      <c r="B13" s="390"/>
      <c r="C13" s="390"/>
      <c r="D13" s="398" t="s">
        <v>448</v>
      </c>
      <c r="E13" s="390"/>
      <c r="F13" s="62">
        <v>-10</v>
      </c>
      <c r="G13" s="391"/>
      <c r="I13" s="62">
        <v>-10</v>
      </c>
    </row>
    <row r="14" spans="1:10" x14ac:dyDescent="0.35">
      <c r="A14" s="392" t="s">
        <v>433</v>
      </c>
      <c r="B14" s="393" t="s">
        <v>434</v>
      </c>
      <c r="C14" s="394">
        <v>44812</v>
      </c>
      <c r="D14" s="398" t="s">
        <v>435</v>
      </c>
      <c r="E14" s="392"/>
      <c r="F14" s="62">
        <v>-2000</v>
      </c>
      <c r="I14" s="62">
        <v>-2000</v>
      </c>
    </row>
    <row r="15" spans="1:10" x14ac:dyDescent="0.35">
      <c r="A15" s="392" t="s">
        <v>433</v>
      </c>
      <c r="B15" s="393" t="s">
        <v>437</v>
      </c>
      <c r="C15" s="394">
        <v>44812</v>
      </c>
      <c r="D15" s="398" t="s">
        <v>438</v>
      </c>
      <c r="E15" s="392"/>
      <c r="F15" s="62">
        <v>-2500</v>
      </c>
      <c r="I15" s="62">
        <v>-2500</v>
      </c>
    </row>
    <row r="16" spans="1:10" x14ac:dyDescent="0.35">
      <c r="A16" s="392" t="s">
        <v>433</v>
      </c>
      <c r="B16" s="393" t="s">
        <v>439</v>
      </c>
      <c r="C16" s="394">
        <v>44812</v>
      </c>
      <c r="D16" s="398" t="s">
        <v>440</v>
      </c>
      <c r="E16" s="392"/>
      <c r="F16" s="62">
        <v>-2500</v>
      </c>
      <c r="I16" s="62">
        <v>-2250</v>
      </c>
      <c r="J16" s="62"/>
    </row>
    <row r="17" spans="1:10" x14ac:dyDescent="0.35">
      <c r="A17" s="392" t="s">
        <v>480</v>
      </c>
      <c r="B17" s="392"/>
      <c r="C17" s="394"/>
      <c r="D17" s="397" t="s">
        <v>448</v>
      </c>
      <c r="E17" s="392"/>
      <c r="F17" s="62">
        <v>-21</v>
      </c>
      <c r="I17" s="62">
        <v>-21</v>
      </c>
      <c r="J17" s="62"/>
    </row>
    <row r="18" spans="1:10" x14ac:dyDescent="0.35">
      <c r="A18" s="392" t="s">
        <v>453</v>
      </c>
      <c r="B18" s="392"/>
      <c r="C18" s="394"/>
      <c r="D18" s="397" t="s">
        <v>454</v>
      </c>
      <c r="E18" s="387"/>
      <c r="F18" s="64">
        <v>-444</v>
      </c>
      <c r="I18" s="64">
        <v>-444</v>
      </c>
      <c r="J18" s="62"/>
    </row>
    <row r="19" spans="1:10" x14ac:dyDescent="0.35">
      <c r="D19" s="399" t="s">
        <v>446</v>
      </c>
      <c r="H19" s="62">
        <f>SUM(F12:F18)</f>
        <v>-7656</v>
      </c>
      <c r="J19" s="62">
        <f>SUM(I12:I18)</f>
        <v>-7406</v>
      </c>
    </row>
    <row r="20" spans="1:10" x14ac:dyDescent="0.35">
      <c r="A20" s="390" t="s">
        <v>449</v>
      </c>
      <c r="J20" s="62"/>
    </row>
    <row r="21" spans="1:10" x14ac:dyDescent="0.35">
      <c r="D21" s="397" t="s">
        <v>443</v>
      </c>
      <c r="F21" s="62">
        <v>-104</v>
      </c>
      <c r="I21" s="62">
        <f>F21</f>
        <v>-104</v>
      </c>
      <c r="J21" s="62"/>
    </row>
    <row r="22" spans="1:10" x14ac:dyDescent="0.35">
      <c r="D22" s="398" t="s">
        <v>444</v>
      </c>
      <c r="F22" s="64">
        <v>-1447</v>
      </c>
      <c r="I22" s="64">
        <f>F22</f>
        <v>-1447</v>
      </c>
      <c r="J22" s="62"/>
    </row>
    <row r="23" spans="1:10" x14ac:dyDescent="0.35">
      <c r="D23" s="399" t="s">
        <v>450</v>
      </c>
      <c r="H23" s="64">
        <f>SUM(F21:F22)</f>
        <v>-1551</v>
      </c>
      <c r="J23" s="64">
        <f>SUM(I21:I22)</f>
        <v>-1551</v>
      </c>
    </row>
    <row r="24" spans="1:10" ht="16" thickBot="1" x14ac:dyDescent="0.4">
      <c r="A24" s="27" t="s">
        <v>455</v>
      </c>
      <c r="H24" s="402">
        <f>SUM(H19:H23)</f>
        <v>-9207</v>
      </c>
      <c r="J24" s="402">
        <f>SUM(J19:J23)</f>
        <v>-8957</v>
      </c>
    </row>
    <row r="25" spans="1:10" ht="16" thickTop="1" x14ac:dyDescent="0.35"/>
    <row r="26" spans="1:10" x14ac:dyDescent="0.35">
      <c r="D26" s="27" t="s">
        <v>481</v>
      </c>
      <c r="H26" s="62">
        <f>-H24</f>
        <v>9207</v>
      </c>
      <c r="J26" s="62">
        <f>-J24</f>
        <v>8957</v>
      </c>
    </row>
    <row r="27" spans="1:10" x14ac:dyDescent="0.35">
      <c r="D27" s="27" t="s">
        <v>482</v>
      </c>
      <c r="H27" s="64">
        <f>'SAO- DSC Revised - 3 Emp'!F39</f>
        <v>1988879</v>
      </c>
      <c r="J27" s="64">
        <f>H27</f>
        <v>1988879</v>
      </c>
    </row>
    <row r="28" spans="1:10" ht="16" thickBot="1" x14ac:dyDescent="0.4">
      <c r="D28" s="27" t="s">
        <v>345</v>
      </c>
      <c r="H28" s="405">
        <f>ROUND(H26/H27,4)</f>
        <v>4.5999999999999999E-3</v>
      </c>
      <c r="J28" s="405">
        <f>ROUND(J26/J27,4)</f>
        <v>4.4999999999999997E-3</v>
      </c>
    </row>
    <row r="29" spans="1:10" ht="16" thickTop="1" x14ac:dyDescent="0.35"/>
  </sheetData>
  <phoneticPr fontId="30" type="noConversion"/>
  <pageMargins left="0.7" right="0.7" top="0.75" bottom="0.75" header="0.3" footer="0.3"/>
  <ignoredErrors>
    <ignoredError sqref="B14:B1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4BB62-7A7D-44B9-9150-4D6BEA9F4DB4}">
  <dimension ref="A2:G53"/>
  <sheetViews>
    <sheetView workbookViewId="0">
      <selection activeCell="C3" sqref="C3"/>
    </sheetView>
  </sheetViews>
  <sheetFormatPr defaultColWidth="8.84375" defaultRowHeight="15.5" x14ac:dyDescent="0.35"/>
  <cols>
    <col min="1" max="1" width="19.23046875" style="27" customWidth="1"/>
    <col min="2" max="2" width="13.4609375" style="27" customWidth="1"/>
    <col min="3" max="3" width="24.765625" style="27" customWidth="1"/>
    <col min="4" max="4" width="51.53515625" style="27" customWidth="1"/>
    <col min="5" max="5" width="17.69140625" style="27" customWidth="1"/>
    <col min="6" max="6" width="45.53515625" style="27" customWidth="1"/>
    <col min="7" max="8" width="9" style="27" bestFit="1" customWidth="1"/>
    <col min="9" max="16384" width="8.84375" style="27"/>
  </cols>
  <sheetData>
    <row r="2" spans="1:5" x14ac:dyDescent="0.35">
      <c r="A2" s="387" t="s">
        <v>487</v>
      </c>
      <c r="B2" s="387"/>
      <c r="C2" s="387" t="s">
        <v>488</v>
      </c>
      <c r="D2" s="387"/>
      <c r="E2" s="388">
        <v>14.99</v>
      </c>
    </row>
    <row r="3" spans="1:5" x14ac:dyDescent="0.35">
      <c r="A3" s="404" t="s">
        <v>489</v>
      </c>
    </row>
    <row r="4" spans="1:5" x14ac:dyDescent="0.35">
      <c r="A4" s="404"/>
      <c r="C4" s="387" t="s">
        <v>490</v>
      </c>
      <c r="D4" s="387" t="s">
        <v>473</v>
      </c>
      <c r="E4" s="388">
        <v>60.34</v>
      </c>
    </row>
    <row r="5" spans="1:5" x14ac:dyDescent="0.35">
      <c r="A5" s="404"/>
      <c r="C5" s="387" t="s">
        <v>266</v>
      </c>
      <c r="D5" s="387" t="s">
        <v>473</v>
      </c>
      <c r="E5" s="388">
        <v>47.69</v>
      </c>
    </row>
    <row r="6" spans="1:5" x14ac:dyDescent="0.35">
      <c r="A6" s="404"/>
      <c r="C6" s="387" t="s">
        <v>491</v>
      </c>
      <c r="D6" s="387" t="s">
        <v>474</v>
      </c>
      <c r="E6" s="388">
        <v>35.43</v>
      </c>
    </row>
    <row r="7" spans="1:5" x14ac:dyDescent="0.35">
      <c r="A7" s="404"/>
      <c r="C7" s="387"/>
      <c r="D7" s="387" t="s">
        <v>487</v>
      </c>
      <c r="E7" s="388">
        <v>-73.16</v>
      </c>
    </row>
    <row r="8" spans="1:5" x14ac:dyDescent="0.35">
      <c r="A8" s="404"/>
      <c r="C8" s="387"/>
      <c r="D8" s="387" t="s">
        <v>492</v>
      </c>
      <c r="E8" s="388">
        <v>-10</v>
      </c>
    </row>
    <row r="9" spans="1:5" x14ac:dyDescent="0.35">
      <c r="A9" s="404"/>
      <c r="C9" s="387"/>
      <c r="D9" s="387" t="s">
        <v>493</v>
      </c>
      <c r="E9" s="388">
        <v>-1842.51</v>
      </c>
    </row>
    <row r="10" spans="1:5" ht="16" thickBot="1" x14ac:dyDescent="0.4">
      <c r="A10" s="404"/>
      <c r="C10" s="387"/>
      <c r="D10" s="387" t="s">
        <v>494</v>
      </c>
      <c r="E10" s="389">
        <v>-888.18</v>
      </c>
    </row>
    <row r="11" spans="1:5" x14ac:dyDescent="0.35">
      <c r="A11" s="404"/>
    </row>
    <row r="12" spans="1:5" x14ac:dyDescent="0.35">
      <c r="A12" s="404"/>
    </row>
    <row r="13" spans="1:5" x14ac:dyDescent="0.35">
      <c r="A13" s="404"/>
    </row>
    <row r="14" spans="1:5" x14ac:dyDescent="0.35">
      <c r="A14" s="404"/>
    </row>
    <row r="15" spans="1:5" x14ac:dyDescent="0.35">
      <c r="A15" s="404"/>
    </row>
    <row r="16" spans="1:5" x14ac:dyDescent="0.35">
      <c r="A16" s="404"/>
    </row>
    <row r="17" spans="1:6" x14ac:dyDescent="0.35">
      <c r="A17" s="404"/>
    </row>
    <row r="18" spans="1:6" x14ac:dyDescent="0.35">
      <c r="A18" s="404"/>
    </row>
    <row r="19" spans="1:6" x14ac:dyDescent="0.35">
      <c r="A19" s="404"/>
    </row>
    <row r="20" spans="1:6" x14ac:dyDescent="0.35">
      <c r="A20" s="404"/>
    </row>
    <row r="22" spans="1:6" x14ac:dyDescent="0.35">
      <c r="D22" s="27" t="s">
        <v>32</v>
      </c>
    </row>
    <row r="23" spans="1:6" x14ac:dyDescent="0.35">
      <c r="D23" s="392" t="s">
        <v>473</v>
      </c>
      <c r="E23" s="392"/>
      <c r="F23" s="392" t="s">
        <v>436</v>
      </c>
    </row>
    <row r="24" spans="1:6" x14ac:dyDescent="0.35">
      <c r="D24" s="392" t="s">
        <v>473</v>
      </c>
      <c r="E24" s="392"/>
      <c r="F24" s="392" t="s">
        <v>436</v>
      </c>
    </row>
    <row r="25" spans="1:6" x14ac:dyDescent="0.35">
      <c r="D25" s="392" t="s">
        <v>474</v>
      </c>
      <c r="E25" s="392"/>
      <c r="F25" s="392" t="s">
        <v>436</v>
      </c>
    </row>
    <row r="29" spans="1:6" x14ac:dyDescent="0.35">
      <c r="D29" s="27" t="s">
        <v>475</v>
      </c>
    </row>
    <row r="30" spans="1:6" x14ac:dyDescent="0.35">
      <c r="A30" s="392" t="s">
        <v>453</v>
      </c>
      <c r="B30" s="394">
        <v>44608</v>
      </c>
      <c r="C30" s="392" t="s">
        <v>466</v>
      </c>
      <c r="D30" s="392" t="s">
        <v>467</v>
      </c>
      <c r="E30" s="406">
        <v>-16</v>
      </c>
    </row>
    <row r="31" spans="1:6" x14ac:dyDescent="0.35">
      <c r="A31" s="392" t="s">
        <v>453</v>
      </c>
      <c r="B31" s="394">
        <v>44609</v>
      </c>
      <c r="C31" s="392" t="s">
        <v>466</v>
      </c>
      <c r="D31" s="392" t="s">
        <v>467</v>
      </c>
      <c r="E31" s="406">
        <v>-16</v>
      </c>
    </row>
    <row r="32" spans="1:6" x14ac:dyDescent="0.35">
      <c r="A32" s="392" t="s">
        <v>453</v>
      </c>
      <c r="B32" s="394">
        <v>44610</v>
      </c>
      <c r="C32" s="392" t="s">
        <v>466</v>
      </c>
      <c r="D32" s="392" t="s">
        <v>467</v>
      </c>
      <c r="E32" s="406">
        <v>-16</v>
      </c>
    </row>
    <row r="33" spans="1:7" x14ac:dyDescent="0.35">
      <c r="A33" s="392" t="s">
        <v>453</v>
      </c>
      <c r="B33" s="394">
        <v>44792</v>
      </c>
      <c r="C33" s="392" t="s">
        <v>468</v>
      </c>
      <c r="D33" s="392" t="s">
        <v>469</v>
      </c>
      <c r="E33" s="406">
        <v>-234</v>
      </c>
    </row>
    <row r="34" spans="1:7" x14ac:dyDescent="0.35">
      <c r="A34" s="392" t="s">
        <v>453</v>
      </c>
      <c r="B34" s="394">
        <v>44869</v>
      </c>
      <c r="C34" s="392" t="s">
        <v>269</v>
      </c>
      <c r="D34" s="392" t="s">
        <v>470</v>
      </c>
      <c r="E34" s="406">
        <v>-15</v>
      </c>
    </row>
    <row r="35" spans="1:7" x14ac:dyDescent="0.35">
      <c r="A35" s="392" t="s">
        <v>453</v>
      </c>
      <c r="B35" s="394">
        <v>44911</v>
      </c>
      <c r="C35" s="392" t="s">
        <v>483</v>
      </c>
      <c r="D35" s="392" t="s">
        <v>471</v>
      </c>
      <c r="E35" s="406">
        <v>-38</v>
      </c>
    </row>
    <row r="36" spans="1:7" ht="16" thickBot="1" x14ac:dyDescent="0.4">
      <c r="A36" s="390" t="s">
        <v>486</v>
      </c>
      <c r="B36" s="394"/>
      <c r="C36" s="392" t="s">
        <v>476</v>
      </c>
      <c r="D36" s="392" t="s">
        <v>471</v>
      </c>
      <c r="E36" s="407">
        <v>-38</v>
      </c>
    </row>
    <row r="37" spans="1:7" x14ac:dyDescent="0.35">
      <c r="A37" s="392" t="s">
        <v>484</v>
      </c>
      <c r="B37" s="394">
        <v>44894</v>
      </c>
      <c r="C37" s="392" t="s">
        <v>265</v>
      </c>
      <c r="D37" s="392" t="s">
        <v>472</v>
      </c>
      <c r="E37" s="406">
        <v>-82</v>
      </c>
    </row>
    <row r="38" spans="1:7" x14ac:dyDescent="0.35">
      <c r="A38" s="392" t="s">
        <v>485</v>
      </c>
      <c r="B38" s="394">
        <v>44894</v>
      </c>
      <c r="C38" s="392" t="s">
        <v>269</v>
      </c>
      <c r="D38" s="392" t="s">
        <v>472</v>
      </c>
      <c r="E38" s="409">
        <v>-82</v>
      </c>
    </row>
    <row r="39" spans="1:7" ht="16" thickBot="1" x14ac:dyDescent="0.4">
      <c r="E39" s="408">
        <f>SUM(E30:E38)</f>
        <v>-537</v>
      </c>
    </row>
    <row r="40" spans="1:7" ht="16" thickTop="1" x14ac:dyDescent="0.35"/>
    <row r="45" spans="1:7" x14ac:dyDescent="0.35">
      <c r="D45" s="392"/>
      <c r="E45" s="392"/>
      <c r="F45" s="392"/>
    </row>
    <row r="46" spans="1:7" x14ac:dyDescent="0.35">
      <c r="D46" s="392"/>
      <c r="E46" s="392"/>
      <c r="F46" s="392"/>
      <c r="G46" s="392"/>
    </row>
    <row r="47" spans="1:7" x14ac:dyDescent="0.35">
      <c r="D47" s="392"/>
      <c r="E47" s="392"/>
      <c r="F47" s="392"/>
      <c r="G47" s="392"/>
    </row>
    <row r="48" spans="1:7" x14ac:dyDescent="0.35">
      <c r="D48" s="392"/>
      <c r="E48" s="392"/>
      <c r="F48" s="392"/>
      <c r="G48" s="392"/>
    </row>
    <row r="49" spans="4:7" x14ac:dyDescent="0.35">
      <c r="D49" s="392"/>
      <c r="E49" s="392"/>
      <c r="F49" s="392"/>
      <c r="G49" s="392"/>
    </row>
    <row r="50" spans="4:7" x14ac:dyDescent="0.35">
      <c r="D50" s="392"/>
      <c r="E50" s="392"/>
      <c r="F50" s="392"/>
      <c r="G50" s="392"/>
    </row>
    <row r="51" spans="4:7" x14ac:dyDescent="0.35">
      <c r="F51" s="392"/>
      <c r="G51" s="392"/>
    </row>
    <row r="52" spans="4:7" x14ac:dyDescent="0.35">
      <c r="F52" s="392"/>
      <c r="G52" s="392"/>
    </row>
    <row r="53" spans="4:7" x14ac:dyDescent="0.35">
      <c r="F53" s="392"/>
      <c r="G53" s="392"/>
    </row>
  </sheetData>
  <phoneticPr fontId="3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2</vt:i4>
      </vt:variant>
    </vt:vector>
  </HeadingPairs>
  <TitlesOfParts>
    <vt:vector size="41" baseType="lpstr">
      <vt:lpstr>SAO- DSC Revised - 3 Emp</vt:lpstr>
      <vt:lpstr>Working Capital Phas-In</vt:lpstr>
      <vt:lpstr>Adj</vt:lpstr>
      <vt:lpstr>Sheet1</vt:lpstr>
      <vt:lpstr>Surcharge</vt:lpstr>
      <vt:lpstr>Emp Sal &amp; Wages - Application</vt:lpstr>
      <vt:lpstr>New Employees</vt:lpstr>
      <vt:lpstr>Chaitable Cont</vt:lpstr>
      <vt:lpstr>Employee Meals</vt:lpstr>
      <vt:lpstr>Billing Software</vt:lpstr>
      <vt:lpstr>Anthem Aug 2023 Inv</vt:lpstr>
      <vt:lpstr>WatPurch</vt:lpstr>
      <vt:lpstr>Dep Adj - NARUCNwe Meters</vt:lpstr>
      <vt:lpstr>Avg Debt Service</vt:lpstr>
      <vt:lpstr>Amt Schedules</vt:lpstr>
      <vt:lpstr>Cur Rates</vt:lpstr>
      <vt:lpstr>ExBA - Beg. Rates</vt:lpstr>
      <vt:lpstr>Rates Comp</vt:lpstr>
      <vt:lpstr>PropBA - DSC</vt:lpstr>
      <vt:lpstr>Interim Rate Comp</vt:lpstr>
      <vt:lpstr>Sheet2</vt:lpstr>
      <vt:lpstr>PropBA - Interim Rates</vt:lpstr>
      <vt:lpstr>Year 1 Rate Comp</vt:lpstr>
      <vt:lpstr>PropBA - Year 1 Rates</vt:lpstr>
      <vt:lpstr>Year 2 Rate Comp</vt:lpstr>
      <vt:lpstr>PropBA - Year 2 Rates</vt:lpstr>
      <vt:lpstr>BA Adj</vt:lpstr>
      <vt:lpstr>App A</vt:lpstr>
      <vt:lpstr>Table A</vt:lpstr>
      <vt:lpstr>Table B</vt:lpstr>
      <vt:lpstr>Table C</vt:lpstr>
      <vt:lpstr>Sheet3</vt:lpstr>
      <vt:lpstr>Cust Notice</vt:lpstr>
      <vt:lpstr>Table D</vt:lpstr>
      <vt:lpstr>34-Inch</vt:lpstr>
      <vt:lpstr>1-Inch</vt:lpstr>
      <vt:lpstr>2-Inch</vt:lpstr>
      <vt:lpstr>6-Inch</vt:lpstr>
      <vt:lpstr>Wholesale</vt:lpstr>
      <vt:lpstr>'Avg Debt Service'!Print_Area</vt:lpstr>
      <vt:lpstr>'ExBA - Beg. Rates'!Print_Area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Brittany  Koenig</cp:lastModifiedBy>
  <cp:lastPrinted>2023-07-31T19:13:26Z</cp:lastPrinted>
  <dcterms:created xsi:type="dcterms:W3CDTF">2016-05-18T14:12:06Z</dcterms:created>
  <dcterms:modified xsi:type="dcterms:W3CDTF">2024-05-17T13:47:32Z</dcterms:modified>
</cp:coreProperties>
</file>