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onaker Law Office\Clients\04685 - Morgan Co Water District\Drafts\ARF Application\Procedural Schedule-DR-1\B Miller 4-24\"/>
    </mc:Choice>
  </mc:AlternateContent>
  <xr:revisionPtr revIDLastSave="0" documentId="8_{E916A707-774A-483E-9FFA-FEF4A1DE059B}" xr6:coauthVersionLast="47" xr6:coauthVersionMax="47" xr10:uidLastSave="{00000000-0000-0000-0000-000000000000}"/>
  <bookViews>
    <workbookView xWindow="3180" yWindow="3180" windowWidth="21600" windowHeight="11265" firstSheet="30" activeTab="33" xr2:uid="{66DCB12E-7761-47D1-A8C5-985704888B5C}"/>
  </bookViews>
  <sheets>
    <sheet name="SAO - DSC" sheetId="3" r:id="rId1"/>
    <sheet name="SAO - Op Ratio" sheetId="34" r:id="rId2"/>
    <sheet name="Adjustments" sheetId="16" r:id="rId3"/>
    <sheet name="Job Titles" sheetId="60" r:id="rId4"/>
    <sheet name="Surcharge" sheetId="57" r:id="rId5"/>
    <sheet name="Anthem Aug Inv" sheetId="43" r:id="rId6"/>
    <sheet name="Anthem Aug 2023 Inv" sheetId="44" r:id="rId7"/>
    <sheet name="WatPurch" sheetId="23" r:id="rId8"/>
    <sheet name="Dep Adj - NARUCNwe Meters" sheetId="42" r:id="rId9"/>
    <sheet name="Avg Debt Service" sheetId="5" r:id="rId10"/>
    <sheet name="Amt Schedules" sheetId="47" r:id="rId11"/>
    <sheet name="Cur Rates" sheetId="45" r:id="rId12"/>
    <sheet name="ExBA - Beg. Rates" sheetId="10" r:id="rId13"/>
    <sheet name="Rates Comp" sheetId="2" r:id="rId14"/>
    <sheet name="PropBA - DSC" sheetId="15" r:id="rId15"/>
    <sheet name="BA Adj" sheetId="28" r:id="rId16"/>
    <sheet name="App A" sheetId="59" r:id="rId17"/>
    <sheet name="Table A" sheetId="48" r:id="rId18"/>
    <sheet name="Table B" sheetId="49" r:id="rId19"/>
    <sheet name="Table C" sheetId="50" r:id="rId20"/>
    <sheet name="Sheet3" sheetId="62" r:id="rId21"/>
    <sheet name="Cust Notice" sheetId="61" r:id="rId22"/>
    <sheet name="Table D" sheetId="51" r:id="rId23"/>
    <sheet name="34-Inch" sheetId="52" r:id="rId24"/>
    <sheet name="1-Inch" sheetId="53" r:id="rId25"/>
    <sheet name="2-Inch" sheetId="54" r:id="rId26"/>
    <sheet name="6-Inch" sheetId="55" r:id="rId27"/>
    <sheet name="Wholesale" sheetId="56" r:id="rId28"/>
    <sheet name="Rates Comp Year 1 25.25%" sheetId="64" r:id="rId29"/>
    <sheet name="PropBA - Year 1" sheetId="67" r:id="rId30"/>
    <sheet name="Rates Comp Year 2 6.21%" sheetId="65" r:id="rId31"/>
    <sheet name="PropBA - Year 2" sheetId="68" r:id="rId32"/>
    <sheet name="Rates Comp Year 3 5.84%" sheetId="66" r:id="rId33"/>
    <sheet name="PropBA - Year 3" sheetId="69" r:id="rId34"/>
  </sheets>
  <definedNames>
    <definedName name="_xlnm.Print_Area" localSheetId="9">'Avg Debt Service'!$B$2:$H$23</definedName>
    <definedName name="_xlnm.Print_Area" localSheetId="12">'ExBA - Beg. Rates'!$A$1:$I$14</definedName>
    <definedName name="_xlnm.Print_Area" localSheetId="14">'PropBA - DSC'!#REF!</definedName>
    <definedName name="_xlnm.Print_Area" localSheetId="29">'PropBA - Year 1'!$A$1:$K$98</definedName>
    <definedName name="_xlnm.Print_Area" localSheetId="31">'PropBA - Year 2'!$A$1:$K$98</definedName>
    <definedName name="_xlnm.Print_Area" localSheetId="33">'PropBA - Year 3'!$A$1:$K$98</definedName>
    <definedName name="_xlnm.Print_Area" localSheetId="13">'Rates Comp'!#REF!</definedName>
    <definedName name="_xlnm.Print_Area" localSheetId="28">'Rates Comp Year 1 25.25%'!$A$1:$N$34</definedName>
    <definedName name="_xlnm.Print_Area" localSheetId="30">'Rates Comp Year 2 6.21%'!$A$1:$N$34</definedName>
    <definedName name="_xlnm.Print_Area" localSheetId="32">'Rates Comp Year 3 5.84%'!$A$1:$N$34</definedName>
    <definedName name="_xlnm.Print_Area" localSheetId="0">'SAO - DSC'!$B$2:$M$51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69" l="1"/>
  <c r="F83" i="69"/>
  <c r="F82" i="69"/>
  <c r="F69" i="69"/>
  <c r="F68" i="69"/>
  <c r="F55" i="69"/>
  <c r="F54" i="69"/>
  <c r="F53" i="69"/>
  <c r="F52" i="69"/>
  <c r="F36" i="69"/>
  <c r="F35" i="69"/>
  <c r="F34" i="69"/>
  <c r="F33" i="69"/>
  <c r="F32" i="69"/>
  <c r="E96" i="69"/>
  <c r="E97" i="69" s="1"/>
  <c r="G11" i="69" s="1"/>
  <c r="D96" i="69"/>
  <c r="F11" i="69" s="1"/>
  <c r="E91" i="69"/>
  <c r="D91" i="69"/>
  <c r="C82" i="69"/>
  <c r="E77" i="69"/>
  <c r="D77" i="69"/>
  <c r="D82" i="69" s="1"/>
  <c r="F76" i="69"/>
  <c r="C76" i="69"/>
  <c r="C83" i="69" s="1"/>
  <c r="H75" i="69"/>
  <c r="F75" i="69"/>
  <c r="F77" i="69" s="1"/>
  <c r="E82" i="69" s="1"/>
  <c r="G74" i="69"/>
  <c r="F74" i="69"/>
  <c r="C68" i="69"/>
  <c r="E63" i="69"/>
  <c r="D63" i="69"/>
  <c r="D68" i="69" s="1"/>
  <c r="F62" i="69"/>
  <c r="C62" i="69"/>
  <c r="C69" i="69" s="1"/>
  <c r="H61" i="69"/>
  <c r="F61" i="69"/>
  <c r="F63" i="69" s="1"/>
  <c r="E68" i="69" s="1"/>
  <c r="G60" i="69"/>
  <c r="F60" i="69"/>
  <c r="C54" i="69"/>
  <c r="C53" i="69"/>
  <c r="C52" i="69"/>
  <c r="E47" i="69"/>
  <c r="D47" i="69"/>
  <c r="D52" i="69" s="1"/>
  <c r="H46" i="69"/>
  <c r="C46" i="69"/>
  <c r="C55" i="69" s="1"/>
  <c r="J43" i="69"/>
  <c r="F43" i="69"/>
  <c r="H42" i="69"/>
  <c r="G42" i="69"/>
  <c r="G45" i="69" s="1"/>
  <c r="F42" i="69"/>
  <c r="I42" i="69" s="1"/>
  <c r="C35" i="69"/>
  <c r="C34" i="69"/>
  <c r="C33" i="69"/>
  <c r="C32" i="69"/>
  <c r="E27" i="69"/>
  <c r="D27" i="69"/>
  <c r="D32" i="69" s="1"/>
  <c r="H26" i="69"/>
  <c r="C26" i="69"/>
  <c r="C36" i="69" s="1"/>
  <c r="F24" i="69"/>
  <c r="F22" i="69"/>
  <c r="I21" i="69"/>
  <c r="I26" i="69" s="1"/>
  <c r="H21" i="69"/>
  <c r="H25" i="69" s="1"/>
  <c r="G21" i="69"/>
  <c r="G26" i="69" s="1"/>
  <c r="F21" i="69"/>
  <c r="F25" i="69" s="1"/>
  <c r="H13" i="69"/>
  <c r="A2" i="69"/>
  <c r="F96" i="68"/>
  <c r="F83" i="68"/>
  <c r="F82" i="68"/>
  <c r="H82" i="68" s="1"/>
  <c r="F69" i="68"/>
  <c r="F68" i="68"/>
  <c r="H68" i="68" s="1"/>
  <c r="F55" i="68"/>
  <c r="F54" i="68"/>
  <c r="F53" i="68"/>
  <c r="F52" i="68"/>
  <c r="F36" i="68"/>
  <c r="F35" i="68"/>
  <c r="F34" i="68"/>
  <c r="F33" i="68"/>
  <c r="F32" i="68"/>
  <c r="E91" i="68"/>
  <c r="E96" i="68" s="1"/>
  <c r="D91" i="68"/>
  <c r="D96" i="68" s="1"/>
  <c r="F11" i="68" s="1"/>
  <c r="C83" i="68"/>
  <c r="D82" i="68"/>
  <c r="C82" i="68"/>
  <c r="E77" i="68"/>
  <c r="D77" i="68"/>
  <c r="F76" i="68"/>
  <c r="C76" i="68"/>
  <c r="F75" i="68"/>
  <c r="F77" i="68" s="1"/>
  <c r="E82" i="68" s="1"/>
  <c r="G74" i="68"/>
  <c r="F74" i="68"/>
  <c r="C69" i="68"/>
  <c r="D68" i="68"/>
  <c r="C68" i="68"/>
  <c r="E63" i="68"/>
  <c r="D63" i="68"/>
  <c r="F62" i="68"/>
  <c r="C62" i="68"/>
  <c r="F61" i="68"/>
  <c r="F63" i="68" s="1"/>
  <c r="E68" i="68" s="1"/>
  <c r="G60" i="68"/>
  <c r="F60" i="68"/>
  <c r="C55" i="68"/>
  <c r="C54" i="68"/>
  <c r="C53" i="68"/>
  <c r="C52" i="68"/>
  <c r="E47" i="68"/>
  <c r="D47" i="68"/>
  <c r="D52" i="68" s="1"/>
  <c r="G46" i="68"/>
  <c r="F46" i="68"/>
  <c r="C46" i="68"/>
  <c r="G45" i="68"/>
  <c r="H45" i="68" s="1"/>
  <c r="F45" i="68"/>
  <c r="J45" i="68" s="1"/>
  <c r="F44" i="68"/>
  <c r="F47" i="68" s="1"/>
  <c r="E52" i="68" s="1"/>
  <c r="J43" i="68"/>
  <c r="F43" i="68"/>
  <c r="H42" i="68"/>
  <c r="I42" i="68" s="1"/>
  <c r="G42" i="68"/>
  <c r="F42" i="68"/>
  <c r="C34" i="68"/>
  <c r="C33" i="68"/>
  <c r="D32" i="68"/>
  <c r="H32" i="68" s="1"/>
  <c r="C32" i="68"/>
  <c r="E27" i="68"/>
  <c r="D27" i="68"/>
  <c r="I26" i="68"/>
  <c r="F26" i="68"/>
  <c r="J26" i="68" s="1"/>
  <c r="C26" i="68"/>
  <c r="C35" i="68" s="1"/>
  <c r="G25" i="68"/>
  <c r="G24" i="68"/>
  <c r="F22" i="68"/>
  <c r="I21" i="68"/>
  <c r="H21" i="68"/>
  <c r="H26" i="68" s="1"/>
  <c r="G21" i="68"/>
  <c r="G26" i="68" s="1"/>
  <c r="F21" i="68"/>
  <c r="F25" i="68" s="1"/>
  <c r="H13" i="68"/>
  <c r="F10" i="68"/>
  <c r="F9" i="68"/>
  <c r="A2" i="68"/>
  <c r="F96" i="67"/>
  <c r="F83" i="67"/>
  <c r="F82" i="67"/>
  <c r="F69" i="67"/>
  <c r="F68" i="67"/>
  <c r="F55" i="67"/>
  <c r="F54" i="67"/>
  <c r="F53" i="67"/>
  <c r="F52" i="67"/>
  <c r="F36" i="67"/>
  <c r="F35" i="67"/>
  <c r="F34" i="67"/>
  <c r="F33" i="67"/>
  <c r="F32" i="67"/>
  <c r="H32" i="67" s="1"/>
  <c r="E96" i="67"/>
  <c r="E97" i="67" s="1"/>
  <c r="G11" i="67" s="1"/>
  <c r="D96" i="67"/>
  <c r="F11" i="67" s="1"/>
  <c r="E91" i="67"/>
  <c r="D91" i="67"/>
  <c r="C82" i="67"/>
  <c r="E77" i="67"/>
  <c r="D77" i="67"/>
  <c r="D82" i="67" s="1"/>
  <c r="C76" i="67"/>
  <c r="C83" i="67" s="1"/>
  <c r="H75" i="67"/>
  <c r="F75" i="67"/>
  <c r="G74" i="67"/>
  <c r="F74" i="67"/>
  <c r="F76" i="67" s="1"/>
  <c r="C68" i="67"/>
  <c r="E63" i="67"/>
  <c r="D63" i="67"/>
  <c r="D68" i="67" s="1"/>
  <c r="C62" i="67"/>
  <c r="C69" i="67" s="1"/>
  <c r="H61" i="67"/>
  <c r="F61" i="67"/>
  <c r="F63" i="67" s="1"/>
  <c r="E68" i="67" s="1"/>
  <c r="G60" i="67"/>
  <c r="F60" i="67"/>
  <c r="F62" i="67" s="1"/>
  <c r="C54" i="67"/>
  <c r="C53" i="67"/>
  <c r="C52" i="67"/>
  <c r="E47" i="67"/>
  <c r="D47" i="67"/>
  <c r="D52" i="67" s="1"/>
  <c r="H46" i="67"/>
  <c r="C46" i="67"/>
  <c r="C55" i="67" s="1"/>
  <c r="F43" i="67"/>
  <c r="H42" i="67"/>
  <c r="G42" i="67"/>
  <c r="G45" i="67" s="1"/>
  <c r="F42" i="67"/>
  <c r="I42" i="67" s="1"/>
  <c r="C35" i="67"/>
  <c r="C34" i="67"/>
  <c r="C33" i="67"/>
  <c r="C32" i="67"/>
  <c r="E27" i="67"/>
  <c r="D27" i="67"/>
  <c r="D32" i="67" s="1"/>
  <c r="F7" i="67" s="1"/>
  <c r="H26" i="67"/>
  <c r="C26" i="67"/>
  <c r="C36" i="67" s="1"/>
  <c r="F24" i="67"/>
  <c r="F23" i="67"/>
  <c r="G23" i="67" s="1"/>
  <c r="K22" i="67"/>
  <c r="F22" i="67"/>
  <c r="I21" i="67"/>
  <c r="I26" i="67" s="1"/>
  <c r="H21" i="67"/>
  <c r="H25" i="67" s="1"/>
  <c r="G21" i="67"/>
  <c r="G26" i="67" s="1"/>
  <c r="F21" i="67"/>
  <c r="F25" i="67" s="1"/>
  <c r="H13" i="67"/>
  <c r="A2" i="67"/>
  <c r="F33" i="66"/>
  <c r="O33" i="66" s="1"/>
  <c r="F30" i="66"/>
  <c r="O30" i="66" s="1"/>
  <c r="F29" i="66"/>
  <c r="O29" i="66" s="1"/>
  <c r="F26" i="66"/>
  <c r="O26" i="66" s="1"/>
  <c r="F25" i="66"/>
  <c r="F22" i="66"/>
  <c r="O22" i="66" s="1"/>
  <c r="F21" i="66"/>
  <c r="O21" i="66" s="1"/>
  <c r="F20" i="66"/>
  <c r="O20" i="66" s="1"/>
  <c r="F19" i="66"/>
  <c r="O19" i="66" s="1"/>
  <c r="F16" i="66"/>
  <c r="F15" i="66"/>
  <c r="O15" i="66" s="1"/>
  <c r="P15" i="66" s="1"/>
  <c r="P21" i="66" s="1"/>
  <c r="F14" i="66"/>
  <c r="O14" i="66" s="1"/>
  <c r="F13" i="66"/>
  <c r="O13" i="66" s="1"/>
  <c r="F12" i="66"/>
  <c r="O12" i="66" s="1"/>
  <c r="P12" i="66" s="1"/>
  <c r="Q29" i="66"/>
  <c r="Q25" i="66"/>
  <c r="O25" i="66"/>
  <c r="Q22" i="66"/>
  <c r="Q26" i="66" s="1"/>
  <c r="Q30" i="66" s="1"/>
  <c r="Q21" i="66"/>
  <c r="Q20" i="66"/>
  <c r="Q19" i="66"/>
  <c r="Q16" i="66"/>
  <c r="O16" i="66"/>
  <c r="P16" i="66" s="1"/>
  <c r="P22" i="66" s="1"/>
  <c r="Q15" i="66"/>
  <c r="Q14" i="66"/>
  <c r="C5" i="66"/>
  <c r="F33" i="65"/>
  <c r="F30" i="65"/>
  <c r="F29" i="65"/>
  <c r="F26" i="65"/>
  <c r="F25" i="65"/>
  <c r="F22" i="65"/>
  <c r="F21" i="65"/>
  <c r="F20" i="65"/>
  <c r="F19" i="65"/>
  <c r="F16" i="65"/>
  <c r="F15" i="65"/>
  <c r="F14" i="65"/>
  <c r="F13" i="65"/>
  <c r="F12" i="65"/>
  <c r="F47" i="69" l="1"/>
  <c r="E52" i="69" s="1"/>
  <c r="H82" i="69"/>
  <c r="F10" i="69"/>
  <c r="I25" i="69"/>
  <c r="I27" i="69" s="1"/>
  <c r="E35" i="69" s="1"/>
  <c r="H35" i="69" s="1"/>
  <c r="K25" i="69"/>
  <c r="H32" i="69"/>
  <c r="F7" i="69"/>
  <c r="F12" i="69" s="1"/>
  <c r="F9" i="69"/>
  <c r="H68" i="69"/>
  <c r="F8" i="69"/>
  <c r="H52" i="69"/>
  <c r="G25" i="69"/>
  <c r="F44" i="69"/>
  <c r="F46" i="69"/>
  <c r="G46" i="69"/>
  <c r="F45" i="69"/>
  <c r="G24" i="69"/>
  <c r="H24" i="69" s="1"/>
  <c r="H27" i="69" s="1"/>
  <c r="E34" i="69" s="1"/>
  <c r="H34" i="69" s="1"/>
  <c r="J21" i="69"/>
  <c r="K22" i="69"/>
  <c r="F26" i="69"/>
  <c r="G62" i="69"/>
  <c r="G76" i="69"/>
  <c r="H96" i="69"/>
  <c r="H97" i="69" s="1"/>
  <c r="H11" i="69" s="1"/>
  <c r="F23" i="69"/>
  <c r="F27" i="69" s="1"/>
  <c r="E32" i="69" s="1"/>
  <c r="H62" i="68"/>
  <c r="F8" i="68"/>
  <c r="H52" i="68"/>
  <c r="H76" i="68"/>
  <c r="E36" i="68"/>
  <c r="H36" i="68" s="1"/>
  <c r="J27" i="68"/>
  <c r="E97" i="68"/>
  <c r="G11" i="68" s="1"/>
  <c r="H96" i="68"/>
  <c r="H97" i="68" s="1"/>
  <c r="H11" i="68" s="1"/>
  <c r="C36" i="68"/>
  <c r="K26" i="68"/>
  <c r="J44" i="68"/>
  <c r="H46" i="68"/>
  <c r="H61" i="68"/>
  <c r="H75" i="68"/>
  <c r="H25" i="68"/>
  <c r="G44" i="68"/>
  <c r="G47" i="68" s="1"/>
  <c r="E53" i="68" s="1"/>
  <c r="H53" i="68" s="1"/>
  <c r="J21" i="68"/>
  <c r="F24" i="68"/>
  <c r="K22" i="68"/>
  <c r="G62" i="68"/>
  <c r="G76" i="68"/>
  <c r="F23" i="68"/>
  <c r="F7" i="68"/>
  <c r="F12" i="68" s="1"/>
  <c r="K23" i="67"/>
  <c r="G76" i="67"/>
  <c r="H76" i="67" s="1"/>
  <c r="H77" i="67" s="1"/>
  <c r="F77" i="67"/>
  <c r="E82" i="67" s="1"/>
  <c r="F9" i="67"/>
  <c r="H68" i="67"/>
  <c r="I25" i="67"/>
  <c r="I27" i="67" s="1"/>
  <c r="E35" i="67" s="1"/>
  <c r="H35" i="67" s="1"/>
  <c r="F47" i="67"/>
  <c r="E52" i="67" s="1"/>
  <c r="H52" i="67"/>
  <c r="F8" i="67"/>
  <c r="F12" i="67" s="1"/>
  <c r="F10" i="67"/>
  <c r="H82" i="67"/>
  <c r="F27" i="67"/>
  <c r="E32" i="67" s="1"/>
  <c r="H62" i="67"/>
  <c r="H63" i="67" s="1"/>
  <c r="G62" i="67"/>
  <c r="G25" i="67"/>
  <c r="F44" i="67"/>
  <c r="F46" i="67"/>
  <c r="G46" i="67"/>
  <c r="G24" i="67"/>
  <c r="G27" i="67" s="1"/>
  <c r="E33" i="67" s="1"/>
  <c r="H33" i="67" s="1"/>
  <c r="F45" i="67"/>
  <c r="H24" i="67"/>
  <c r="H27" i="67" s="1"/>
  <c r="E34" i="67" s="1"/>
  <c r="H34" i="67" s="1"/>
  <c r="F26" i="67"/>
  <c r="H96" i="67"/>
  <c r="H97" i="67" s="1"/>
  <c r="H11" i="67" s="1"/>
  <c r="J21" i="67"/>
  <c r="J43" i="67"/>
  <c r="P25" i="66"/>
  <c r="R25" i="66" s="1"/>
  <c r="L25" i="66" s="1"/>
  <c r="R21" i="66"/>
  <c r="L21" i="66" s="1"/>
  <c r="P30" i="66"/>
  <c r="R30" i="66" s="1"/>
  <c r="L30" i="66" s="1"/>
  <c r="P26" i="66"/>
  <c r="R26" i="66" s="1"/>
  <c r="L26" i="66" s="1"/>
  <c r="R22" i="66"/>
  <c r="L22" i="66" s="1"/>
  <c r="P14" i="66"/>
  <c r="P20" i="66" s="1"/>
  <c r="R20" i="66" s="1"/>
  <c r="L20" i="66" s="1"/>
  <c r="P13" i="66"/>
  <c r="R13" i="66" s="1"/>
  <c r="L13" i="66" s="1"/>
  <c r="P19" i="66"/>
  <c r="R19" i="66" s="1"/>
  <c r="L19" i="66" s="1"/>
  <c r="P33" i="66"/>
  <c r="R33" i="66" s="1"/>
  <c r="L33" i="66" s="1"/>
  <c r="P29" i="66"/>
  <c r="R29" i="66" s="1"/>
  <c r="L29" i="66" s="1"/>
  <c r="R16" i="66"/>
  <c r="L16" i="66" s="1"/>
  <c r="R12" i="66"/>
  <c r="L12" i="66" s="1"/>
  <c r="R15" i="66"/>
  <c r="L15" i="66" s="1"/>
  <c r="E83" i="69" l="1"/>
  <c r="G77" i="69"/>
  <c r="I46" i="69"/>
  <c r="G44" i="69"/>
  <c r="G47" i="69" s="1"/>
  <c r="E53" i="69" s="1"/>
  <c r="H53" i="69" s="1"/>
  <c r="G23" i="69"/>
  <c r="K23" i="69"/>
  <c r="K27" i="69" s="1"/>
  <c r="H45" i="69"/>
  <c r="H47" i="69" s="1"/>
  <c r="E54" i="69" s="1"/>
  <c r="H54" i="69" s="1"/>
  <c r="K24" i="69"/>
  <c r="E69" i="69"/>
  <c r="G63" i="69"/>
  <c r="J26" i="69"/>
  <c r="K26" i="69"/>
  <c r="H62" i="69"/>
  <c r="H63" i="69" s="1"/>
  <c r="H76" i="69"/>
  <c r="H77" i="69" s="1"/>
  <c r="K25" i="68"/>
  <c r="H24" i="68"/>
  <c r="H27" i="68" s="1"/>
  <c r="E34" i="68" s="1"/>
  <c r="H34" i="68" s="1"/>
  <c r="K24" i="68"/>
  <c r="F27" i="68"/>
  <c r="E32" i="68" s="1"/>
  <c r="I25" i="68"/>
  <c r="I27" i="68" s="1"/>
  <c r="E35" i="68" s="1"/>
  <c r="H35" i="68" s="1"/>
  <c r="H77" i="68"/>
  <c r="E83" i="68"/>
  <c r="G77" i="68"/>
  <c r="H63" i="68"/>
  <c r="G23" i="68"/>
  <c r="K23" i="68"/>
  <c r="E69" i="68"/>
  <c r="G63" i="68"/>
  <c r="J46" i="68"/>
  <c r="J47" i="68" s="1"/>
  <c r="H47" i="68"/>
  <c r="E54" i="68" s="1"/>
  <c r="I46" i="68"/>
  <c r="H45" i="67"/>
  <c r="H47" i="67" s="1"/>
  <c r="E54" i="67" s="1"/>
  <c r="H54" i="67" s="1"/>
  <c r="K25" i="67"/>
  <c r="I46" i="67"/>
  <c r="K24" i="67"/>
  <c r="G77" i="67"/>
  <c r="E83" i="67"/>
  <c r="H83" i="67" s="1"/>
  <c r="H84" i="67" s="1"/>
  <c r="H10" i="67" s="1"/>
  <c r="G44" i="67"/>
  <c r="G47" i="67" s="1"/>
  <c r="E53" i="67" s="1"/>
  <c r="H53" i="67" s="1"/>
  <c r="J26" i="67"/>
  <c r="G63" i="67"/>
  <c r="E69" i="67"/>
  <c r="R14" i="66"/>
  <c r="L14" i="66" s="1"/>
  <c r="J44" i="69" l="1"/>
  <c r="J47" i="69" s="1"/>
  <c r="I47" i="69"/>
  <c r="E55" i="69"/>
  <c r="H55" i="69" s="1"/>
  <c r="H56" i="69" s="1"/>
  <c r="H8" i="69" s="1"/>
  <c r="E36" i="69"/>
  <c r="H36" i="69" s="1"/>
  <c r="J27" i="69"/>
  <c r="G27" i="69"/>
  <c r="E33" i="69" s="1"/>
  <c r="E56" i="69"/>
  <c r="G8" i="69" s="1"/>
  <c r="H69" i="69"/>
  <c r="H70" i="69" s="1"/>
  <c r="H9" i="69" s="1"/>
  <c r="E70" i="69"/>
  <c r="G9" i="69" s="1"/>
  <c r="J46" i="69"/>
  <c r="J45" i="69"/>
  <c r="H83" i="69"/>
  <c r="H84" i="69" s="1"/>
  <c r="H10" i="69" s="1"/>
  <c r="E84" i="69"/>
  <c r="H69" i="68"/>
  <c r="H70" i="68" s="1"/>
  <c r="H9" i="68" s="1"/>
  <c r="E70" i="68"/>
  <c r="G9" i="68" s="1"/>
  <c r="G27" i="68"/>
  <c r="E33" i="68" s="1"/>
  <c r="H33" i="68" s="1"/>
  <c r="H37" i="68" s="1"/>
  <c r="H7" i="68" s="1"/>
  <c r="K27" i="68"/>
  <c r="E37" i="68"/>
  <c r="G7" i="68" s="1"/>
  <c r="E55" i="68"/>
  <c r="H55" i="68" s="1"/>
  <c r="I47" i="68"/>
  <c r="H54" i="68"/>
  <c r="H83" i="68"/>
  <c r="H84" i="68" s="1"/>
  <c r="H10" i="68" s="1"/>
  <c r="E84" i="68"/>
  <c r="K27" i="67"/>
  <c r="I47" i="67"/>
  <c r="E55" i="67"/>
  <c r="E36" i="67"/>
  <c r="J27" i="67"/>
  <c r="J45" i="67"/>
  <c r="H69" i="67"/>
  <c r="H70" i="67" s="1"/>
  <c r="H9" i="67" s="1"/>
  <c r="E70" i="67"/>
  <c r="G9" i="67" s="1"/>
  <c r="K26" i="67"/>
  <c r="J44" i="67"/>
  <c r="J47" i="67" s="1"/>
  <c r="E84" i="67"/>
  <c r="J46" i="67"/>
  <c r="E87" i="69" l="1"/>
  <c r="G10" i="69"/>
  <c r="H33" i="69"/>
  <c r="H37" i="69" s="1"/>
  <c r="H7" i="69" s="1"/>
  <c r="H12" i="69" s="1"/>
  <c r="H14" i="69" s="1"/>
  <c r="E37" i="69"/>
  <c r="G7" i="69" s="1"/>
  <c r="G12" i="69" s="1"/>
  <c r="E56" i="68"/>
  <c r="G8" i="68" s="1"/>
  <c r="H56" i="68"/>
  <c r="H8" i="68" s="1"/>
  <c r="H12" i="68" s="1"/>
  <c r="H14" i="68" s="1"/>
  <c r="E87" i="68"/>
  <c r="G10" i="68"/>
  <c r="G12" i="68" s="1"/>
  <c r="H36" i="67"/>
  <c r="H37" i="67" s="1"/>
  <c r="H7" i="67" s="1"/>
  <c r="E37" i="67"/>
  <c r="G7" i="67" s="1"/>
  <c r="G12" i="67" s="1"/>
  <c r="E87" i="67"/>
  <c r="G10" i="67"/>
  <c r="H55" i="67"/>
  <c r="H56" i="67" s="1"/>
  <c r="H8" i="67" s="1"/>
  <c r="E56" i="67"/>
  <c r="G8" i="67" s="1"/>
  <c r="H12" i="67" l="1"/>
  <c r="H14" i="67" s="1"/>
  <c r="O33" i="65"/>
  <c r="O30" i="65"/>
  <c r="Q29" i="65"/>
  <c r="O29" i="65"/>
  <c r="O26" i="65"/>
  <c r="Q25" i="65"/>
  <c r="O25" i="65"/>
  <c r="O22" i="65"/>
  <c r="O21" i="65"/>
  <c r="Q20" i="65"/>
  <c r="Q21" i="65" s="1"/>
  <c r="Q22" i="65" s="1"/>
  <c r="Q26" i="65" s="1"/>
  <c r="Q30" i="65" s="1"/>
  <c r="O20" i="65"/>
  <c r="Q19" i="65"/>
  <c r="O19" i="65"/>
  <c r="Q16" i="65"/>
  <c r="O16" i="65"/>
  <c r="Q15" i="65"/>
  <c r="O15" i="65"/>
  <c r="Q14" i="65"/>
  <c r="O14" i="65"/>
  <c r="P14" i="65" s="1"/>
  <c r="O13" i="65"/>
  <c r="P13" i="65" s="1"/>
  <c r="O12" i="65"/>
  <c r="C5" i="65"/>
  <c r="F33" i="64"/>
  <c r="O33" i="64" s="1"/>
  <c r="O30" i="64"/>
  <c r="F30" i="64"/>
  <c r="Q29" i="64"/>
  <c r="F29" i="64"/>
  <c r="O29" i="64" s="1"/>
  <c r="F26" i="64"/>
  <c r="O26" i="64" s="1"/>
  <c r="Q25" i="64"/>
  <c r="F25" i="64"/>
  <c r="O25" i="64" s="1"/>
  <c r="O22" i="64"/>
  <c r="F22" i="64"/>
  <c r="Q21" i="64"/>
  <c r="Q22" i="64" s="1"/>
  <c r="Q26" i="64" s="1"/>
  <c r="Q30" i="64" s="1"/>
  <c r="F21" i="64"/>
  <c r="O21" i="64" s="1"/>
  <c r="Q20" i="64"/>
  <c r="O20" i="64"/>
  <c r="F20" i="64"/>
  <c r="Q19" i="64"/>
  <c r="F19" i="64"/>
  <c r="O19" i="64" s="1"/>
  <c r="Q16" i="64"/>
  <c r="O16" i="64"/>
  <c r="F16" i="64"/>
  <c r="Q15" i="64"/>
  <c r="F15" i="64"/>
  <c r="O15" i="64" s="1"/>
  <c r="Q14" i="64"/>
  <c r="O14" i="64"/>
  <c r="F14" i="64"/>
  <c r="F13" i="64"/>
  <c r="O13" i="64" s="1"/>
  <c r="F12" i="64"/>
  <c r="O12" i="64" s="1"/>
  <c r="P33" i="64"/>
  <c r="C5" i="64"/>
  <c r="P20" i="65" l="1"/>
  <c r="R20" i="65" s="1"/>
  <c r="L20" i="65" s="1"/>
  <c r="R14" i="65"/>
  <c r="L14" i="65" s="1"/>
  <c r="P12" i="65"/>
  <c r="R12" i="65" s="1"/>
  <c r="L12" i="65" s="1"/>
  <c r="P16" i="65"/>
  <c r="P22" i="65" s="1"/>
  <c r="P15" i="65"/>
  <c r="P21" i="65" s="1"/>
  <c r="R21" i="65" s="1"/>
  <c r="L21" i="65" s="1"/>
  <c r="P29" i="65"/>
  <c r="R29" i="65" s="1"/>
  <c r="L29" i="65" s="1"/>
  <c r="P19" i="65"/>
  <c r="R19" i="65" s="1"/>
  <c r="L19" i="65" s="1"/>
  <c r="P25" i="65"/>
  <c r="R25" i="65" s="1"/>
  <c r="L25" i="65" s="1"/>
  <c r="R13" i="65"/>
  <c r="L13" i="65" s="1"/>
  <c r="P33" i="65"/>
  <c r="R33" i="65" s="1"/>
  <c r="L33" i="65" s="1"/>
  <c r="R33" i="64"/>
  <c r="L33" i="64" s="1"/>
  <c r="P14" i="64"/>
  <c r="P19" i="64"/>
  <c r="R19" i="64" s="1"/>
  <c r="L19" i="64" s="1"/>
  <c r="P25" i="64"/>
  <c r="R25" i="64" s="1"/>
  <c r="L25" i="64" s="1"/>
  <c r="P13" i="64"/>
  <c r="R13" i="64" s="1"/>
  <c r="L13" i="64" s="1"/>
  <c r="P16" i="64"/>
  <c r="P22" i="64" s="1"/>
  <c r="R22" i="64" s="1"/>
  <c r="L22" i="64" s="1"/>
  <c r="P12" i="64"/>
  <c r="R12" i="64" s="1"/>
  <c r="L12" i="64" s="1"/>
  <c r="P15" i="64"/>
  <c r="P21" i="64" s="1"/>
  <c r="R21" i="64" s="1"/>
  <c r="L21" i="64" s="1"/>
  <c r="P29" i="64"/>
  <c r="R29" i="64" s="1"/>
  <c r="L29" i="64" s="1"/>
  <c r="L51" i="3"/>
  <c r="L60" i="3"/>
  <c r="L59" i="3"/>
  <c r="L58" i="3"/>
  <c r="L57" i="3"/>
  <c r="R47" i="3"/>
  <c r="F30" i="62"/>
  <c r="F27" i="62"/>
  <c r="F26" i="62"/>
  <c r="F23" i="62"/>
  <c r="F22" i="62"/>
  <c r="F19" i="62"/>
  <c r="F18" i="62"/>
  <c r="F17" i="62"/>
  <c r="F16" i="62"/>
  <c r="F13" i="62"/>
  <c r="F12" i="62"/>
  <c r="F11" i="62"/>
  <c r="F10" i="62"/>
  <c r="F9" i="62"/>
  <c r="C5" i="62"/>
  <c r="F41" i="61"/>
  <c r="S27" i="61" s="1"/>
  <c r="F40" i="61"/>
  <c r="S23" i="61" s="1"/>
  <c r="S24" i="61" s="1"/>
  <c r="F39" i="61"/>
  <c r="S19" i="61" s="1"/>
  <c r="S20" i="61" s="1"/>
  <c r="F38" i="61"/>
  <c r="S13" i="61" s="1"/>
  <c r="S14" i="61" s="1"/>
  <c r="F37" i="61"/>
  <c r="S6" i="61" s="1"/>
  <c r="S7" i="61" s="1"/>
  <c r="F27" i="61"/>
  <c r="F24" i="61"/>
  <c r="F23" i="61"/>
  <c r="U23" i="61" s="1"/>
  <c r="F20" i="61"/>
  <c r="F19" i="61"/>
  <c r="U19" i="61" s="1"/>
  <c r="F16" i="61"/>
  <c r="F15" i="61"/>
  <c r="F14" i="61"/>
  <c r="F13" i="61"/>
  <c r="U13" i="61" s="1"/>
  <c r="F10" i="61"/>
  <c r="F9" i="61"/>
  <c r="F8" i="61"/>
  <c r="F7" i="61"/>
  <c r="F6" i="61"/>
  <c r="U6" i="61" s="1"/>
  <c r="R16" i="64" l="1"/>
  <c r="L16" i="64" s="1"/>
  <c r="R16" i="65"/>
  <c r="L16" i="65" s="1"/>
  <c r="P26" i="65"/>
  <c r="R26" i="65" s="1"/>
  <c r="L26" i="65" s="1"/>
  <c r="P30" i="65"/>
  <c r="R30" i="65" s="1"/>
  <c r="L30" i="65" s="1"/>
  <c r="R22" i="65"/>
  <c r="L22" i="65" s="1"/>
  <c r="R15" i="65"/>
  <c r="L15" i="65" s="1"/>
  <c r="R14" i="64"/>
  <c r="L14" i="64" s="1"/>
  <c r="P20" i="64"/>
  <c r="R20" i="64" s="1"/>
  <c r="L20" i="64" s="1"/>
  <c r="R15" i="64"/>
  <c r="L15" i="64" s="1"/>
  <c r="P30" i="64"/>
  <c r="R30" i="64" s="1"/>
  <c r="L30" i="64" s="1"/>
  <c r="P26" i="64"/>
  <c r="R26" i="64" s="1"/>
  <c r="L26" i="64" s="1"/>
  <c r="U24" i="61"/>
  <c r="U25" i="61" s="1"/>
  <c r="H40" i="61" s="1"/>
  <c r="U7" i="61"/>
  <c r="U8" i="61" s="1"/>
  <c r="H37" i="61" s="1"/>
  <c r="U14" i="61"/>
  <c r="U15" i="61" s="1"/>
  <c r="H38" i="61" s="1"/>
  <c r="U20" i="61"/>
  <c r="U21" i="61" s="1"/>
  <c r="H39" i="61" s="1"/>
  <c r="U27" i="61"/>
  <c r="H41" i="61" s="1"/>
  <c r="E87" i="15" l="1"/>
  <c r="J48" i="51"/>
  <c r="J47" i="51"/>
  <c r="J46" i="51"/>
  <c r="J45" i="51"/>
  <c r="J44" i="51"/>
  <c r="J41" i="51"/>
  <c r="J40" i="51"/>
  <c r="J39" i="51"/>
  <c r="J38" i="51"/>
  <c r="J37" i="51"/>
  <c r="J36" i="51"/>
  <c r="F11" i="53"/>
  <c r="F12" i="53"/>
  <c r="F10" i="53"/>
  <c r="F9" i="53"/>
  <c r="Q16" i="2"/>
  <c r="Q15" i="2"/>
  <c r="Q14" i="2"/>
  <c r="Q20" i="2"/>
  <c r="Q21" i="2" s="1"/>
  <c r="Q22" i="2" s="1"/>
  <c r="Q26" i="2" s="1"/>
  <c r="Q30" i="2" s="1"/>
  <c r="Q29" i="2"/>
  <c r="Q25" i="2"/>
  <c r="Q19" i="2"/>
  <c r="F57" i="10"/>
  <c r="F20" i="2" s="1"/>
  <c r="F17" i="59" s="1"/>
  <c r="F58" i="10"/>
  <c r="F21" i="2" s="1"/>
  <c r="F18" i="59" s="1"/>
  <c r="F59" i="10"/>
  <c r="F22" i="2" s="1"/>
  <c r="F19" i="59" s="1"/>
  <c r="F56" i="10"/>
  <c r="F19" i="2"/>
  <c r="F10" i="59"/>
  <c r="F27" i="59"/>
  <c r="F25" i="59"/>
  <c r="F24" i="59"/>
  <c r="F22" i="59"/>
  <c r="F21" i="59"/>
  <c r="F16" i="59"/>
  <c r="F12" i="59"/>
  <c r="F13" i="59"/>
  <c r="F14" i="59"/>
  <c r="F11" i="59"/>
  <c r="E41" i="16" l="1"/>
  <c r="C14" i="57" l="1"/>
  <c r="R44" i="34"/>
  <c r="R45" i="34"/>
  <c r="R46" i="34"/>
  <c r="R43" i="34"/>
  <c r="R47" i="34" s="1"/>
  <c r="H48" i="34" s="1"/>
  <c r="H9" i="34"/>
  <c r="H47" i="3"/>
  <c r="O80" i="42"/>
  <c r="M80" i="42"/>
  <c r="K80" i="42"/>
  <c r="I80" i="42"/>
  <c r="G80" i="42"/>
  <c r="N80" i="48"/>
  <c r="L80" i="48"/>
  <c r="F80" i="48"/>
  <c r="D80" i="48"/>
  <c r="N78" i="48"/>
  <c r="L78" i="48"/>
  <c r="M78" i="42"/>
  <c r="O78" i="42" s="1"/>
  <c r="G78" i="42"/>
  <c r="H12" i="3"/>
  <c r="F15" i="3"/>
  <c r="H19" i="10"/>
  <c r="L48" i="34" l="1"/>
  <c r="D4" i="16"/>
  <c r="B51" i="51"/>
  <c r="B7" i="51"/>
  <c r="D45" i="51"/>
  <c r="F45" i="51"/>
  <c r="H45" i="51" s="1"/>
  <c r="D46" i="51"/>
  <c r="F46" i="51"/>
  <c r="H46" i="51" s="1"/>
  <c r="D47" i="51"/>
  <c r="F47" i="51"/>
  <c r="H47" i="51" s="1"/>
  <c r="D48" i="51"/>
  <c r="F48" i="51"/>
  <c r="H48" i="51" s="1"/>
  <c r="F44" i="51"/>
  <c r="H44" i="51" s="1"/>
  <c r="D44" i="51"/>
  <c r="N14" i="55"/>
  <c r="S14" i="55" s="1"/>
  <c r="N13" i="55"/>
  <c r="M12" i="55"/>
  <c r="M13" i="55" s="1"/>
  <c r="M14" i="55" s="1"/>
  <c r="M11" i="55"/>
  <c r="R11" i="55" s="1"/>
  <c r="T11" i="55" s="1"/>
  <c r="M10" i="55"/>
  <c r="R10" i="55" s="1"/>
  <c r="S9" i="55"/>
  <c r="R9" i="55"/>
  <c r="R16" i="55" s="1"/>
  <c r="T16" i="55" s="1"/>
  <c r="N9" i="55"/>
  <c r="M9" i="55"/>
  <c r="M16" i="55" s="1"/>
  <c r="O16" i="55" s="1"/>
  <c r="M8" i="55"/>
  <c r="D37" i="51"/>
  <c r="F37" i="51"/>
  <c r="D38" i="51"/>
  <c r="F38" i="51"/>
  <c r="H38" i="51" s="1"/>
  <c r="D39" i="51"/>
  <c r="F39" i="51"/>
  <c r="H39" i="51" s="1"/>
  <c r="D40" i="51"/>
  <c r="F40" i="51"/>
  <c r="H40" i="51" s="1"/>
  <c r="D41" i="51"/>
  <c r="F41" i="51"/>
  <c r="H41" i="51" s="1"/>
  <c r="F36" i="51"/>
  <c r="H36" i="51" s="1"/>
  <c r="D36" i="51"/>
  <c r="S13" i="54"/>
  <c r="S14" i="54"/>
  <c r="S21" i="54" s="1"/>
  <c r="S15" i="54"/>
  <c r="S22" i="54"/>
  <c r="S20" i="54"/>
  <c r="N21" i="54"/>
  <c r="N22" i="54"/>
  <c r="N20" i="54"/>
  <c r="N15" i="54"/>
  <c r="N14" i="54"/>
  <c r="M12" i="54"/>
  <c r="R12" i="54" s="1"/>
  <c r="T12" i="54" s="1"/>
  <c r="M11" i="54"/>
  <c r="M10" i="54"/>
  <c r="S9" i="54"/>
  <c r="N9" i="54"/>
  <c r="O12" i="54"/>
  <c r="R11" i="54"/>
  <c r="T11" i="54" s="1"/>
  <c r="M9" i="54"/>
  <c r="M17" i="54" s="1"/>
  <c r="R9" i="54"/>
  <c r="R17" i="54" s="1"/>
  <c r="M8" i="54"/>
  <c r="R8" i="54" s="1"/>
  <c r="W17" i="53"/>
  <c r="W18" i="53"/>
  <c r="W19" i="53"/>
  <c r="V16" i="53"/>
  <c r="V17" i="53"/>
  <c r="X17" i="53" s="1"/>
  <c r="V18" i="53"/>
  <c r="V19" i="53"/>
  <c r="V15" i="53"/>
  <c r="U12" i="53"/>
  <c r="U13" i="53"/>
  <c r="U14" i="53"/>
  <c r="U15" i="53"/>
  <c r="U16" i="53"/>
  <c r="U17" i="53"/>
  <c r="U18" i="53"/>
  <c r="U19" i="53"/>
  <c r="U11" i="53"/>
  <c r="T11" i="53"/>
  <c r="T12" i="53"/>
  <c r="T13" i="53"/>
  <c r="T14" i="53"/>
  <c r="T15" i="53"/>
  <c r="T16" i="53"/>
  <c r="T17" i="53"/>
  <c r="T18" i="53"/>
  <c r="T19" i="53"/>
  <c r="T10" i="53"/>
  <c r="P18" i="53"/>
  <c r="P19" i="53"/>
  <c r="P17" i="53"/>
  <c r="O16" i="53"/>
  <c r="O15" i="53"/>
  <c r="N11" i="53"/>
  <c r="P9" i="53"/>
  <c r="O9" i="53"/>
  <c r="O26" i="53" s="1"/>
  <c r="N9" i="53"/>
  <c r="N26" i="53" s="1"/>
  <c r="M9" i="53"/>
  <c r="M8" i="53"/>
  <c r="Q17" i="53"/>
  <c r="X16" i="53"/>
  <c r="X14" i="53"/>
  <c r="Q14" i="53"/>
  <c r="X11" i="53"/>
  <c r="M21" i="53"/>
  <c r="D13" i="51"/>
  <c r="D14" i="51"/>
  <c r="D15" i="51"/>
  <c r="D16" i="51"/>
  <c r="D17" i="51"/>
  <c r="D18" i="51"/>
  <c r="D19" i="51"/>
  <c r="D20" i="51"/>
  <c r="D21" i="51"/>
  <c r="D12" i="51"/>
  <c r="Z19" i="52"/>
  <c r="Y19" i="52"/>
  <c r="Y18" i="52"/>
  <c r="X17" i="52"/>
  <c r="Z17" i="52" s="1"/>
  <c r="Z16" i="52"/>
  <c r="X16" i="52"/>
  <c r="X15" i="52"/>
  <c r="Z15" i="52" s="1"/>
  <c r="W14" i="52"/>
  <c r="Z13" i="52"/>
  <c r="W13" i="52"/>
  <c r="W12" i="52"/>
  <c r="R30" i="52"/>
  <c r="Q30" i="52"/>
  <c r="Q29" i="52"/>
  <c r="P27" i="52"/>
  <c r="P28" i="52"/>
  <c r="P29" i="52"/>
  <c r="P30" i="52"/>
  <c r="P26" i="52"/>
  <c r="O24" i="52"/>
  <c r="O25" i="52"/>
  <c r="O26" i="52"/>
  <c r="O27" i="52"/>
  <c r="O28" i="52"/>
  <c r="O29" i="52"/>
  <c r="O30" i="52"/>
  <c r="O23" i="52"/>
  <c r="N23" i="52"/>
  <c r="N24" i="52"/>
  <c r="N25" i="52"/>
  <c r="N26" i="52"/>
  <c r="N27" i="52"/>
  <c r="N28" i="52"/>
  <c r="N29" i="52"/>
  <c r="N30" i="52"/>
  <c r="N22" i="52"/>
  <c r="M21" i="52"/>
  <c r="Q9" i="52"/>
  <c r="P9" i="52"/>
  <c r="O9" i="52"/>
  <c r="N9" i="52"/>
  <c r="M9" i="52"/>
  <c r="Q18" i="52"/>
  <c r="R21" i="52"/>
  <c r="M22" i="52"/>
  <c r="M23" i="52" s="1"/>
  <c r="M24" i="52" s="1"/>
  <c r="M25" i="52" s="1"/>
  <c r="M26" i="52" s="1"/>
  <c r="M27" i="52" s="1"/>
  <c r="M28" i="52" s="1"/>
  <c r="M29" i="52" s="1"/>
  <c r="M30" i="52" s="1"/>
  <c r="Q19" i="52"/>
  <c r="P17" i="52"/>
  <c r="P16" i="52"/>
  <c r="P15" i="52"/>
  <c r="R15" i="52" s="1"/>
  <c r="O14" i="52"/>
  <c r="R14" i="52" s="1"/>
  <c r="O13" i="52"/>
  <c r="R13" i="52"/>
  <c r="R18" i="52"/>
  <c r="R19" i="52"/>
  <c r="O12" i="52"/>
  <c r="M11" i="52"/>
  <c r="N11" i="52" s="1"/>
  <c r="R22" i="52" s="1"/>
  <c r="K12" i="52"/>
  <c r="K11" i="52"/>
  <c r="K10" i="52"/>
  <c r="K9" i="52"/>
  <c r="F30" i="50"/>
  <c r="F27" i="50"/>
  <c r="F26" i="50"/>
  <c r="F23" i="50"/>
  <c r="F22" i="50"/>
  <c r="F19" i="50"/>
  <c r="F18" i="50"/>
  <c r="F17" i="50"/>
  <c r="F16" i="50"/>
  <c r="F10" i="50"/>
  <c r="F11" i="50"/>
  <c r="F12" i="50"/>
  <c r="F13" i="50"/>
  <c r="F9" i="50"/>
  <c r="C5" i="50"/>
  <c r="X15" i="49"/>
  <c r="X17" i="49" s="1"/>
  <c r="V14" i="49"/>
  <c r="T14" i="49"/>
  <c r="R14" i="49"/>
  <c r="P14" i="49"/>
  <c r="N14" i="49"/>
  <c r="L14" i="49"/>
  <c r="J14" i="49"/>
  <c r="H14" i="49"/>
  <c r="F14" i="49"/>
  <c r="D14" i="49"/>
  <c r="V13" i="49"/>
  <c r="T13" i="49"/>
  <c r="R13" i="49"/>
  <c r="P13" i="49"/>
  <c r="N13" i="49"/>
  <c r="L13" i="49"/>
  <c r="J13" i="49"/>
  <c r="H13" i="49"/>
  <c r="F13" i="49"/>
  <c r="D13" i="49"/>
  <c r="V12" i="49"/>
  <c r="T12" i="49"/>
  <c r="R12" i="49"/>
  <c r="P12" i="49"/>
  <c r="N12" i="49"/>
  <c r="L12" i="49"/>
  <c r="J12" i="49"/>
  <c r="H12" i="49"/>
  <c r="F12" i="49"/>
  <c r="D12" i="49"/>
  <c r="V11" i="49"/>
  <c r="T11" i="49"/>
  <c r="R11" i="49"/>
  <c r="P11" i="49"/>
  <c r="N11" i="49"/>
  <c r="L11" i="49"/>
  <c r="J11" i="49"/>
  <c r="H11" i="49"/>
  <c r="F11" i="49"/>
  <c r="D11" i="49"/>
  <c r="V10" i="49"/>
  <c r="T10" i="49"/>
  <c r="R10" i="49"/>
  <c r="P10" i="49"/>
  <c r="P15" i="49" s="1"/>
  <c r="P17" i="49" s="1"/>
  <c r="N10" i="49"/>
  <c r="L10" i="49"/>
  <c r="L15" i="49" s="1"/>
  <c r="L17" i="49" s="1"/>
  <c r="J10" i="49"/>
  <c r="H10" i="49"/>
  <c r="F10" i="49"/>
  <c r="D10" i="49"/>
  <c r="B5" i="49"/>
  <c r="A3" i="48"/>
  <c r="J75" i="48"/>
  <c r="H75" i="48"/>
  <c r="J74" i="48"/>
  <c r="H74" i="48"/>
  <c r="J70" i="48"/>
  <c r="H70" i="48"/>
  <c r="J69" i="48"/>
  <c r="H69" i="48"/>
  <c r="J68" i="48"/>
  <c r="H68" i="48"/>
  <c r="J67" i="48"/>
  <c r="H67" i="48"/>
  <c r="J66" i="48"/>
  <c r="H66" i="48"/>
  <c r="J65" i="48"/>
  <c r="H65" i="48"/>
  <c r="J64" i="48"/>
  <c r="H64" i="48"/>
  <c r="J63" i="48"/>
  <c r="H63" i="48"/>
  <c r="J62" i="48"/>
  <c r="H62" i="48"/>
  <c r="J61" i="48"/>
  <c r="H61" i="48"/>
  <c r="J60" i="48"/>
  <c r="H60" i="48"/>
  <c r="J59" i="48"/>
  <c r="H59" i="48"/>
  <c r="J58" i="48"/>
  <c r="H58" i="48"/>
  <c r="J57" i="48"/>
  <c r="H57" i="48"/>
  <c r="J56" i="48"/>
  <c r="H56" i="48"/>
  <c r="J55" i="48"/>
  <c r="H55" i="48"/>
  <c r="J54" i="48"/>
  <c r="H54" i="48"/>
  <c r="J50" i="48"/>
  <c r="H50" i="48"/>
  <c r="J49" i="48"/>
  <c r="H49" i="48"/>
  <c r="J48" i="48"/>
  <c r="H48" i="48"/>
  <c r="J47" i="48"/>
  <c r="H47" i="48"/>
  <c r="J46" i="48"/>
  <c r="H46" i="48"/>
  <c r="J45" i="48"/>
  <c r="H45" i="48"/>
  <c r="J44" i="48"/>
  <c r="H44" i="48"/>
  <c r="J43" i="48"/>
  <c r="H43" i="48"/>
  <c r="J42" i="48"/>
  <c r="H42" i="48"/>
  <c r="J41" i="48"/>
  <c r="H41" i="48"/>
  <c r="J40" i="48"/>
  <c r="H40" i="48"/>
  <c r="J39" i="48"/>
  <c r="H39" i="48"/>
  <c r="J35" i="48"/>
  <c r="H35" i="48"/>
  <c r="J31" i="48"/>
  <c r="H31" i="48"/>
  <c r="J27" i="48"/>
  <c r="H27" i="48"/>
  <c r="J26" i="48"/>
  <c r="H26" i="48"/>
  <c r="J22" i="48"/>
  <c r="H22" i="48"/>
  <c r="J21" i="48"/>
  <c r="H21" i="48"/>
  <c r="J20" i="48"/>
  <c r="H20" i="48"/>
  <c r="J19" i="48"/>
  <c r="H19" i="48"/>
  <c r="J18" i="48"/>
  <c r="H18" i="48"/>
  <c r="J17" i="48"/>
  <c r="H17" i="48"/>
  <c r="J16" i="48"/>
  <c r="H16" i="48"/>
  <c r="J15" i="48"/>
  <c r="H15" i="48"/>
  <c r="J14" i="48"/>
  <c r="H14" i="48"/>
  <c r="J13" i="48"/>
  <c r="H13" i="48"/>
  <c r="J12" i="48"/>
  <c r="H12" i="48"/>
  <c r="J8" i="48"/>
  <c r="H8" i="48"/>
  <c r="F75" i="48"/>
  <c r="F74" i="48"/>
  <c r="F70" i="48"/>
  <c r="F69" i="48"/>
  <c r="F50" i="48"/>
  <c r="F49" i="48"/>
  <c r="F48" i="48"/>
  <c r="F47" i="48"/>
  <c r="F41" i="48"/>
  <c r="F40" i="48"/>
  <c r="F39" i="48"/>
  <c r="F35" i="48"/>
  <c r="F36" i="48" s="1"/>
  <c r="F31" i="48"/>
  <c r="F32" i="48" s="1"/>
  <c r="F22" i="48"/>
  <c r="F21" i="48"/>
  <c r="F20" i="48"/>
  <c r="F19" i="48"/>
  <c r="D75" i="48"/>
  <c r="D74" i="48"/>
  <c r="D76" i="48" s="1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5" i="48"/>
  <c r="D36" i="48" s="1"/>
  <c r="D31" i="48"/>
  <c r="D32" i="48" s="1"/>
  <c r="D27" i="48"/>
  <c r="D26" i="48"/>
  <c r="D22" i="48"/>
  <c r="D21" i="48"/>
  <c r="D20" i="48"/>
  <c r="D19" i="48"/>
  <c r="D18" i="48"/>
  <c r="D17" i="48"/>
  <c r="D16" i="48"/>
  <c r="D15" i="48"/>
  <c r="D14" i="48"/>
  <c r="D13" i="48"/>
  <c r="D12" i="48"/>
  <c r="D8" i="48"/>
  <c r="D9" i="48" s="1"/>
  <c r="H83" i="48"/>
  <c r="O30" i="53" l="1"/>
  <c r="O29" i="53"/>
  <c r="N30" i="53"/>
  <c r="D51" i="51"/>
  <c r="H37" i="51"/>
  <c r="O12" i="55"/>
  <c r="R12" i="55"/>
  <c r="T12" i="55" s="1"/>
  <c r="O11" i="55"/>
  <c r="R14" i="55"/>
  <c r="T14" i="55" s="1"/>
  <c r="R13" i="55"/>
  <c r="S20" i="55"/>
  <c r="M17" i="55"/>
  <c r="O17" i="55" s="1"/>
  <c r="R17" i="55"/>
  <c r="R18" i="55" s="1"/>
  <c r="R19" i="55" s="1"/>
  <c r="N20" i="55"/>
  <c r="S13" i="55"/>
  <c r="S19" i="55" s="1"/>
  <c r="N19" i="55"/>
  <c r="O13" i="55"/>
  <c r="R8" i="55"/>
  <c r="O14" i="55"/>
  <c r="M13" i="54"/>
  <c r="R10" i="54"/>
  <c r="N13" i="54"/>
  <c r="R18" i="54"/>
  <c r="T17" i="54"/>
  <c r="M18" i="54"/>
  <c r="O17" i="54"/>
  <c r="O11" i="54"/>
  <c r="X18" i="53"/>
  <c r="X15" i="53"/>
  <c r="X19" i="53"/>
  <c r="Q15" i="53"/>
  <c r="N23" i="53"/>
  <c r="N24" i="53"/>
  <c r="P29" i="53"/>
  <c r="Q18" i="53"/>
  <c r="P30" i="53"/>
  <c r="Q12" i="53"/>
  <c r="O27" i="53"/>
  <c r="N29" i="53"/>
  <c r="O28" i="53"/>
  <c r="M22" i="53"/>
  <c r="Q21" i="53"/>
  <c r="D24" i="51" s="1"/>
  <c r="X12" i="53"/>
  <c r="N25" i="53"/>
  <c r="Q13" i="53"/>
  <c r="Q16" i="53"/>
  <c r="Q19" i="53"/>
  <c r="N27" i="53"/>
  <c r="X13" i="53"/>
  <c r="N28" i="53"/>
  <c r="Z12" i="52"/>
  <c r="Z18" i="52"/>
  <c r="Z14" i="52"/>
  <c r="V11" i="52"/>
  <c r="R23" i="52"/>
  <c r="R11" i="52"/>
  <c r="R17" i="52"/>
  <c r="R24" i="52"/>
  <c r="R16" i="52"/>
  <c r="R12" i="52"/>
  <c r="R26" i="52"/>
  <c r="R25" i="52"/>
  <c r="N15" i="49"/>
  <c r="N17" i="49" s="1"/>
  <c r="R15" i="49"/>
  <c r="R17" i="49" s="1"/>
  <c r="F15" i="49"/>
  <c r="F17" i="49" s="1"/>
  <c r="H15" i="49"/>
  <c r="H17" i="49" s="1"/>
  <c r="T15" i="49"/>
  <c r="T17" i="49" s="1"/>
  <c r="V15" i="49"/>
  <c r="V17" i="49" s="1"/>
  <c r="D15" i="49"/>
  <c r="D17" i="49" s="1"/>
  <c r="J15" i="49"/>
  <c r="J17" i="49" s="1"/>
  <c r="F76" i="48"/>
  <c r="D51" i="48"/>
  <c r="D28" i="48"/>
  <c r="D23" i="48"/>
  <c r="D71" i="48"/>
  <c r="M18" i="55" l="1"/>
  <c r="T18" i="55"/>
  <c r="T13" i="55"/>
  <c r="T17" i="55"/>
  <c r="M19" i="55"/>
  <c r="O18" i="55"/>
  <c r="T19" i="55"/>
  <c r="R20" i="55"/>
  <c r="O13" i="54"/>
  <c r="M14" i="54"/>
  <c r="M15" i="54" s="1"/>
  <c r="R13" i="54"/>
  <c r="T13" i="54" s="1"/>
  <c r="O18" i="54"/>
  <c r="M19" i="54"/>
  <c r="R19" i="54"/>
  <c r="T18" i="54"/>
  <c r="M23" i="53"/>
  <c r="Q22" i="53"/>
  <c r="D25" i="51" s="1"/>
  <c r="Q11" i="53"/>
  <c r="Z11" i="52"/>
  <c r="R27" i="52"/>
  <c r="D85" i="48"/>
  <c r="T20" i="55" l="1"/>
  <c r="O19" i="55"/>
  <c r="M20" i="55"/>
  <c r="R15" i="54"/>
  <c r="T15" i="54" s="1"/>
  <c r="O15" i="54"/>
  <c r="R14" i="54"/>
  <c r="T14" i="54" s="1"/>
  <c r="O14" i="54"/>
  <c r="R20" i="54"/>
  <c r="T19" i="54"/>
  <c r="M20" i="54"/>
  <c r="O19" i="54"/>
  <c r="M24" i="53"/>
  <c r="Q23" i="53"/>
  <c r="D26" i="51" s="1"/>
  <c r="R28" i="52"/>
  <c r="O20" i="55" l="1"/>
  <c r="O20" i="54"/>
  <c r="M21" i="54"/>
  <c r="T20" i="54"/>
  <c r="R21" i="54"/>
  <c r="Q24" i="53"/>
  <c r="D27" i="51" s="1"/>
  <c r="M25" i="53"/>
  <c r="R29" i="52"/>
  <c r="R22" i="54" l="1"/>
  <c r="T21" i="54"/>
  <c r="M22" i="54"/>
  <c r="O21" i="54"/>
  <c r="Q25" i="53"/>
  <c r="D28" i="51" s="1"/>
  <c r="M26" i="53"/>
  <c r="O22" i="54" l="1"/>
  <c r="T22" i="54"/>
  <c r="M27" i="53"/>
  <c r="Q26" i="53"/>
  <c r="D29" i="51" s="1"/>
  <c r="Q27" i="53" l="1"/>
  <c r="D30" i="51" s="1"/>
  <c r="M28" i="53"/>
  <c r="Q28" i="53" l="1"/>
  <c r="D31" i="51" s="1"/>
  <c r="M29" i="53"/>
  <c r="Q29" i="53" l="1"/>
  <c r="D32" i="51" s="1"/>
  <c r="M30" i="53"/>
  <c r="Q30" i="53" s="1"/>
  <c r="D33" i="51" s="1"/>
  <c r="N54" i="16" l="1"/>
  <c r="T15" i="5"/>
  <c r="T12" i="5"/>
  <c r="T11" i="5"/>
  <c r="V11" i="5"/>
  <c r="V12" i="5"/>
  <c r="V13" i="5"/>
  <c r="V14" i="5"/>
  <c r="V15" i="5"/>
  <c r="T14" i="5"/>
  <c r="T13" i="5"/>
  <c r="R15" i="5"/>
  <c r="R14" i="5"/>
  <c r="R13" i="5"/>
  <c r="R12" i="5"/>
  <c r="R11" i="5"/>
  <c r="P11" i="5"/>
  <c r="P12" i="5"/>
  <c r="P13" i="5"/>
  <c r="P14" i="5"/>
  <c r="P15" i="5"/>
  <c r="N15" i="5"/>
  <c r="N14" i="5"/>
  <c r="N13" i="5"/>
  <c r="N12" i="5"/>
  <c r="N11" i="5"/>
  <c r="L11" i="5"/>
  <c r="L12" i="5"/>
  <c r="L13" i="5"/>
  <c r="L14" i="5"/>
  <c r="L15" i="5"/>
  <c r="J15" i="5"/>
  <c r="J14" i="5"/>
  <c r="J13" i="5"/>
  <c r="J12" i="5"/>
  <c r="J11" i="5"/>
  <c r="H11" i="5"/>
  <c r="H12" i="5"/>
  <c r="H14" i="5"/>
  <c r="H13" i="5"/>
  <c r="H15" i="5"/>
  <c r="F15" i="5"/>
  <c r="F14" i="5"/>
  <c r="F13" i="5"/>
  <c r="F12" i="5"/>
  <c r="F11" i="5"/>
  <c r="D15" i="5"/>
  <c r="D14" i="5"/>
  <c r="D13" i="5"/>
  <c r="D12" i="5"/>
  <c r="D11" i="5"/>
  <c r="AK47" i="47"/>
  <c r="AI47" i="47"/>
  <c r="AM46" i="47"/>
  <c r="AM45" i="47"/>
  <c r="AM44" i="47"/>
  <c r="AM43" i="47"/>
  <c r="AM42" i="47"/>
  <c r="AM41" i="47"/>
  <c r="AM40" i="47"/>
  <c r="AM39" i="47"/>
  <c r="AM38" i="47"/>
  <c r="AM37" i="47"/>
  <c r="AM36" i="47"/>
  <c r="AM35" i="47"/>
  <c r="AM34" i="47"/>
  <c r="AM33" i="47"/>
  <c r="AM32" i="47"/>
  <c r="AM31" i="47"/>
  <c r="AM30" i="47"/>
  <c r="AM29" i="47"/>
  <c r="AM28" i="47"/>
  <c r="AM27" i="47"/>
  <c r="AM26" i="47"/>
  <c r="AM25" i="47"/>
  <c r="AM24" i="47"/>
  <c r="AM23" i="47"/>
  <c r="AM22" i="47"/>
  <c r="AM21" i="47"/>
  <c r="AM20" i="47"/>
  <c r="AM19" i="47"/>
  <c r="AM18" i="47"/>
  <c r="AM17" i="47"/>
  <c r="AM16" i="47"/>
  <c r="AM15" i="47"/>
  <c r="AM14" i="47"/>
  <c r="AM13" i="47"/>
  <c r="AM12" i="47"/>
  <c r="AM11" i="47"/>
  <c r="AM10" i="47"/>
  <c r="AM9" i="47"/>
  <c r="AM8" i="47"/>
  <c r="AC47" i="47"/>
  <c r="AA47" i="47"/>
  <c r="AE46" i="47"/>
  <c r="AE45" i="47"/>
  <c r="AE44" i="47"/>
  <c r="AE43" i="47"/>
  <c r="AE42" i="47"/>
  <c r="AE41" i="47"/>
  <c r="AE40" i="47"/>
  <c r="AE39" i="47"/>
  <c r="AE38" i="47"/>
  <c r="AE37" i="47"/>
  <c r="AE36" i="47"/>
  <c r="AE35" i="47"/>
  <c r="AE34" i="47"/>
  <c r="AE33" i="47"/>
  <c r="AE32" i="47"/>
  <c r="AE31" i="47"/>
  <c r="AE30" i="47"/>
  <c r="AE29" i="47"/>
  <c r="AE28" i="47"/>
  <c r="AE27" i="47"/>
  <c r="AE26" i="47"/>
  <c r="AE25" i="47"/>
  <c r="AE24" i="47"/>
  <c r="AE23" i="47"/>
  <c r="AE22" i="47"/>
  <c r="AE21" i="47"/>
  <c r="AE20" i="47"/>
  <c r="AE19" i="47"/>
  <c r="AE18" i="47"/>
  <c r="AE17" i="47"/>
  <c r="AE16" i="47"/>
  <c r="AE15" i="47"/>
  <c r="AE14" i="47"/>
  <c r="AE13" i="47"/>
  <c r="AE12" i="47"/>
  <c r="AE11" i="47"/>
  <c r="AE10" i="47"/>
  <c r="AE9" i="47"/>
  <c r="AE8" i="47"/>
  <c r="U47" i="47"/>
  <c r="S47" i="47"/>
  <c r="W46" i="47"/>
  <c r="W45" i="47"/>
  <c r="W44" i="47"/>
  <c r="W43" i="47"/>
  <c r="W42" i="47"/>
  <c r="W41" i="47"/>
  <c r="W40" i="47"/>
  <c r="W39" i="47"/>
  <c r="W38" i="47"/>
  <c r="W37" i="47"/>
  <c r="W36" i="47"/>
  <c r="W35" i="47"/>
  <c r="W34" i="47"/>
  <c r="W33" i="47"/>
  <c r="W32" i="47"/>
  <c r="W31" i="47"/>
  <c r="W30" i="47"/>
  <c r="W29" i="47"/>
  <c r="W28" i="47"/>
  <c r="W27" i="47"/>
  <c r="W26" i="47"/>
  <c r="W25" i="47"/>
  <c r="W24" i="47"/>
  <c r="W23" i="47"/>
  <c r="W22" i="47"/>
  <c r="W21" i="47"/>
  <c r="W20" i="47"/>
  <c r="W19" i="47"/>
  <c r="W18" i="47"/>
  <c r="W17" i="47"/>
  <c r="W16" i="47"/>
  <c r="W15" i="47"/>
  <c r="W14" i="47"/>
  <c r="W13" i="47"/>
  <c r="W12" i="47"/>
  <c r="W11" i="47"/>
  <c r="W10" i="47"/>
  <c r="W9" i="47"/>
  <c r="W8" i="47"/>
  <c r="M47" i="47"/>
  <c r="K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E47" i="47"/>
  <c r="C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47" i="47" l="1"/>
  <c r="O47" i="47"/>
  <c r="AE47" i="47"/>
  <c r="AM47" i="47"/>
  <c r="W47" i="47"/>
  <c r="C31" i="16"/>
  <c r="C30" i="16"/>
  <c r="C29" i="16"/>
  <c r="C28" i="16"/>
  <c r="F76" i="15" l="1"/>
  <c r="F62" i="15"/>
  <c r="H46" i="15"/>
  <c r="G46" i="15"/>
  <c r="G45" i="15"/>
  <c r="F45" i="15"/>
  <c r="F46" i="15"/>
  <c r="F44" i="15"/>
  <c r="F80" i="10"/>
  <c r="F66" i="10"/>
  <c r="H50" i="10"/>
  <c r="G50" i="10"/>
  <c r="G49" i="10"/>
  <c r="F49" i="10"/>
  <c r="F50" i="10"/>
  <c r="F48" i="10"/>
  <c r="H13" i="10"/>
  <c r="B5" i="28"/>
  <c r="N27" i="16" l="1"/>
  <c r="H55" i="16"/>
  <c r="H42" i="16"/>
  <c r="O23" i="15"/>
  <c r="P23" i="15"/>
  <c r="H18" i="10"/>
  <c r="E96" i="15"/>
  <c r="E97" i="15" s="1"/>
  <c r="G11" i="15" s="1"/>
  <c r="E91" i="15"/>
  <c r="D91" i="15"/>
  <c r="D96" i="15" s="1"/>
  <c r="F11" i="15" s="1"/>
  <c r="C82" i="15"/>
  <c r="E77" i="15"/>
  <c r="D77" i="15"/>
  <c r="D82" i="15" s="1"/>
  <c r="C76" i="15"/>
  <c r="C83" i="15" s="1"/>
  <c r="H75" i="15"/>
  <c r="F75" i="15"/>
  <c r="F74" i="15"/>
  <c r="G74" i="15" s="1"/>
  <c r="C68" i="15"/>
  <c r="E63" i="15"/>
  <c r="D63" i="15"/>
  <c r="D68" i="15" s="1"/>
  <c r="C62" i="15"/>
  <c r="C69" i="15" s="1"/>
  <c r="F61" i="15"/>
  <c r="H61" i="15" s="1"/>
  <c r="F60" i="15"/>
  <c r="G60" i="15" s="1"/>
  <c r="C54" i="15"/>
  <c r="C53" i="15"/>
  <c r="D52" i="15"/>
  <c r="C52" i="15"/>
  <c r="E47" i="15"/>
  <c r="D47" i="15"/>
  <c r="C46" i="15"/>
  <c r="C55" i="15" s="1"/>
  <c r="J43" i="15"/>
  <c r="F43" i="15"/>
  <c r="I42" i="15"/>
  <c r="H42" i="15"/>
  <c r="G42" i="15"/>
  <c r="F42" i="15"/>
  <c r="C34" i="15"/>
  <c r="C33" i="15"/>
  <c r="D32" i="15"/>
  <c r="C32" i="15"/>
  <c r="E27" i="15"/>
  <c r="D27" i="15"/>
  <c r="I26" i="15"/>
  <c r="H26" i="15"/>
  <c r="C26" i="15"/>
  <c r="C36" i="15" s="1"/>
  <c r="H25" i="15"/>
  <c r="F23" i="15"/>
  <c r="F22" i="15"/>
  <c r="I21" i="15"/>
  <c r="H21" i="15"/>
  <c r="G21" i="15"/>
  <c r="F21" i="15"/>
  <c r="O13" i="2"/>
  <c r="O14" i="2"/>
  <c r="O15" i="2"/>
  <c r="O16" i="2"/>
  <c r="O19" i="2"/>
  <c r="O20" i="2"/>
  <c r="O21" i="2"/>
  <c r="O22" i="2"/>
  <c r="O25" i="2"/>
  <c r="O26" i="2"/>
  <c r="O29" i="2"/>
  <c r="O30" i="2"/>
  <c r="O33" i="2"/>
  <c r="O12" i="2"/>
  <c r="F33" i="2"/>
  <c r="F30" i="2"/>
  <c r="F29" i="2"/>
  <c r="F26" i="2"/>
  <c r="F25" i="2"/>
  <c r="F16" i="2"/>
  <c r="F15" i="2"/>
  <c r="F14" i="2"/>
  <c r="F13" i="2"/>
  <c r="F12" i="2"/>
  <c r="B4" i="45"/>
  <c r="L32" i="3"/>
  <c r="H12" i="34"/>
  <c r="L12" i="34" s="1"/>
  <c r="H14" i="34"/>
  <c r="H20" i="10" l="1"/>
  <c r="H15" i="10" s="1"/>
  <c r="L12" i="3"/>
  <c r="L46" i="3" s="1"/>
  <c r="L47" i="34" s="1"/>
  <c r="G44" i="15"/>
  <c r="J44" i="15" s="1"/>
  <c r="F10" i="15"/>
  <c r="K23" i="15"/>
  <c r="F9" i="15"/>
  <c r="F8" i="15"/>
  <c r="G25" i="15"/>
  <c r="K22" i="15"/>
  <c r="G23" i="15"/>
  <c r="H45" i="15"/>
  <c r="F26" i="15"/>
  <c r="G26" i="15"/>
  <c r="F24" i="15"/>
  <c r="C35" i="15"/>
  <c r="G24" i="15"/>
  <c r="F7" i="15"/>
  <c r="J21" i="15"/>
  <c r="F25" i="15"/>
  <c r="H47" i="15" l="1"/>
  <c r="E54" i="15" s="1"/>
  <c r="J45" i="15"/>
  <c r="I46" i="15"/>
  <c r="J46" i="15" s="1"/>
  <c r="I25" i="15"/>
  <c r="I27" i="15" s="1"/>
  <c r="E35" i="15" s="1"/>
  <c r="J26" i="15"/>
  <c r="G27" i="15"/>
  <c r="E33" i="15" s="1"/>
  <c r="H24" i="15"/>
  <c r="H27" i="15" s="1"/>
  <c r="E34" i="15" s="1"/>
  <c r="G62" i="15"/>
  <c r="F63" i="15"/>
  <c r="E68" i="15" s="1"/>
  <c r="F12" i="15"/>
  <c r="F27" i="15"/>
  <c r="E32" i="15" s="1"/>
  <c r="G76" i="15"/>
  <c r="F77" i="15"/>
  <c r="E82" i="15" s="1"/>
  <c r="G47" i="15"/>
  <c r="E53" i="15" s="1"/>
  <c r="F47" i="15"/>
  <c r="E52" i="15" s="1"/>
  <c r="J47" i="15" l="1"/>
  <c r="J27" i="15"/>
  <c r="E36" i="15"/>
  <c r="K25" i="15"/>
  <c r="E69" i="15"/>
  <c r="G63" i="15"/>
  <c r="H62" i="15"/>
  <c r="H63" i="15" s="1"/>
  <c r="E55" i="15"/>
  <c r="I47" i="15"/>
  <c r="E37" i="15"/>
  <c r="G7" i="15" s="1"/>
  <c r="E83" i="15"/>
  <c r="G77" i="15"/>
  <c r="H76" i="15"/>
  <c r="H77" i="15" s="1"/>
  <c r="K26" i="15"/>
  <c r="K24" i="15"/>
  <c r="E84" i="15" l="1"/>
  <c r="G10" i="15" s="1"/>
  <c r="E56" i="15"/>
  <c r="G8" i="15" s="1"/>
  <c r="E70" i="15"/>
  <c r="G9" i="15" s="1"/>
  <c r="K27" i="15"/>
  <c r="G12" i="15" l="1"/>
  <c r="L12" i="44" l="1"/>
  <c r="L13" i="44"/>
  <c r="L14" i="44"/>
  <c r="L15" i="44"/>
  <c r="L16" i="44"/>
  <c r="L17" i="44"/>
  <c r="L18" i="44"/>
  <c r="L19" i="44"/>
  <c r="L5" i="44"/>
  <c r="L6" i="44"/>
  <c r="L7" i="44"/>
  <c r="L8" i="44"/>
  <c r="L9" i="44"/>
  <c r="L10" i="44"/>
  <c r="L11" i="44"/>
  <c r="L4" i="44"/>
  <c r="J20" i="44"/>
  <c r="H20" i="44"/>
  <c r="H22" i="44" s="1"/>
  <c r="F20" i="44"/>
  <c r="F22" i="44" s="1"/>
  <c r="D20" i="44"/>
  <c r="D22" i="44" s="1"/>
  <c r="J5" i="44"/>
  <c r="J4" i="44"/>
  <c r="H5" i="44"/>
  <c r="H4" i="44"/>
  <c r="F5" i="44"/>
  <c r="F4" i="44"/>
  <c r="D14" i="44"/>
  <c r="D13" i="44"/>
  <c r="D10" i="44"/>
  <c r="D11" i="44"/>
  <c r="D9" i="44"/>
  <c r="D5" i="44"/>
  <c r="D6" i="44"/>
  <c r="D7" i="44"/>
  <c r="D4" i="44"/>
  <c r="L47" i="3"/>
  <c r="L20" i="44" l="1"/>
  <c r="L22" i="44" s="1"/>
  <c r="J22" i="44"/>
  <c r="O23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7" i="16"/>
  <c r="L8" i="16"/>
  <c r="L9" i="16"/>
  <c r="N9" i="16" s="1"/>
  <c r="P9" i="16" s="1"/>
  <c r="L10" i="16"/>
  <c r="L11" i="16"/>
  <c r="L12" i="16"/>
  <c r="L13" i="16"/>
  <c r="L14" i="16"/>
  <c r="L15" i="16"/>
  <c r="L16" i="16"/>
  <c r="L17" i="16"/>
  <c r="L18" i="16"/>
  <c r="L19" i="16"/>
  <c r="L20" i="16"/>
  <c r="L21" i="16"/>
  <c r="N21" i="16" s="1"/>
  <c r="P21" i="16" s="1"/>
  <c r="L22" i="16"/>
  <c r="L7" i="16"/>
  <c r="N8" i="16" l="1"/>
  <c r="P8" i="16" s="1"/>
  <c r="N13" i="16"/>
  <c r="P13" i="16" s="1"/>
  <c r="N18" i="16"/>
  <c r="P18" i="16" s="1"/>
  <c r="N17" i="16"/>
  <c r="P17" i="16" s="1"/>
  <c r="N16" i="16"/>
  <c r="P16" i="16" s="1"/>
  <c r="N15" i="16"/>
  <c r="P15" i="16" s="1"/>
  <c r="L23" i="16"/>
  <c r="N22" i="16"/>
  <c r="P22" i="16" s="1"/>
  <c r="N11" i="16"/>
  <c r="P11" i="16" s="1"/>
  <c r="N7" i="16"/>
  <c r="P7" i="16" s="1"/>
  <c r="M23" i="16"/>
  <c r="N20" i="16"/>
  <c r="P20" i="16" s="1"/>
  <c r="N19" i="16"/>
  <c r="P19" i="16" s="1"/>
  <c r="N14" i="16"/>
  <c r="P14" i="16" s="1"/>
  <c r="N12" i="16"/>
  <c r="P12" i="16" s="1"/>
  <c r="N10" i="16"/>
  <c r="P10" i="16" s="1"/>
  <c r="F20" i="16"/>
  <c r="E30" i="16"/>
  <c r="F30" i="16" s="1"/>
  <c r="J25" i="43"/>
  <c r="J27" i="43" s="1"/>
  <c r="H25" i="43"/>
  <c r="H27" i="43" s="1"/>
  <c r="F25" i="43"/>
  <c r="F27" i="43" s="1"/>
  <c r="D25" i="43"/>
  <c r="D27" i="43" s="1"/>
  <c r="L24" i="43"/>
  <c r="L23" i="43"/>
  <c r="L22" i="43"/>
  <c r="L21" i="43"/>
  <c r="L20" i="43"/>
  <c r="L19" i="43"/>
  <c r="L11" i="43"/>
  <c r="L18" i="43"/>
  <c r="L12" i="43"/>
  <c r="L17" i="43"/>
  <c r="L16" i="43"/>
  <c r="L8" i="43"/>
  <c r="L15" i="43"/>
  <c r="L4" i="43"/>
  <c r="L10" i="43"/>
  <c r="L5" i="43"/>
  <c r="L7" i="43"/>
  <c r="L9" i="43"/>
  <c r="L14" i="43"/>
  <c r="L6" i="43"/>
  <c r="L13" i="43"/>
  <c r="E20" i="16"/>
  <c r="P23" i="16" l="1"/>
  <c r="N23" i="16"/>
  <c r="N26" i="16" s="1"/>
  <c r="L25" i="43"/>
  <c r="L27" i="43" s="1"/>
  <c r="N30" i="16" l="1"/>
  <c r="N32" i="16" s="1"/>
  <c r="N34" i="16" s="1"/>
  <c r="N28" i="16"/>
  <c r="K83" i="42"/>
  <c r="K76" i="42"/>
  <c r="I76" i="42"/>
  <c r="G76" i="42"/>
  <c r="M75" i="42"/>
  <c r="L75" i="48" s="1"/>
  <c r="M74" i="42"/>
  <c r="I71" i="42"/>
  <c r="G71" i="42"/>
  <c r="M70" i="42"/>
  <c r="M69" i="42"/>
  <c r="M68" i="42"/>
  <c r="L68" i="48" s="1"/>
  <c r="K68" i="42"/>
  <c r="F68" i="48" s="1"/>
  <c r="M67" i="42"/>
  <c r="K67" i="42"/>
  <c r="F67" i="48" s="1"/>
  <c r="M66" i="42"/>
  <c r="K66" i="42"/>
  <c r="F66" i="48" s="1"/>
  <c r="M65" i="42"/>
  <c r="L65" i="48" s="1"/>
  <c r="K65" i="42"/>
  <c r="F65" i="48" s="1"/>
  <c r="M64" i="42"/>
  <c r="L64" i="48" s="1"/>
  <c r="K64" i="42"/>
  <c r="F64" i="48" s="1"/>
  <c r="M63" i="42"/>
  <c r="K63" i="42"/>
  <c r="F63" i="48" s="1"/>
  <c r="M62" i="42"/>
  <c r="K62" i="42"/>
  <c r="F62" i="48" s="1"/>
  <c r="M61" i="42"/>
  <c r="L61" i="48" s="1"/>
  <c r="K61" i="42"/>
  <c r="F61" i="48" s="1"/>
  <c r="M60" i="42"/>
  <c r="L60" i="48" s="1"/>
  <c r="K60" i="42"/>
  <c r="F60" i="48" s="1"/>
  <c r="M59" i="42"/>
  <c r="K59" i="42"/>
  <c r="F59" i="48" s="1"/>
  <c r="M58" i="42"/>
  <c r="K58" i="42"/>
  <c r="F58" i="48" s="1"/>
  <c r="M57" i="42"/>
  <c r="L57" i="48" s="1"/>
  <c r="K57" i="42"/>
  <c r="F57" i="48" s="1"/>
  <c r="M56" i="42"/>
  <c r="L56" i="48" s="1"/>
  <c r="K56" i="42"/>
  <c r="F56" i="48" s="1"/>
  <c r="M55" i="42"/>
  <c r="K55" i="42"/>
  <c r="M54" i="42"/>
  <c r="K54" i="42"/>
  <c r="F54" i="48" s="1"/>
  <c r="I51" i="42"/>
  <c r="G51" i="42"/>
  <c r="M50" i="42"/>
  <c r="L50" i="48" s="1"/>
  <c r="M49" i="42"/>
  <c r="M48" i="42"/>
  <c r="M47" i="42"/>
  <c r="M46" i="42"/>
  <c r="K46" i="42"/>
  <c r="F46" i="48" s="1"/>
  <c r="M45" i="42"/>
  <c r="K45" i="42"/>
  <c r="F45" i="48" s="1"/>
  <c r="M44" i="42"/>
  <c r="K44" i="42"/>
  <c r="F44" i="48" s="1"/>
  <c r="M43" i="42"/>
  <c r="L43" i="48" s="1"/>
  <c r="K43" i="42"/>
  <c r="M42" i="42"/>
  <c r="K42" i="42"/>
  <c r="F42" i="48" s="1"/>
  <c r="M41" i="42"/>
  <c r="M40" i="42"/>
  <c r="M39" i="42"/>
  <c r="K36" i="42"/>
  <c r="I36" i="42"/>
  <c r="G36" i="42"/>
  <c r="M35" i="42"/>
  <c r="O35" i="42" s="1"/>
  <c r="N35" i="48" s="1"/>
  <c r="N36" i="48" s="1"/>
  <c r="K32" i="42"/>
  <c r="I32" i="42"/>
  <c r="G32" i="42"/>
  <c r="M31" i="42"/>
  <c r="O31" i="42" s="1"/>
  <c r="I28" i="42"/>
  <c r="G28" i="42"/>
  <c r="M27" i="42"/>
  <c r="L27" i="48" s="1"/>
  <c r="K27" i="42"/>
  <c r="F27" i="48" s="1"/>
  <c r="M26" i="42"/>
  <c r="K26" i="42"/>
  <c r="I23" i="42"/>
  <c r="G23" i="42"/>
  <c r="M22" i="42"/>
  <c r="M21" i="42"/>
  <c r="M20" i="42"/>
  <c r="M19" i="42"/>
  <c r="L19" i="48" s="1"/>
  <c r="M18" i="42"/>
  <c r="L18" i="48" s="1"/>
  <c r="K18" i="42"/>
  <c r="F18" i="48" s="1"/>
  <c r="M17" i="42"/>
  <c r="L17" i="48" s="1"/>
  <c r="K17" i="42"/>
  <c r="F17" i="48" s="1"/>
  <c r="M16" i="42"/>
  <c r="K16" i="42"/>
  <c r="F16" i="48" s="1"/>
  <c r="M15" i="42"/>
  <c r="K15" i="42"/>
  <c r="F15" i="48" s="1"/>
  <c r="M14" i="42"/>
  <c r="L14" i="48" s="1"/>
  <c r="K14" i="42"/>
  <c r="F14" i="48" s="1"/>
  <c r="M13" i="42"/>
  <c r="L13" i="48" s="1"/>
  <c r="K13" i="42"/>
  <c r="F13" i="48" s="1"/>
  <c r="M12" i="42"/>
  <c r="K12" i="42"/>
  <c r="I9" i="42"/>
  <c r="G9" i="42"/>
  <c r="O8" i="42"/>
  <c r="N8" i="48" s="1"/>
  <c r="N9" i="48" s="1"/>
  <c r="M8" i="42"/>
  <c r="L8" i="48" s="1"/>
  <c r="L9" i="48" s="1"/>
  <c r="K8" i="42"/>
  <c r="J16" i="5"/>
  <c r="J18" i="5" s="1"/>
  <c r="F16" i="5"/>
  <c r="F18" i="5" s="1"/>
  <c r="V16" i="5"/>
  <c r="V18" i="5" s="1"/>
  <c r="T16" i="5"/>
  <c r="T18" i="5" s="1"/>
  <c r="R16" i="5"/>
  <c r="R18" i="5" s="1"/>
  <c r="P16" i="5"/>
  <c r="P18" i="5" s="1"/>
  <c r="N16" i="5"/>
  <c r="N18" i="5" s="1"/>
  <c r="L16" i="5"/>
  <c r="L18" i="5" s="1"/>
  <c r="H16" i="5"/>
  <c r="H18" i="5" s="1"/>
  <c r="D16" i="5"/>
  <c r="D18" i="5" s="1"/>
  <c r="B5" i="5"/>
  <c r="F35" i="34"/>
  <c r="F34" i="34"/>
  <c r="F29" i="34"/>
  <c r="F30" i="34"/>
  <c r="L30" i="34" s="1"/>
  <c r="F31" i="34"/>
  <c r="F32" i="34"/>
  <c r="L32" i="34" s="1"/>
  <c r="F28" i="34"/>
  <c r="F27" i="34"/>
  <c r="F26" i="34"/>
  <c r="F25" i="34"/>
  <c r="F24" i="34"/>
  <c r="F22" i="34"/>
  <c r="F19" i="34"/>
  <c r="F14" i="34"/>
  <c r="F9" i="34"/>
  <c r="L30" i="3"/>
  <c r="F100" i="10"/>
  <c r="E95" i="10"/>
  <c r="E100" i="10" s="1"/>
  <c r="D95" i="10"/>
  <c r="D100" i="10" s="1"/>
  <c r="F11" i="10" s="1"/>
  <c r="D86" i="10"/>
  <c r="H86" i="10" s="1"/>
  <c r="C86" i="10"/>
  <c r="E81" i="10"/>
  <c r="D81" i="10"/>
  <c r="C80" i="10"/>
  <c r="C87" i="10" s="1"/>
  <c r="F79" i="10"/>
  <c r="F78" i="10"/>
  <c r="G78" i="10" s="1"/>
  <c r="C73" i="10"/>
  <c r="D72" i="10"/>
  <c r="F9" i="10" s="1"/>
  <c r="C72" i="10"/>
  <c r="E67" i="10"/>
  <c r="D67" i="10"/>
  <c r="C66" i="10"/>
  <c r="F65" i="10"/>
  <c r="G64" i="10"/>
  <c r="F64" i="10"/>
  <c r="C58" i="10"/>
  <c r="C57" i="10"/>
  <c r="D56" i="10"/>
  <c r="H56" i="10" s="1"/>
  <c r="C56" i="10"/>
  <c r="E51" i="10"/>
  <c r="D51" i="10"/>
  <c r="C50" i="10"/>
  <c r="C59" i="10" s="1"/>
  <c r="F47" i="10"/>
  <c r="H46" i="10"/>
  <c r="G46" i="10"/>
  <c r="F46" i="10"/>
  <c r="I46" i="10" s="1"/>
  <c r="F40" i="10"/>
  <c r="F73" i="10" s="1"/>
  <c r="F87" i="10" s="1"/>
  <c r="F39" i="10"/>
  <c r="F38" i="10"/>
  <c r="C38" i="10"/>
  <c r="F37" i="10"/>
  <c r="C37" i="10"/>
  <c r="C36" i="10"/>
  <c r="E31" i="10"/>
  <c r="D31" i="10"/>
  <c r="D36" i="10" s="1"/>
  <c r="I30" i="10"/>
  <c r="G30" i="10"/>
  <c r="F30" i="10"/>
  <c r="C30" i="10"/>
  <c r="C40" i="10" s="1"/>
  <c r="K26" i="10"/>
  <c r="F26" i="10"/>
  <c r="I25" i="10"/>
  <c r="H25" i="10"/>
  <c r="H29" i="10" s="1"/>
  <c r="G25" i="10"/>
  <c r="F25" i="10"/>
  <c r="H13" i="15"/>
  <c r="F8" i="10"/>
  <c r="C4" i="34"/>
  <c r="C4" i="3"/>
  <c r="O19" i="42" l="1"/>
  <c r="N19" i="48" s="1"/>
  <c r="O14" i="42"/>
  <c r="N14" i="48" s="1"/>
  <c r="O60" i="42"/>
  <c r="N60" i="48" s="1"/>
  <c r="M9" i="42"/>
  <c r="O32" i="42"/>
  <c r="N31" i="48"/>
  <c r="N32" i="48" s="1"/>
  <c r="O15" i="42"/>
  <c r="N15" i="48" s="1"/>
  <c r="L15" i="48"/>
  <c r="O21" i="42"/>
  <c r="N21" i="48" s="1"/>
  <c r="L21" i="48"/>
  <c r="O41" i="42"/>
  <c r="N41" i="48" s="1"/>
  <c r="L41" i="48"/>
  <c r="O47" i="42"/>
  <c r="N47" i="48" s="1"/>
  <c r="L47" i="48"/>
  <c r="O65" i="42"/>
  <c r="N65" i="48" s="1"/>
  <c r="O74" i="42"/>
  <c r="L74" i="48"/>
  <c r="L76" i="48" s="1"/>
  <c r="G85" i="42"/>
  <c r="O48" i="42"/>
  <c r="N48" i="48" s="1"/>
  <c r="L48" i="48"/>
  <c r="O56" i="42"/>
  <c r="N56" i="48" s="1"/>
  <c r="O22" i="42"/>
  <c r="N22" i="48" s="1"/>
  <c r="L22" i="48"/>
  <c r="O9" i="42"/>
  <c r="O16" i="42"/>
  <c r="N16" i="48" s="1"/>
  <c r="L16" i="48"/>
  <c r="O42" i="42"/>
  <c r="N42" i="48" s="1"/>
  <c r="L42" i="48"/>
  <c r="O49" i="42"/>
  <c r="N49" i="48" s="1"/>
  <c r="L49" i="48"/>
  <c r="O61" i="42"/>
  <c r="N61" i="48" s="1"/>
  <c r="O66" i="42"/>
  <c r="N66" i="48" s="1"/>
  <c r="L66" i="48"/>
  <c r="O75" i="42"/>
  <c r="N75" i="48" s="1"/>
  <c r="K51" i="42"/>
  <c r="F43" i="48"/>
  <c r="F51" i="48" s="1"/>
  <c r="O40" i="42"/>
  <c r="N40" i="48" s="1"/>
  <c r="L40" i="48"/>
  <c r="K23" i="42"/>
  <c r="F12" i="48"/>
  <c r="F23" i="48" s="1"/>
  <c r="O12" i="42"/>
  <c r="N12" i="48" s="1"/>
  <c r="L12" i="48"/>
  <c r="K28" i="42"/>
  <c r="F26" i="48"/>
  <c r="F28" i="48" s="1"/>
  <c r="M36" i="42"/>
  <c r="L35" i="48"/>
  <c r="L36" i="48" s="1"/>
  <c r="O50" i="42"/>
  <c r="N50" i="48" s="1"/>
  <c r="O57" i="42"/>
  <c r="N57" i="48" s="1"/>
  <c r="O62" i="42"/>
  <c r="N62" i="48" s="1"/>
  <c r="L62" i="48"/>
  <c r="O67" i="42"/>
  <c r="N67" i="48" s="1"/>
  <c r="L67" i="48"/>
  <c r="M32" i="42"/>
  <c r="L31" i="48"/>
  <c r="L32" i="48" s="1"/>
  <c r="O17" i="42"/>
  <c r="N17" i="48" s="1"/>
  <c r="O26" i="42"/>
  <c r="L26" i="48"/>
  <c r="L28" i="48" s="1"/>
  <c r="O43" i="42"/>
  <c r="N43" i="48" s="1"/>
  <c r="O58" i="42"/>
  <c r="N58" i="48" s="1"/>
  <c r="L58" i="48"/>
  <c r="O63" i="42"/>
  <c r="N63" i="48" s="1"/>
  <c r="L63" i="48"/>
  <c r="M76" i="42"/>
  <c r="O20" i="42"/>
  <c r="N20" i="48" s="1"/>
  <c r="L20" i="48"/>
  <c r="O13" i="42"/>
  <c r="N13" i="48" s="1"/>
  <c r="O44" i="42"/>
  <c r="N44" i="48" s="1"/>
  <c r="L44" i="48"/>
  <c r="F71" i="48"/>
  <c r="O68" i="42"/>
  <c r="N68" i="48" s="1"/>
  <c r="K9" i="42"/>
  <c r="F8" i="48"/>
  <c r="F9" i="48" s="1"/>
  <c r="O18" i="42"/>
  <c r="N18" i="48" s="1"/>
  <c r="O27" i="42"/>
  <c r="N27" i="48" s="1"/>
  <c r="O54" i="42"/>
  <c r="L54" i="48"/>
  <c r="O59" i="42"/>
  <c r="N59" i="48" s="1"/>
  <c r="L59" i="48"/>
  <c r="O69" i="42"/>
  <c r="N69" i="48" s="1"/>
  <c r="L69" i="48"/>
  <c r="O46" i="42"/>
  <c r="N46" i="48" s="1"/>
  <c r="L46" i="48"/>
  <c r="O36" i="42"/>
  <c r="O45" i="42"/>
  <c r="N45" i="48" s="1"/>
  <c r="L45" i="48"/>
  <c r="K71" i="42"/>
  <c r="F55" i="48"/>
  <c r="O64" i="42"/>
  <c r="N64" i="48" s="1"/>
  <c r="O70" i="42"/>
  <c r="N70" i="48" s="1"/>
  <c r="L70" i="48"/>
  <c r="M51" i="42"/>
  <c r="L39" i="48"/>
  <c r="O55" i="42"/>
  <c r="N55" i="48" s="1"/>
  <c r="L55" i="48"/>
  <c r="A2" i="10"/>
  <c r="A2" i="15"/>
  <c r="O39" i="42"/>
  <c r="M28" i="42"/>
  <c r="M23" i="42"/>
  <c r="M71" i="42"/>
  <c r="X22" i="5"/>
  <c r="L43" i="34" s="1"/>
  <c r="X16" i="5"/>
  <c r="X18" i="5" s="1"/>
  <c r="L41" i="3" s="1"/>
  <c r="L56" i="3" s="1"/>
  <c r="X21" i="5"/>
  <c r="H36" i="10"/>
  <c r="F7" i="10"/>
  <c r="E101" i="10"/>
  <c r="G11" i="10" s="1"/>
  <c r="H100" i="10"/>
  <c r="H101" i="10" s="1"/>
  <c r="H11" i="10" s="1"/>
  <c r="H49" i="10"/>
  <c r="H51" i="10" s="1"/>
  <c r="E58" i="10" s="1"/>
  <c r="H58" i="10" s="1"/>
  <c r="F10" i="10"/>
  <c r="F28" i="10"/>
  <c r="H30" i="10"/>
  <c r="J30" i="10" s="1"/>
  <c r="K30" i="10" s="1"/>
  <c r="H65" i="10"/>
  <c r="H79" i="10"/>
  <c r="G28" i="10"/>
  <c r="H72" i="10"/>
  <c r="F67" i="10"/>
  <c r="E72" i="10" s="1"/>
  <c r="F81" i="10"/>
  <c r="E86" i="10" s="1"/>
  <c r="J47" i="10"/>
  <c r="J25" i="10"/>
  <c r="F29" i="10"/>
  <c r="G29" i="10"/>
  <c r="F27" i="10"/>
  <c r="O76" i="42" l="1"/>
  <c r="N74" i="48"/>
  <c r="N76" i="48" s="1"/>
  <c r="L51" i="48"/>
  <c r="O28" i="42"/>
  <c r="N26" i="48"/>
  <c r="N28" i="48" s="1"/>
  <c r="L23" i="48"/>
  <c r="N23" i="48"/>
  <c r="O51" i="42"/>
  <c r="N39" i="48"/>
  <c r="N51" i="48" s="1"/>
  <c r="L71" i="48"/>
  <c r="O23" i="42"/>
  <c r="O71" i="42"/>
  <c r="N54" i="48"/>
  <c r="N71" i="48" s="1"/>
  <c r="X23" i="5"/>
  <c r="G27" i="10"/>
  <c r="F31" i="10"/>
  <c r="E36" i="10" s="1"/>
  <c r="J49" i="10"/>
  <c r="G48" i="10"/>
  <c r="G51" i="10" s="1"/>
  <c r="E57" i="10" s="1"/>
  <c r="H57" i="10" s="1"/>
  <c r="J31" i="10"/>
  <c r="E40" i="10"/>
  <c r="H40" i="10" s="1"/>
  <c r="G80" i="10"/>
  <c r="H28" i="10"/>
  <c r="H31" i="10" s="1"/>
  <c r="E38" i="10" s="1"/>
  <c r="H38" i="10" s="1"/>
  <c r="I29" i="10"/>
  <c r="I31" i="10" s="1"/>
  <c r="E39" i="10" s="1"/>
  <c r="H39" i="10" s="1"/>
  <c r="I50" i="10"/>
  <c r="G66" i="10"/>
  <c r="F12" i="10"/>
  <c r="F51" i="10"/>
  <c r="E56" i="10" s="1"/>
  <c r="C32" i="16"/>
  <c r="C5" i="2"/>
  <c r="F33" i="34"/>
  <c r="F36" i="34" s="1"/>
  <c r="L31" i="34"/>
  <c r="L29" i="34"/>
  <c r="L28" i="34"/>
  <c r="L27" i="34"/>
  <c r="L21" i="34"/>
  <c r="F15" i="34"/>
  <c r="L14" i="34"/>
  <c r="H34" i="3" l="1"/>
  <c r="I51" i="10"/>
  <c r="E59" i="10"/>
  <c r="H59" i="10" s="1"/>
  <c r="H60" i="10" s="1"/>
  <c r="H8" i="10" s="1"/>
  <c r="J50" i="10"/>
  <c r="J48" i="10"/>
  <c r="K29" i="10"/>
  <c r="K28" i="10"/>
  <c r="E41" i="10"/>
  <c r="G7" i="10" s="1"/>
  <c r="G67" i="10"/>
  <c r="E73" i="10"/>
  <c r="G81" i="10"/>
  <c r="E87" i="10"/>
  <c r="G31" i="10"/>
  <c r="E37" i="10" s="1"/>
  <c r="H37" i="10" s="1"/>
  <c r="H41" i="10" s="1"/>
  <c r="H7" i="10" s="1"/>
  <c r="H66" i="10"/>
  <c r="H67" i="10" s="1"/>
  <c r="H80" i="10"/>
  <c r="H81" i="10" s="1"/>
  <c r="K27" i="10"/>
  <c r="E60" i="10"/>
  <c r="G8" i="10" s="1"/>
  <c r="F37" i="34"/>
  <c r="H34" i="34" l="1"/>
  <c r="L34" i="3"/>
  <c r="L34" i="34" s="1"/>
  <c r="J51" i="10"/>
  <c r="H73" i="10"/>
  <c r="H74" i="10" s="1"/>
  <c r="H9" i="10" s="1"/>
  <c r="E74" i="10"/>
  <c r="G9" i="10" s="1"/>
  <c r="H87" i="10"/>
  <c r="H88" i="10" s="1"/>
  <c r="H10" i="10" s="1"/>
  <c r="E88" i="10"/>
  <c r="G10" i="10" s="1"/>
  <c r="G12" i="10" s="1"/>
  <c r="K31" i="10"/>
  <c r="O27" i="10"/>
  <c r="P27" i="10" s="1"/>
  <c r="F33" i="3"/>
  <c r="H12" i="10" l="1"/>
  <c r="H14" i="10" s="1"/>
  <c r="H15" i="15" s="1"/>
  <c r="H48" i="16" l="1"/>
  <c r="L42" i="3" l="1"/>
  <c r="L29" i="3" l="1"/>
  <c r="T8" i="16" l="1"/>
  <c r="T7" i="16"/>
  <c r="T9" i="16" l="1"/>
  <c r="T11" i="16" l="1"/>
  <c r="H20" i="3" s="1"/>
  <c r="T12" i="16"/>
  <c r="H26" i="3" s="1"/>
  <c r="E31" i="16"/>
  <c r="E29" i="16"/>
  <c r="F29" i="16" s="1"/>
  <c r="E28" i="16" l="1"/>
  <c r="F28" i="16" s="1"/>
  <c r="F31" i="16"/>
  <c r="F32" i="16" l="1"/>
  <c r="F33" i="16" s="1"/>
  <c r="D36" i="16" s="1"/>
  <c r="D37" i="16" s="1"/>
  <c r="D39" i="16" l="1"/>
  <c r="H49" i="16"/>
  <c r="H50" i="16" s="1"/>
  <c r="H22" i="3" s="1"/>
  <c r="H22" i="34" s="1"/>
  <c r="H26" i="34"/>
  <c r="L26" i="34" s="1"/>
  <c r="H20" i="34" l="1"/>
  <c r="T13" i="16"/>
  <c r="B16" i="23"/>
  <c r="G20" i="16" l="1"/>
  <c r="H46" i="16" l="1"/>
  <c r="L14" i="3" l="1"/>
  <c r="L44" i="3" l="1"/>
  <c r="L45" i="34" s="1"/>
  <c r="L31" i="3"/>
  <c r="L28" i="3"/>
  <c r="L21" i="3"/>
  <c r="L27" i="3"/>
  <c r="L26" i="3" l="1"/>
  <c r="F36" i="3" l="1"/>
  <c r="D10" i="16"/>
  <c r="D14" i="16" l="1"/>
  <c r="C15" i="16" s="1"/>
  <c r="E14" i="16"/>
  <c r="E16" i="16" s="1"/>
  <c r="F37" i="3"/>
  <c r="E21" i="16" l="1"/>
  <c r="E22" i="16" s="1"/>
  <c r="H24" i="3" s="1"/>
  <c r="C10" i="57" s="1"/>
  <c r="C13" i="57" s="1"/>
  <c r="C16" i="57" s="1"/>
  <c r="C18" i="57" s="1"/>
  <c r="G21" i="16"/>
  <c r="G22" i="16" s="1"/>
  <c r="F21" i="16"/>
  <c r="F22" i="16" s="1"/>
  <c r="H25" i="3" s="1"/>
  <c r="C11" i="57" s="1"/>
  <c r="H25" i="34" l="1"/>
  <c r="L25" i="34" s="1"/>
  <c r="L25" i="3"/>
  <c r="H24" i="34"/>
  <c r="L24" i="3"/>
  <c r="L24" i="34" l="1"/>
  <c r="H52" i="16" l="1"/>
  <c r="H54" i="16" s="1"/>
  <c r="H56" i="16" s="1"/>
  <c r="H23" i="3" s="1"/>
  <c r="H19" i="3" l="1"/>
  <c r="N51" i="16"/>
  <c r="N53" i="16" s="1"/>
  <c r="N55" i="16" s="1"/>
  <c r="L23" i="3"/>
  <c r="H23" i="34"/>
  <c r="L23" i="34" s="1"/>
  <c r="H33" i="3" l="1"/>
  <c r="H19" i="34"/>
  <c r="H33" i="34" s="1"/>
  <c r="L20" i="3"/>
  <c r="L33" i="3" s="1"/>
  <c r="L20" i="34"/>
  <c r="L33" i="34" s="1"/>
  <c r="H35" i="3" l="1"/>
  <c r="H35" i="34" s="1"/>
  <c r="H36" i="34" s="1"/>
  <c r="L35" i="34" l="1"/>
  <c r="L36" i="34" s="1"/>
  <c r="L35" i="3"/>
  <c r="L36" i="3" s="1"/>
  <c r="H36" i="3"/>
  <c r="L40" i="34" l="1"/>
  <c r="L40" i="3"/>
  <c r="L55" i="3" s="1"/>
  <c r="L42" i="34" l="1"/>
  <c r="L44" i="34" s="1"/>
  <c r="L43" i="3"/>
  <c r="L48" i="3" l="1"/>
  <c r="L54" i="3"/>
  <c r="H16" i="10"/>
  <c r="H10" i="3" s="1"/>
  <c r="H15" i="3" l="1"/>
  <c r="H10" i="34"/>
  <c r="H37" i="3"/>
  <c r="L10" i="3"/>
  <c r="L15" i="3" s="1"/>
  <c r="L37" i="3" l="1"/>
  <c r="L49" i="3"/>
  <c r="L10" i="34"/>
  <c r="H15" i="34"/>
  <c r="H37" i="34" s="1"/>
  <c r="L15" i="34" l="1"/>
  <c r="L49" i="34" s="1"/>
  <c r="L51" i="34" s="1"/>
  <c r="L52" i="34" s="1"/>
  <c r="L50" i="34"/>
  <c r="L50" i="3"/>
  <c r="L37" i="34" l="1"/>
  <c r="M16" i="15"/>
  <c r="O8" i="2"/>
  <c r="P15" i="2" s="1"/>
  <c r="P14" i="2" l="1"/>
  <c r="P20" i="2" s="1"/>
  <c r="R20" i="2" s="1"/>
  <c r="L20" i="2" s="1"/>
  <c r="P12" i="2"/>
  <c r="R12" i="2" s="1"/>
  <c r="L12" i="2" s="1"/>
  <c r="P16" i="2"/>
  <c r="R16" i="2" s="1"/>
  <c r="L16" i="2" s="1"/>
  <c r="P29" i="2"/>
  <c r="R29" i="2" s="1"/>
  <c r="L29" i="2" s="1"/>
  <c r="I26" i="62" s="1"/>
  <c r="L26" i="62" s="1"/>
  <c r="N26" i="62" s="1"/>
  <c r="P13" i="2"/>
  <c r="R13" i="2" s="1"/>
  <c r="L13" i="2" s="1"/>
  <c r="I10" i="62" s="1"/>
  <c r="L10" i="62" s="1"/>
  <c r="N10" i="62" s="1"/>
  <c r="P33" i="2"/>
  <c r="R33" i="2" s="1"/>
  <c r="L33" i="2" s="1"/>
  <c r="P25" i="2"/>
  <c r="R25" i="2" s="1"/>
  <c r="L25" i="2" s="1"/>
  <c r="I22" i="62" s="1"/>
  <c r="L22" i="62" s="1"/>
  <c r="N22" i="62" s="1"/>
  <c r="R15" i="2"/>
  <c r="L15" i="2" s="1"/>
  <c r="P21" i="2"/>
  <c r="R21" i="2" s="1"/>
  <c r="L21" i="2" s="1"/>
  <c r="I18" i="62" s="1"/>
  <c r="L18" i="62" s="1"/>
  <c r="N18" i="62" s="1"/>
  <c r="R14" i="2"/>
  <c r="L14" i="2" s="1"/>
  <c r="I11" i="62" s="1"/>
  <c r="L11" i="62" s="1"/>
  <c r="N11" i="62" s="1"/>
  <c r="P19" i="2"/>
  <c r="R19" i="2" s="1"/>
  <c r="L19" i="2" s="1"/>
  <c r="I16" i="62" s="1"/>
  <c r="L16" i="62" s="1"/>
  <c r="N16" i="62" s="1"/>
  <c r="I13" i="59" l="1"/>
  <c r="L13" i="59" s="1"/>
  <c r="I12" i="62"/>
  <c r="L12" i="62" s="1"/>
  <c r="N12" i="62" s="1"/>
  <c r="I27" i="59"/>
  <c r="L27" i="59" s="1"/>
  <c r="I30" i="62"/>
  <c r="L30" i="62" s="1"/>
  <c r="N30" i="62" s="1"/>
  <c r="I14" i="59"/>
  <c r="L14" i="59" s="1"/>
  <c r="I13" i="62"/>
  <c r="L13" i="62" s="1"/>
  <c r="N13" i="62" s="1"/>
  <c r="I9" i="50"/>
  <c r="I9" i="62"/>
  <c r="L9" i="62" s="1"/>
  <c r="N9" i="62" s="1"/>
  <c r="I17" i="59"/>
  <c r="L17" i="59" s="1"/>
  <c r="I17" i="62"/>
  <c r="L17" i="62" s="1"/>
  <c r="N17" i="62" s="1"/>
  <c r="I16" i="59"/>
  <c r="L16" i="59" s="1"/>
  <c r="I9" i="53"/>
  <c r="T9" i="53" s="1"/>
  <c r="T21" i="53" s="1"/>
  <c r="I12" i="53"/>
  <c r="W9" i="53" s="1"/>
  <c r="W29" i="53" s="1"/>
  <c r="I11" i="53"/>
  <c r="V9" i="53" s="1"/>
  <c r="V26" i="53" s="1"/>
  <c r="I12" i="59"/>
  <c r="L12" i="59" s="1"/>
  <c r="F68" i="15"/>
  <c r="H68" i="15" s="1"/>
  <c r="I21" i="59"/>
  <c r="L21" i="59" s="1"/>
  <c r="F35" i="15"/>
  <c r="H35" i="15" s="1"/>
  <c r="I10" i="53"/>
  <c r="U9" i="53" s="1"/>
  <c r="U27" i="53" s="1"/>
  <c r="I11" i="59"/>
  <c r="L11" i="59" s="1"/>
  <c r="F82" i="15"/>
  <c r="H82" i="15" s="1"/>
  <c r="I24" i="59"/>
  <c r="L24" i="59" s="1"/>
  <c r="I11" i="50"/>
  <c r="F34" i="15"/>
  <c r="H34" i="15" s="1"/>
  <c r="I12" i="50"/>
  <c r="I13" i="50"/>
  <c r="F36" i="15"/>
  <c r="H36" i="15" s="1"/>
  <c r="P22" i="2"/>
  <c r="P26" i="2" s="1"/>
  <c r="R26" i="2" s="1"/>
  <c r="L26" i="2" s="1"/>
  <c r="F32" i="15"/>
  <c r="H32" i="15" s="1"/>
  <c r="I10" i="59"/>
  <c r="L10" i="59" s="1"/>
  <c r="F54" i="15"/>
  <c r="H54" i="15" s="1"/>
  <c r="I18" i="59"/>
  <c r="L18" i="59" s="1"/>
  <c r="I18" i="50"/>
  <c r="F53" i="15"/>
  <c r="H53" i="15" s="1"/>
  <c r="I17" i="50"/>
  <c r="I10" i="50"/>
  <c r="I26" i="50"/>
  <c r="J23" i="61" s="1"/>
  <c r="F33" i="15"/>
  <c r="H33" i="15" s="1"/>
  <c r="I22" i="50"/>
  <c r="J19" i="61" s="1"/>
  <c r="F96" i="15"/>
  <c r="H96" i="15" s="1"/>
  <c r="H97" i="15" s="1"/>
  <c r="H11" i="15" s="1"/>
  <c r="I30" i="50"/>
  <c r="J27" i="61" s="1"/>
  <c r="I16" i="50"/>
  <c r="J13" i="61" s="1"/>
  <c r="F52" i="15"/>
  <c r="H52" i="15" s="1"/>
  <c r="L9" i="50"/>
  <c r="N9" i="50" s="1"/>
  <c r="W30" i="53"/>
  <c r="L12" i="50"/>
  <c r="N12" i="50" s="1"/>
  <c r="V28" i="53"/>
  <c r="V29" i="53" l="1"/>
  <c r="R22" i="2"/>
  <c r="L22" i="2" s="1"/>
  <c r="I19" i="62" s="1"/>
  <c r="L19" i="62" s="1"/>
  <c r="N19" i="62" s="1"/>
  <c r="V30" i="53"/>
  <c r="V27" i="53"/>
  <c r="I9" i="52"/>
  <c r="U9" i="52" s="1"/>
  <c r="U21" i="52" s="1"/>
  <c r="J6" i="61"/>
  <c r="L17" i="50"/>
  <c r="N17" i="50" s="1"/>
  <c r="J14" i="61"/>
  <c r="I37" i="53"/>
  <c r="J15" i="61"/>
  <c r="N15" i="61" s="1"/>
  <c r="P15" i="61" s="1"/>
  <c r="V13" i="61"/>
  <c r="N13" i="61"/>
  <c r="P13" i="61" s="1"/>
  <c r="N27" i="61"/>
  <c r="P27" i="61" s="1"/>
  <c r="V27" i="61"/>
  <c r="I11" i="52"/>
  <c r="W9" i="52" s="1"/>
  <c r="W23" i="52" s="1"/>
  <c r="J8" i="61"/>
  <c r="N8" i="61" s="1"/>
  <c r="P8" i="61" s="1"/>
  <c r="I22" i="59"/>
  <c r="L22" i="59" s="1"/>
  <c r="I23" i="62"/>
  <c r="L23" i="62" s="1"/>
  <c r="N23" i="62" s="1"/>
  <c r="I10" i="52"/>
  <c r="V9" i="52" s="1"/>
  <c r="V25" i="52" s="1"/>
  <c r="J7" i="61"/>
  <c r="L13" i="50"/>
  <c r="N13" i="50" s="1"/>
  <c r="J10" i="61"/>
  <c r="N10" i="61" s="1"/>
  <c r="P10" i="61" s="1"/>
  <c r="V19" i="61"/>
  <c r="N19" i="61"/>
  <c r="P19" i="61" s="1"/>
  <c r="N23" i="61"/>
  <c r="P23" i="61" s="1"/>
  <c r="V23" i="61"/>
  <c r="I12" i="52"/>
  <c r="X9" i="52" s="1"/>
  <c r="X27" i="52" s="1"/>
  <c r="J9" i="61"/>
  <c r="N9" i="61" s="1"/>
  <c r="P9" i="61" s="1"/>
  <c r="I13" i="52"/>
  <c r="Y9" i="52" s="1"/>
  <c r="T22" i="53"/>
  <c r="X21" i="53"/>
  <c r="F24" i="51" s="1"/>
  <c r="H24" i="51" s="1"/>
  <c r="J24" i="51" s="1"/>
  <c r="I23" i="50"/>
  <c r="J20" i="61" s="1"/>
  <c r="F69" i="15"/>
  <c r="H69" i="15" s="1"/>
  <c r="H70" i="15" s="1"/>
  <c r="H9" i="15" s="1"/>
  <c r="I37" i="52"/>
  <c r="L18" i="50"/>
  <c r="N18" i="50" s="1"/>
  <c r="U23" i="53"/>
  <c r="U28" i="53"/>
  <c r="U24" i="53"/>
  <c r="L11" i="50"/>
  <c r="N11" i="50" s="1"/>
  <c r="H37" i="15"/>
  <c r="H7" i="15" s="1"/>
  <c r="I36" i="52"/>
  <c r="P30" i="2"/>
  <c r="R30" i="2" s="1"/>
  <c r="U29" i="53"/>
  <c r="I36" i="53"/>
  <c r="U26" i="53"/>
  <c r="U25" i="53"/>
  <c r="V24" i="52"/>
  <c r="L10" i="50"/>
  <c r="N10" i="50" s="1"/>
  <c r="V27" i="52"/>
  <c r="V29" i="52"/>
  <c r="V26" i="52"/>
  <c r="U30" i="53"/>
  <c r="F55" i="15"/>
  <c r="H55" i="15" s="1"/>
  <c r="H56" i="15" s="1"/>
  <c r="H8" i="15" s="1"/>
  <c r="I19" i="59"/>
  <c r="L19" i="59" s="1"/>
  <c r="I19" i="50"/>
  <c r="V22" i="52"/>
  <c r="V28" i="52"/>
  <c r="V23" i="52"/>
  <c r="V30" i="52"/>
  <c r="L26" i="50"/>
  <c r="N26" i="50" s="1"/>
  <c r="I45" i="52"/>
  <c r="I45" i="53"/>
  <c r="I41" i="53"/>
  <c r="I41" i="52"/>
  <c r="L22" i="50"/>
  <c r="N22" i="50" s="1"/>
  <c r="L30" i="50"/>
  <c r="N30" i="50" s="1"/>
  <c r="I49" i="53"/>
  <c r="F51" i="51"/>
  <c r="H51" i="51" s="1"/>
  <c r="J51" i="51" s="1"/>
  <c r="I49" i="52"/>
  <c r="I35" i="52"/>
  <c r="L16" i="50"/>
  <c r="N16" i="50" s="1"/>
  <c r="I35" i="53"/>
  <c r="W24" i="52"/>
  <c r="Y29" i="52"/>
  <c r="Y30" i="52"/>
  <c r="X29" i="52"/>
  <c r="X26" i="52"/>
  <c r="I42" i="52" l="1"/>
  <c r="L23" i="50"/>
  <c r="N23" i="50" s="1"/>
  <c r="I42" i="53"/>
  <c r="W27" i="52"/>
  <c r="W28" i="52"/>
  <c r="W26" i="52"/>
  <c r="W29" i="52"/>
  <c r="X30" i="52"/>
  <c r="W25" i="52"/>
  <c r="W30" i="52"/>
  <c r="X28" i="52"/>
  <c r="W27" i="61"/>
  <c r="X27" i="61" s="1"/>
  <c r="J41" i="61"/>
  <c r="L41" i="61" s="1"/>
  <c r="N41" i="61" s="1"/>
  <c r="V20" i="61"/>
  <c r="V21" i="61" s="1"/>
  <c r="N20" i="61"/>
  <c r="P20" i="61" s="1"/>
  <c r="V7" i="61"/>
  <c r="N7" i="61"/>
  <c r="P7" i="61" s="1"/>
  <c r="N14" i="61"/>
  <c r="P14" i="61" s="1"/>
  <c r="V14" i="61"/>
  <c r="V15" i="61" s="1"/>
  <c r="I38" i="52"/>
  <c r="J16" i="61"/>
  <c r="N16" i="61" s="1"/>
  <c r="P16" i="61" s="1"/>
  <c r="V6" i="61"/>
  <c r="N6" i="61"/>
  <c r="P6" i="61" s="1"/>
  <c r="Z21" i="52"/>
  <c r="F12" i="51" s="1"/>
  <c r="H12" i="51" s="1"/>
  <c r="J12" i="51" s="1"/>
  <c r="U22" i="52"/>
  <c r="U23" i="52" s="1"/>
  <c r="Z23" i="52" s="1"/>
  <c r="F14" i="51" s="1"/>
  <c r="H14" i="51" s="1"/>
  <c r="J14" i="51" s="1"/>
  <c r="X22" i="53"/>
  <c r="F25" i="51" s="1"/>
  <c r="H25" i="51" s="1"/>
  <c r="J25" i="51" s="1"/>
  <c r="T23" i="53"/>
  <c r="L19" i="50"/>
  <c r="N19" i="50" s="1"/>
  <c r="L30" i="2"/>
  <c r="I27" i="62" s="1"/>
  <c r="L27" i="62" s="1"/>
  <c r="N27" i="62" s="1"/>
  <c r="F83" i="15"/>
  <c r="H83" i="15" s="1"/>
  <c r="H84" i="15" s="1"/>
  <c r="H10" i="15" s="1"/>
  <c r="H12" i="15" s="1"/>
  <c r="H14" i="15" s="1"/>
  <c r="H16" i="15" s="1"/>
  <c r="M17" i="15" s="1"/>
  <c r="M18" i="15" s="1"/>
  <c r="M19" i="15" s="1"/>
  <c r="I38" i="53"/>
  <c r="U24" i="52" l="1"/>
  <c r="J38" i="61"/>
  <c r="L38" i="61" s="1"/>
  <c r="N38" i="61" s="1"/>
  <c r="W15" i="61"/>
  <c r="X15" i="61" s="1"/>
  <c r="V8" i="61"/>
  <c r="J39" i="61"/>
  <c r="L39" i="61" s="1"/>
  <c r="N39" i="61" s="1"/>
  <c r="W21" i="61"/>
  <c r="X21" i="61" s="1"/>
  <c r="Z22" i="52"/>
  <c r="F13" i="51" s="1"/>
  <c r="H13" i="51" s="1"/>
  <c r="J13" i="51" s="1"/>
  <c r="X23" i="53"/>
  <c r="F26" i="51" s="1"/>
  <c r="H26" i="51" s="1"/>
  <c r="J26" i="51" s="1"/>
  <c r="T24" i="53"/>
  <c r="I27" i="50"/>
  <c r="J24" i="61" s="1"/>
  <c r="I25" i="59"/>
  <c r="L25" i="59" s="1"/>
  <c r="Z24" i="52"/>
  <c r="F15" i="51" s="1"/>
  <c r="H15" i="51" s="1"/>
  <c r="J15" i="51" s="1"/>
  <c r="U25" i="52"/>
  <c r="V24" i="61" l="1"/>
  <c r="V25" i="61" s="1"/>
  <c r="N24" i="61"/>
  <c r="P24" i="61" s="1"/>
  <c r="J37" i="61"/>
  <c r="L37" i="61" s="1"/>
  <c r="N37" i="61" s="1"/>
  <c r="W8" i="61"/>
  <c r="X8" i="61" s="1"/>
  <c r="T25" i="53"/>
  <c r="X24" i="53"/>
  <c r="F27" i="51" s="1"/>
  <c r="H27" i="51" s="1"/>
  <c r="J27" i="51" s="1"/>
  <c r="I46" i="52"/>
  <c r="I46" i="53"/>
  <c r="L27" i="50"/>
  <c r="N27" i="50" s="1"/>
  <c r="U26" i="52"/>
  <c r="Z25" i="52"/>
  <c r="F16" i="51" s="1"/>
  <c r="H16" i="51" s="1"/>
  <c r="J16" i="51" s="1"/>
  <c r="J40" i="61" l="1"/>
  <c r="L40" i="61" s="1"/>
  <c r="N40" i="61" s="1"/>
  <c r="W25" i="61"/>
  <c r="X25" i="61" s="1"/>
  <c r="X25" i="53"/>
  <c r="F28" i="51" s="1"/>
  <c r="H28" i="51" s="1"/>
  <c r="J28" i="51" s="1"/>
  <c r="T26" i="53"/>
  <c r="Z26" i="52"/>
  <c r="F17" i="51" s="1"/>
  <c r="H17" i="51" s="1"/>
  <c r="J17" i="51" s="1"/>
  <c r="U27" i="52"/>
  <c r="X26" i="53" l="1"/>
  <c r="F29" i="51" s="1"/>
  <c r="H29" i="51" s="1"/>
  <c r="J29" i="51" s="1"/>
  <c r="T27" i="53"/>
  <c r="Z27" i="52"/>
  <c r="F18" i="51" s="1"/>
  <c r="H18" i="51" s="1"/>
  <c r="J18" i="51" s="1"/>
  <c r="U28" i="52"/>
  <c r="T28" i="53" l="1"/>
  <c r="X27" i="53"/>
  <c r="F30" i="51" s="1"/>
  <c r="H30" i="51" s="1"/>
  <c r="J30" i="51" s="1"/>
  <c r="Z28" i="52"/>
  <c r="F19" i="51" s="1"/>
  <c r="H19" i="51" s="1"/>
  <c r="J19" i="51" s="1"/>
  <c r="U29" i="52"/>
  <c r="X28" i="53" l="1"/>
  <c r="F31" i="51" s="1"/>
  <c r="H31" i="51" s="1"/>
  <c r="J31" i="51" s="1"/>
  <c r="T29" i="53"/>
  <c r="Z29" i="52"/>
  <c r="F20" i="51" s="1"/>
  <c r="H20" i="51" s="1"/>
  <c r="J20" i="51" s="1"/>
  <c r="U30" i="52"/>
  <c r="Z30" i="52" s="1"/>
  <c r="F21" i="51" s="1"/>
  <c r="H21" i="51" s="1"/>
  <c r="J21" i="51" s="1"/>
  <c r="T30" i="53" l="1"/>
  <c r="X30" i="53" s="1"/>
  <c r="F33" i="51" s="1"/>
  <c r="H33" i="51" s="1"/>
  <c r="J33" i="51" s="1"/>
  <c r="X29" i="53"/>
  <c r="F32" i="51" s="1"/>
  <c r="H32" i="51" s="1"/>
  <c r="J32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  <author>Alan Vilines</author>
  </authors>
  <commentList>
    <comment ref="N43" authorId="0" shapeId="0" xr:uid="{AA0AC8BA-F766-468F-A505-DFDF89079FD3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Includes Commissioners</t>
        </r>
      </text>
    </comment>
    <comment ref="N52" authorId="1" shapeId="0" xr:uid="{1E910838-C337-43DD-BFCF-0FBE4A63D67C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new rate effective 7/1/22
 per KPPA web site</t>
        </r>
      </text>
    </comment>
  </commentList>
</comments>
</file>

<file path=xl/sharedStrings.xml><?xml version="1.0" encoding="utf-8"?>
<sst xmlns="http://schemas.openxmlformats.org/spreadsheetml/2006/main" count="2278" uniqueCount="453">
  <si>
    <t>TOTALS</t>
  </si>
  <si>
    <t>Life</t>
  </si>
  <si>
    <t>Operating Revenues</t>
  </si>
  <si>
    <t>Total Operating Revenues</t>
  </si>
  <si>
    <t>Operating Expenses</t>
  </si>
  <si>
    <t>Total Operating Expenses</t>
  </si>
  <si>
    <t>Pro Forma Operating Expenses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</si>
  <si>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</si>
  <si>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</si>
  <si>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</si>
  <si>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</si>
  <si>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</si>
  <si>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</si>
  <si>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</si>
  <si>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</si>
  <si>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</si>
  <si>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</si>
  <si>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Miscellaneous Expenses</t>
  </si>
  <si>
    <t>Additional Working Capital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</si>
  <si>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</si>
  <si>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</si>
  <si>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</si>
  <si>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</si>
  <si>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</si>
  <si>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</si>
  <si>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</si>
  <si>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</si>
  <si>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</si>
  <si>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DEBT SERVICE SCHDULE</t>
  </si>
  <si>
    <t>Principal</t>
  </si>
  <si>
    <t>Interest</t>
  </si>
  <si>
    <t>Totals</t>
  </si>
  <si>
    <t>REVENUE REQUIREMENTS</t>
  </si>
  <si>
    <t>Ref.</t>
  </si>
  <si>
    <t>Revenue</t>
  </si>
  <si>
    <t>Avg. Annual Principal and Interest Payments</t>
  </si>
  <si>
    <t>Gallons Sold</t>
  </si>
  <si>
    <t>TOTAL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</si>
  <si>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</si>
  <si>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</si>
  <si>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</si>
  <si>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</si>
  <si>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</si>
  <si>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</si>
  <si>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</si>
  <si>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</si>
  <si>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</si>
  <si>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</si>
  <si>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</si>
  <si>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</si>
  <si>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</si>
  <si>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</si>
  <si>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Materials and Supplies</t>
  </si>
  <si>
    <t>First</t>
  </si>
  <si>
    <t>Next</t>
  </si>
  <si>
    <t>CURRENT AND PROPOSED RATES</t>
  </si>
  <si>
    <t>Pro Forma</t>
  </si>
  <si>
    <t>Test Year</t>
  </si>
  <si>
    <t>C.Y.</t>
  </si>
  <si>
    <t>Total</t>
  </si>
  <si>
    <t xml:space="preserve">   Plus:</t>
  </si>
  <si>
    <t xml:space="preserve">   Less:</t>
  </si>
  <si>
    <t>A</t>
  </si>
  <si>
    <t>B</t>
  </si>
  <si>
    <t>C</t>
  </si>
  <si>
    <t>E</t>
  </si>
  <si>
    <t>F</t>
  </si>
  <si>
    <t>G</t>
  </si>
  <si>
    <t>I</t>
  </si>
  <si>
    <t>J</t>
  </si>
  <si>
    <t>K</t>
  </si>
  <si>
    <t>Revenue Required From Water Sales</t>
  </si>
  <si>
    <t>Dental</t>
  </si>
  <si>
    <t>Dist. Contrib</t>
  </si>
  <si>
    <t>BLS avg.</t>
  </si>
  <si>
    <t>Premium</t>
  </si>
  <si>
    <t>Adj'mt.</t>
  </si>
  <si>
    <t>Allowable annual prem.</t>
  </si>
  <si>
    <t>Less prem. pd. in test yr.</t>
  </si>
  <si>
    <t>Health Ins. Adjustment</t>
  </si>
  <si>
    <t>Employee</t>
  </si>
  <si>
    <t>Times: 7.65 Percent FICA Rate</t>
  </si>
  <si>
    <t>Pro Forma Payroll Taxes</t>
  </si>
  <si>
    <t>Payroll Tax Adjustment</t>
  </si>
  <si>
    <t>Wages applicable to CERS payments</t>
  </si>
  <si>
    <t>Salaries &amp; Wages and Associated Adjustments</t>
  </si>
  <si>
    <t>D</t>
  </si>
  <si>
    <t>Table C</t>
  </si>
  <si>
    <t>Total Pen &amp; Benefits</t>
  </si>
  <si>
    <t>GASB Liability Adjustments</t>
  </si>
  <si>
    <t>Total Retail Metered Sales</t>
  </si>
  <si>
    <t>Addition to Depreciation Expense:</t>
  </si>
  <si>
    <t>Other Water Revenues</t>
  </si>
  <si>
    <t>Advertising</t>
  </si>
  <si>
    <t>Nonutility Income</t>
  </si>
  <si>
    <t xml:space="preserve">  SUMMARY  </t>
  </si>
  <si>
    <t>PROPOSED RATE SCHEDULES</t>
  </si>
  <si>
    <t xml:space="preserve"> Percentage Rate Increase</t>
  </si>
  <si>
    <t>Over</t>
  </si>
  <si>
    <t>Theft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</si>
  <si>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</si>
  <si>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</si>
  <si>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</si>
  <si>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</si>
  <si>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</si>
  <si>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</si>
  <si>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</si>
  <si>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</si>
  <si>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</si>
  <si>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</si>
  <si>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</si>
  <si>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Oct</t>
  </si>
  <si>
    <t>Page 53</t>
  </si>
  <si>
    <t>Annual Report</t>
  </si>
  <si>
    <t>Difference</t>
  </si>
  <si>
    <t>labor adjustment</t>
  </si>
  <si>
    <t>materials adjustment</t>
  </si>
  <si>
    <t>L</t>
  </si>
  <si>
    <t>Insurance Adjustment</t>
  </si>
  <si>
    <t>Empl. rate</t>
  </si>
  <si>
    <t>Health</t>
  </si>
  <si>
    <t>Vision</t>
  </si>
  <si>
    <t>Empl/Spouse</t>
  </si>
  <si>
    <t>Monthly</t>
  </si>
  <si>
    <t>Contrib. x No. in Tier</t>
  </si>
  <si>
    <t>Total Allowable monthly prem.</t>
  </si>
  <si>
    <t>H</t>
  </si>
  <si>
    <t>New Meter Installations:</t>
  </si>
  <si>
    <t>3/4" meters</t>
  </si>
  <si>
    <t>1" meters</t>
  </si>
  <si>
    <t>No.</t>
  </si>
  <si>
    <t>Charge</t>
  </si>
  <si>
    <t>Addition to depr. Table</t>
  </si>
  <si>
    <t>Employee Benefits (from Auditor):</t>
  </si>
  <si>
    <t>OPEB</t>
  </si>
  <si>
    <t>Reported Ins.</t>
  </si>
  <si>
    <t>Surplus Revenue With Required Adjustments</t>
  </si>
  <si>
    <t>Hourly</t>
  </si>
  <si>
    <t>NARUC</t>
  </si>
  <si>
    <t>Hydrants</t>
  </si>
  <si>
    <t>5 Year Avg</t>
  </si>
  <si>
    <t>Debt Service</t>
  </si>
  <si>
    <t>CERS Employer Contribution Rate 07/01/2023</t>
  </si>
  <si>
    <t>Allowable CERS Employer Contribution</t>
  </si>
  <si>
    <t>Test-Period CERS Contribution</t>
  </si>
  <si>
    <t>CERS Adjustment</t>
  </si>
  <si>
    <t>Usage</t>
  </si>
  <si>
    <t>Bills</t>
  </si>
  <si>
    <t>Gallons</t>
  </si>
  <si>
    <t>REVENUE BY RATE INCREMENT</t>
  </si>
  <si>
    <t xml:space="preserve">Rate </t>
  </si>
  <si>
    <t>,</t>
  </si>
  <si>
    <t xml:space="preserve">  adjustment excess water cost</t>
  </si>
  <si>
    <t>Costs Subject to Water Loss Adjustment</t>
  </si>
  <si>
    <t xml:space="preserve">  adjustment percentage</t>
  </si>
  <si>
    <t>Purchased</t>
  </si>
  <si>
    <t>Water</t>
  </si>
  <si>
    <t>Power</t>
  </si>
  <si>
    <t>Excess Water Cost</t>
  </si>
  <si>
    <t>Divide by:</t>
  </si>
  <si>
    <t>Operating Ratio</t>
  </si>
  <si>
    <t>Subtotal</t>
  </si>
  <si>
    <t>Add:  Average Annual Interest Expense</t>
  </si>
  <si>
    <t>BA - Test Year Rates</t>
  </si>
  <si>
    <t>Payroll Tax</t>
  </si>
  <si>
    <t>Revenue Requirement Method:</t>
  </si>
  <si>
    <t>DSC</t>
  </si>
  <si>
    <t>CY 2024 - 2028</t>
  </si>
  <si>
    <t>CURRENT BILLING ANALYSIS - 2022 USAGE &amp;  RATES EFFECTIVE January 1, 2022</t>
  </si>
  <si>
    <t>New meters</t>
  </si>
  <si>
    <t>Morgan County Water District</t>
  </si>
  <si>
    <t>Contractual Services - Water Testing</t>
  </si>
  <si>
    <t>Insurance - Gen. Liability</t>
  </si>
  <si>
    <t>Insurance - Workers' Comp.</t>
  </si>
  <si>
    <t>Meter Size</t>
  </si>
  <si>
    <t># of Bills</t>
  </si>
  <si>
    <t>3/4_Inch x 5?8-Inch Meter</t>
  </si>
  <si>
    <t>1-Inch Meter</t>
  </si>
  <si>
    <t>2-Inch Meter</t>
  </si>
  <si>
    <t>6-Inch Meter</t>
  </si>
  <si>
    <t>4-Inch Meter - Wholesale</t>
  </si>
  <si>
    <t>Total Billed Revenue</t>
  </si>
  <si>
    <t>Less Adjustments - Residential</t>
  </si>
  <si>
    <t>NET RETAIL</t>
  </si>
  <si>
    <t>Total adjustment</t>
  </si>
  <si>
    <t>Meter Size:</t>
  </si>
  <si>
    <t>Min. Bill</t>
  </si>
  <si>
    <t>per Gallon</t>
  </si>
  <si>
    <t>4-Inch Meter Wholesale</t>
  </si>
  <si>
    <t>Insurance - General Liab.</t>
  </si>
  <si>
    <t>Insurance - Workers Comp.</t>
  </si>
  <si>
    <t>CY 2024</t>
  </si>
  <si>
    <t>CY 2025</t>
  </si>
  <si>
    <t>CY 2026</t>
  </si>
  <si>
    <t>CY 2027</t>
  </si>
  <si>
    <t>CY 2028</t>
  </si>
  <si>
    <t>5-Year</t>
  </si>
  <si>
    <t>Series 2002</t>
  </si>
  <si>
    <t>Series 2006</t>
  </si>
  <si>
    <t>Series 2008</t>
  </si>
  <si>
    <t>Series 2021</t>
  </si>
  <si>
    <t>KRWFC Series 2016</t>
  </si>
  <si>
    <t>5-Year Totals</t>
  </si>
  <si>
    <t>5-Yeat Avg Principal</t>
  </si>
  <si>
    <t>5-Year Avg Interest</t>
  </si>
  <si>
    <t>Builing Improvement:</t>
  </si>
  <si>
    <t>Remodel Building - Test Bench</t>
  </si>
  <si>
    <t>Equipment:</t>
  </si>
  <si>
    <t>Telemetry System</t>
  </si>
  <si>
    <t>Phase 12 Telmetry</t>
  </si>
  <si>
    <t>Kubota Excavator w/trailer</t>
  </si>
  <si>
    <t>Boring Equipment 21</t>
  </si>
  <si>
    <t>Trench Box</t>
  </si>
  <si>
    <t>Leak Detection Equipment</t>
  </si>
  <si>
    <t>2022 Gator-Made Leak Trailer</t>
  </si>
  <si>
    <t>2022 Gator-Made Trailer</t>
  </si>
  <si>
    <t>Ford Meter Test Bench</t>
  </si>
  <si>
    <t>Portable Flow Meter</t>
  </si>
  <si>
    <t>Furniture e/ Office Equipment:</t>
  </si>
  <si>
    <t>Laser Printer</t>
  </si>
  <si>
    <t>Computers</t>
  </si>
  <si>
    <t>Hydrants:</t>
  </si>
  <si>
    <t>PRV Pits</t>
  </si>
  <si>
    <t>PRV Pit</t>
  </si>
  <si>
    <t>Vehicles:</t>
  </si>
  <si>
    <t>2008 F150 Pickup</t>
  </si>
  <si>
    <t>2008 F150 Pickup 2</t>
  </si>
  <si>
    <t>2008 Chevy Colorado</t>
  </si>
  <si>
    <t>Leased 2018 Ford F-150 Vin #036</t>
  </si>
  <si>
    <t>Leased 2018 Ford F-150 Vin #06461</t>
  </si>
  <si>
    <t>Leased 2018 Ford F-350 Vin #1178</t>
  </si>
  <si>
    <t>Leased 2018 Ford F- 250 Vin #1176</t>
  </si>
  <si>
    <t>Leased - 2020 Ford Escape</t>
  </si>
  <si>
    <t>2016 Ford F-150</t>
  </si>
  <si>
    <t>2013 Ford F-150</t>
  </si>
  <si>
    <t>2022 Dodge Ram Vin #3284</t>
  </si>
  <si>
    <t>2023 Dodge Ram Vin #3285</t>
  </si>
  <si>
    <t>Water Lines:</t>
  </si>
  <si>
    <t>Water Lines</t>
  </si>
  <si>
    <t>Water Lines 203 Project</t>
  </si>
  <si>
    <t>Water Lines 303 Extension</t>
  </si>
  <si>
    <t>Water Haul Station</t>
  </si>
  <si>
    <t>Water Lines - HWY 172 Project</t>
  </si>
  <si>
    <t>Water LinesEzel Expansion Proj</t>
  </si>
  <si>
    <t>Water Lines White Oak Expansion</t>
  </si>
  <si>
    <t>Water Lines - Liberty St/Havens Branch</t>
  </si>
  <si>
    <t>Phase 10 Water Lines</t>
  </si>
  <si>
    <t>Water Lines- Phase 11</t>
  </si>
  <si>
    <t>Phase 12 Water Lines</t>
  </si>
  <si>
    <t>Phase 12A Water Lines</t>
  </si>
  <si>
    <t>Water Lines Phase 14</t>
  </si>
  <si>
    <t>Water Lines - MCWD System Inprov</t>
  </si>
  <si>
    <t>Red Bird Replacement Line</t>
  </si>
  <si>
    <t>Old 172 Water Line Project</t>
  </si>
  <si>
    <t>Zone Pit Meters:</t>
  </si>
  <si>
    <t>Zone Pit Meters</t>
  </si>
  <si>
    <t>Zone Meter Pits (2)</t>
  </si>
  <si>
    <t>Montgomery County Water District</t>
  </si>
  <si>
    <t>NARUC Depreciation Adjustment</t>
  </si>
  <si>
    <t>2022 Depreciation Actual &amp; Pro Forma</t>
  </si>
  <si>
    <t>Date In</t>
  </si>
  <si>
    <t>Accum. Dep.</t>
  </si>
  <si>
    <t>Morgan Dist.</t>
  </si>
  <si>
    <t>NARUC Lives</t>
  </si>
  <si>
    <t>Book</t>
  </si>
  <si>
    <t>Mid-Range</t>
  </si>
  <si>
    <t>Asset</t>
  </si>
  <si>
    <t>Property Description</t>
  </si>
  <si>
    <t>Service</t>
  </si>
  <si>
    <t>Book Cost</t>
  </si>
  <si>
    <t>Dep Lifes</t>
  </si>
  <si>
    <t>Adjustment</t>
  </si>
  <si>
    <t>Dep. Life</t>
  </si>
  <si>
    <t>Building Improvement</t>
  </si>
  <si>
    <t>Equipment</t>
  </si>
  <si>
    <t>Furniture e/ Office Equipment</t>
  </si>
  <si>
    <t>Vehicles</t>
  </si>
  <si>
    <t>Grand Total</t>
  </si>
  <si>
    <t>Alexis Branscum</t>
  </si>
  <si>
    <t>Donna Bailey</t>
  </si>
  <si>
    <t>Timothy Carver</t>
  </si>
  <si>
    <t>John Coffey</t>
  </si>
  <si>
    <t>Andy Legg</t>
  </si>
  <si>
    <t>Chernell Holbrook</t>
  </si>
  <si>
    <t>Ashlee Mason</t>
  </si>
  <si>
    <t>Shannon Elam</t>
  </si>
  <si>
    <t>Drayton Kendrick</t>
  </si>
  <si>
    <t>Dean Kennard</t>
  </si>
  <si>
    <t>Mike Kelsey</t>
  </si>
  <si>
    <t>Amanda Myers</t>
  </si>
  <si>
    <t>Anastasia Adkins</t>
  </si>
  <si>
    <t>Garet Loudermilk</t>
  </si>
  <si>
    <t>Dakota Watson</t>
  </si>
  <si>
    <t>Dylan Stevens</t>
  </si>
  <si>
    <t>Michael Stacy</t>
  </si>
  <si>
    <t>Regular</t>
  </si>
  <si>
    <t>Overtime</t>
  </si>
  <si>
    <t>Employee 1</t>
  </si>
  <si>
    <t>Employee 2</t>
  </si>
  <si>
    <t>Employee 3</t>
  </si>
  <si>
    <t>Employee 4</t>
  </si>
  <si>
    <t>Dean Kennard Pplus</t>
  </si>
  <si>
    <t>Monthly Total</t>
  </si>
  <si>
    <t>Annual Expense</t>
  </si>
  <si>
    <t>CCKY_C9</t>
  </si>
  <si>
    <t>FS A.</t>
  </si>
  <si>
    <t>Cooter</t>
  </si>
  <si>
    <t>Lexi</t>
  </si>
  <si>
    <t>Jason</t>
  </si>
  <si>
    <t>Johnny</t>
  </si>
  <si>
    <t>Nick</t>
  </si>
  <si>
    <t>Richie</t>
  </si>
  <si>
    <t>Jimmy</t>
  </si>
  <si>
    <t>Wage Rates</t>
  </si>
  <si>
    <t>Pro Forma Emp. Salaries and Wage Exp.</t>
  </si>
  <si>
    <t>Email</t>
  </si>
  <si>
    <t>Insurance Settlement</t>
  </si>
  <si>
    <t>Pro Forma Employee Salaries and Wages Expense</t>
  </si>
  <si>
    <t>Less:  Reported Emp. Sal. And Wages Exp.</t>
  </si>
  <si>
    <t>Totals per</t>
  </si>
  <si>
    <t>Misclassified Water Loss Surcharge Collections</t>
  </si>
  <si>
    <t>Misclassified Forfieted Discounts</t>
  </si>
  <si>
    <t>3/4-Inch x 5/8-Inch Meter</t>
  </si>
  <si>
    <t>CURRENT RATES</t>
  </si>
  <si>
    <t>CURRENT RATE SCHEDULES</t>
  </si>
  <si>
    <t>Forfieted Discounts</t>
  </si>
  <si>
    <t>Less:  Revenue rom Water Sales</t>
  </si>
  <si>
    <t>Revenue From Water Sales - PSC 2022 Annual Report</t>
  </si>
  <si>
    <t>Less:  Missclassified Forfieted Discounts</t>
  </si>
  <si>
    <t>Actual Revenue from Water Sales</t>
  </si>
  <si>
    <t>Health Ins</t>
  </si>
  <si>
    <t>CERS</t>
  </si>
  <si>
    <t>Emp. Health Insurance Adjustment</t>
  </si>
  <si>
    <t>Pro Forma Emp Ins. Benefits</t>
  </si>
  <si>
    <t>Less: Test Year Payroll Taxes (2022 GL)</t>
  </si>
  <si>
    <t>Adjustment Type</t>
  </si>
  <si>
    <t>Leak</t>
  </si>
  <si>
    <t>Bad PRV</t>
  </si>
  <si>
    <t>Other</t>
  </si>
  <si>
    <t>Less: Pro Forma Revenues from Water Sales</t>
  </si>
  <si>
    <t>USDA Rural Devlopment Project Old HWY 172</t>
  </si>
  <si>
    <t>4905-DR4595 FEMA Ice Storm</t>
  </si>
  <si>
    <t>4904-FEMA DR 4592 Flood</t>
  </si>
  <si>
    <t>Current Staff and Wages. Actual Test Year Overtime Hours</t>
  </si>
  <si>
    <t>Monthly Totals</t>
  </si>
  <si>
    <t>Multiplied by:  12 Months</t>
  </si>
  <si>
    <t>Annual Totals</t>
  </si>
  <si>
    <t>Salaries</t>
  </si>
  <si>
    <t>District</t>
  </si>
  <si>
    <t>Debt</t>
  </si>
  <si>
    <t>Revenue Bond - Series 2001</t>
  </si>
  <si>
    <t>Year</t>
  </si>
  <si>
    <t>Revenue Bond - Series 2006</t>
  </si>
  <si>
    <t>Revenue Bond - Series 2008</t>
  </si>
  <si>
    <t>Revenue Bond - Series 2001 CLSS</t>
  </si>
  <si>
    <t>KRWFC Refunding Bond  - Series 2016</t>
  </si>
  <si>
    <t>Morgan District</t>
  </si>
  <si>
    <t>Debt Amortization Schedules</t>
  </si>
  <si>
    <t>Hours</t>
  </si>
  <si>
    <t>Current</t>
  </si>
  <si>
    <t>Table A</t>
  </si>
  <si>
    <t>DEPRECIATION EXPENSE ADJUSTMENTS</t>
  </si>
  <si>
    <t>Total Equipment</t>
  </si>
  <si>
    <t>Furniture/Office Equipment:</t>
  </si>
  <si>
    <t>Total Furniture/Office Equipment:</t>
  </si>
  <si>
    <t>Total Vehicles</t>
  </si>
  <si>
    <t>Total Water Lines</t>
  </si>
  <si>
    <t>Total Zone Pit Meters</t>
  </si>
  <si>
    <t>Total Test-Year Depreciation Expense</t>
  </si>
  <si>
    <t>Test-Year</t>
  </si>
  <si>
    <t>Depreciation</t>
  </si>
  <si>
    <t>Depreciation Lives</t>
  </si>
  <si>
    <t>Table B</t>
  </si>
  <si>
    <t>Proposed Monthly Rates</t>
  </si>
  <si>
    <t>Current Monthly Rates</t>
  </si>
  <si>
    <t>Differences</t>
  </si>
  <si>
    <t>Dollar</t>
  </si>
  <si>
    <t>Percentage</t>
  </si>
  <si>
    <t>Table D</t>
  </si>
  <si>
    <t>Existing and Proposed Bills</t>
  </si>
  <si>
    <t>Existing</t>
  </si>
  <si>
    <t>Proposed</t>
  </si>
  <si>
    <t>Bill</t>
  </si>
  <si>
    <t>Change</t>
  </si>
  <si>
    <t>Existing Rates</t>
  </si>
  <si>
    <t>Emp Insurance Adjustment</t>
  </si>
  <si>
    <t>Meter Installations in 2022:</t>
  </si>
  <si>
    <t>New Meters</t>
  </si>
  <si>
    <t>2022</t>
  </si>
  <si>
    <t>Depreciation. Adj - NARUC &amp; New Meters</t>
  </si>
  <si>
    <t>Required Inc</t>
  </si>
  <si>
    <t>Rates Prod.</t>
  </si>
  <si>
    <t>Water Loss Adj:</t>
  </si>
  <si>
    <t>Total Adjustment</t>
  </si>
  <si>
    <t>Divided by No. of Bills</t>
  </si>
  <si>
    <t>Calculated Surcharge</t>
  </si>
  <si>
    <t>Less:  Current Surcharge</t>
  </si>
  <si>
    <t>Assumed New Employees</t>
  </si>
  <si>
    <t>n</t>
  </si>
  <si>
    <t>ty</t>
  </si>
  <si>
    <t>Appendix A</t>
  </si>
  <si>
    <t>Current and Proposed Rates</t>
  </si>
  <si>
    <t>Genera; Manager, Class III</t>
  </si>
  <si>
    <t>Customer Service Representive</t>
  </si>
  <si>
    <t>Customer Service Supervisor</t>
  </si>
  <si>
    <t>Field Compiance Supervisor, Class II</t>
  </si>
  <si>
    <t>Field Operations Supervisor</t>
  </si>
  <si>
    <t>Field Maintenance Supervisor, Class II</t>
  </si>
  <si>
    <t>Field Compliance Operator, Class I</t>
  </si>
  <si>
    <t>Complanc/HR Officer</t>
  </si>
  <si>
    <t>Finance/Purchasing Officer</t>
  </si>
  <si>
    <t>Field Operations Technician</t>
  </si>
  <si>
    <t>Field Maintenance - Leak Detection</t>
  </si>
  <si>
    <t>Field Compliance - Meter Read/GPS</t>
  </si>
  <si>
    <t>Field Maintenance Tecnician</t>
  </si>
  <si>
    <t>1. USDA Old Hwy 172 Project – (May, Was a water loss project that replaced sections of line that had been reported for multiple leaks over the last few years.</t>
  </si>
  <si>
    <t>2. 4905-Ice Storm – (February 8-19, 2021) Was reimbursement on rentals of portable power generators</t>
  </si>
  <si>
    <t>3. 4904-Flood – (February 9-19, 2021) Was reimbursement for main lines that was washed away in flooded creeks. Directional Bores were completed.</t>
  </si>
  <si>
    <t>4. Insurance – (February 2022) Was reimbursement for meters and brass meter setters stole in one of our storage buildings.   </t>
  </si>
  <si>
    <t>1. USDA Old Hwy 172 Project – (May, Was a water loss project that replaced sections of line that had been reported for multiple leaks over the last few years. 2. 4905-Ice Storm – (February 8-19, 2021) Was reimbursement on rentals of portable power generators 3. 4904-Flood – (February 9-19, 2021) Was reimbursement for main lines that was washed away in flooded creeks. Directional Bores were completed. 4. Insurance – (February 2022) Was reimbursement for meters and brass meter setters stole in one of our storage buildings.   </t>
  </si>
  <si>
    <t>USDA gave Morgan District $292,591 to fund the Old Hwy 172 Project – a water loss project that replaced sections of line that had multiple water leaks over the last few years.</t>
  </si>
  <si>
    <t>Average</t>
  </si>
  <si>
    <t>Rates</t>
  </si>
  <si>
    <t>EXISTING AND PROPOSED RATES</t>
  </si>
  <si>
    <t>Exesting Monthly Rates</t>
  </si>
  <si>
    <t>BILLING ANALYSIS - 2022 USAGE &amp;  PROPOSED RATES</t>
  </si>
  <si>
    <t>Current and Proposed Customer Bills</t>
  </si>
  <si>
    <t>Less:</t>
  </si>
  <si>
    <t>Average Debt Service</t>
  </si>
  <si>
    <t>Add:</t>
  </si>
  <si>
    <t>Non Cash Items:  Depreciation Exp.</t>
  </si>
  <si>
    <t>Working Capital</t>
  </si>
  <si>
    <t>Cost of Excess Water</t>
  </si>
  <si>
    <t>Emp. Health Insurance Adjustment (New Employees)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</si>
  <si>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</si>
  <si>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</si>
  <si>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</si>
  <si>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</si>
  <si>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</si>
  <si>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</si>
  <si>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</si>
  <si>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</si>
  <si>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</si>
  <si>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</si>
  <si>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</si>
  <si>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</si>
  <si>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PROPOSED RATE SCHEDULES Year 1</t>
  </si>
  <si>
    <t>PROPOSED RATE SCHEDULES Year 2</t>
  </si>
  <si>
    <t>PROPOSED RATE SCHEDULES Year 3</t>
  </si>
  <si>
    <t>PROPOSED RATES Three Year Phase In</t>
  </si>
  <si>
    <t>BILLING ANALYSIS - 2022 USAGE &amp;  PROPOSED RATES Year 1 Phase In</t>
  </si>
  <si>
    <t>BILLING ANALYSIS - 2022 USAGE &amp;  PROPOSED RATES Year 2 Phase In</t>
  </si>
  <si>
    <t>BILLING ANALYSIS - 2022 USAGE &amp;  PROPOSED RATES Year 3 Phase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</si>
</sst>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0.0%"/>
    <numFmt numFmtId="168" formatCode="0.000%"/>
    <numFmt numFmtId="169" formatCode="_(* #,##0.000_);_(* \(#,##0.000\);_(* &quot;-&quot;??_);_(@_)"/>
    <numFmt numFmtId="170" formatCode="0_);\(0\)"/>
    <numFmt numFmtId="171" formatCode="mm/dd/yy;@"/>
    <numFmt numFmtId="172" formatCode="_(&quot;$&quot;* #,##0.00000_);_(&quot;$&quot;* \(#,##0.00000\);_(&quot;$&quot;* &quot;-&quot;??_);_(@_)"/>
    <numFmt numFmtId="173" formatCode="#,##0.00000"/>
    <numFmt numFmtId="174" formatCode="_(&quot;$&quot;* #,##0.00000_);_(&quot;$&quot;* \(#,##0.00000\);_(&quot;$&quot;* &quot;-&quot;?????_);_(@_)"/>
    <numFmt numFmtId="175" formatCode="_(&quot;$&quot;* #,##0.000000_);_(&quot;$&quot;* \(#,##0.000000\);_(&quot;$&quot;* &quot;-&quot;??_);_(@_)"/>
    <numFmt numFmtId="176" formatCode="0.00000%"/>
    <numFmt numFmtId="177" formatCode="&quot;$&quot;#,##0.00"/>
    <numFmt numFmtId="178" formatCode="#,##0.00000_);\(#,##0.00000\)"/>
  </numFmts>
  <fonts count="4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u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u val="singleAccounting"/>
      <sz val="12"/>
      <name val="Arial"/>
      <family val="2"/>
    </font>
    <font>
      <sz val="12"/>
      <color theme="3"/>
      <name val="Arial"/>
      <family val="2"/>
    </font>
    <font>
      <b/>
      <u val="singleAccounting"/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u/>
      <sz val="11"/>
      <color rgb="FF00B050"/>
      <name val="Arial"/>
      <family val="2"/>
    </font>
    <font>
      <u val="singleAccounting"/>
      <sz val="11"/>
      <name val="Arial"/>
      <family val="2"/>
    </font>
    <font>
      <b/>
      <u val="singleAccounting"/>
      <sz val="1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u/>
      <sz val="18"/>
      <name val="Arial"/>
      <family val="2"/>
    </font>
    <font>
      <u/>
      <sz val="12"/>
      <color rgb="FFFF0000"/>
      <name val="Arial"/>
      <family val="2"/>
    </font>
    <font>
      <sz val="18"/>
      <name val="Arial"/>
      <family val="2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2">
    <xf numFmtId="0" fontId="0" fillId="0" borderId="0" xfId="0"/>
    <xf numFmtId="0" fontId="3" fillId="0" borderId="0" xfId="0" applyFont="1" applyAlignment="1">
      <alignment horizontal="center"/>
    </xf>
    <xf numFmtId="166" fontId="3" fillId="0" borderId="0" xfId="1" applyNumberFormat="1" applyFont="1"/>
    <xf numFmtId="0" fontId="3" fillId="0" borderId="1" xfId="0" applyFont="1" applyBorder="1"/>
    <xf numFmtId="0" fontId="6" fillId="0" borderId="0" xfId="0" applyFont="1"/>
    <xf numFmtId="0" fontId="3" fillId="0" borderId="3" xfId="0" applyFont="1" applyBorder="1"/>
    <xf numFmtId="0" fontId="3" fillId="0" borderId="7" xfId="0" applyFont="1" applyBorder="1"/>
    <xf numFmtId="166" fontId="4" fillId="0" borderId="0" xfId="1" applyNumberFormat="1" applyFont="1"/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166" fontId="4" fillId="0" borderId="0" xfId="1" applyNumberFormat="1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12" fillId="0" borderId="0" xfId="0" applyFont="1"/>
    <xf numFmtId="0" fontId="8" fillId="0" borderId="0" xfId="0" applyFont="1"/>
    <xf numFmtId="10" fontId="7" fillId="0" borderId="0" xfId="6" applyNumberFormat="1" applyFont="1" applyAlignment="1"/>
    <xf numFmtId="166" fontId="6" fillId="0" borderId="0" xfId="5" applyNumberFormat="1" applyFont="1" applyAlignment="1"/>
    <xf numFmtId="0" fontId="9" fillId="0" borderId="4" xfId="0" applyFont="1" applyBorder="1"/>
    <xf numFmtId="0" fontId="9" fillId="0" borderId="1" xfId="0" applyFont="1" applyBorder="1"/>
    <xf numFmtId="166" fontId="3" fillId="0" borderId="0" xfId="1" applyNumberFormat="1" applyFont="1" applyAlignment="1">
      <alignment horizontal="center"/>
    </xf>
    <xf numFmtId="0" fontId="0" fillId="0" borderId="2" xfId="0" applyBorder="1"/>
    <xf numFmtId="0" fontId="13" fillId="0" borderId="0" xfId="0" applyFont="1"/>
    <xf numFmtId="39" fontId="14" fillId="0" borderId="0" xfId="0" applyNumberFormat="1" applyFont="1"/>
    <xf numFmtId="39" fontId="14" fillId="0" borderId="1" xfId="0" applyNumberFormat="1" applyFont="1" applyBorder="1" applyAlignment="1">
      <alignment horizontal="center"/>
    </xf>
    <xf numFmtId="171" fontId="14" fillId="0" borderId="1" xfId="0" applyNumberFormat="1" applyFont="1" applyBorder="1" applyAlignment="1">
      <alignment horizontal="center"/>
    </xf>
    <xf numFmtId="0" fontId="1" fillId="0" borderId="0" xfId="0" applyFont="1"/>
    <xf numFmtId="166" fontId="13" fillId="0" borderId="0" xfId="5" applyNumberFormat="1" applyFont="1"/>
    <xf numFmtId="166" fontId="13" fillId="0" borderId="4" xfId="5" applyNumberFormat="1" applyFont="1" applyBorder="1"/>
    <xf numFmtId="166" fontId="13" fillId="0" borderId="5" xfId="5" applyNumberFormat="1" applyFont="1" applyBorder="1"/>
    <xf numFmtId="166" fontId="13" fillId="0" borderId="6" xfId="5" applyNumberFormat="1" applyFont="1" applyBorder="1"/>
    <xf numFmtId="3" fontId="17" fillId="0" borderId="0" xfId="0" applyNumberFormat="1" applyFont="1" applyAlignment="1">
      <alignment horizontal="left" vertical="center"/>
    </xf>
    <xf numFmtId="166" fontId="13" fillId="0" borderId="0" xfId="5" applyNumberFormat="1" applyFont="1" applyBorder="1" applyAlignment="1">
      <alignment horizontal="centerContinuous"/>
    </xf>
    <xf numFmtId="166" fontId="13" fillId="0" borderId="0" xfId="5" applyNumberFormat="1" applyFont="1" applyBorder="1"/>
    <xf numFmtId="166" fontId="13" fillId="0" borderId="0" xfId="5" applyNumberFormat="1" applyFont="1" applyBorder="1" applyAlignment="1">
      <alignment horizontal="left"/>
    </xf>
    <xf numFmtId="170" fontId="13" fillId="0" borderId="0" xfId="5" quotePrefix="1" applyNumberFormat="1" applyFont="1" applyBorder="1" applyAlignment="1">
      <alignment horizontal="center"/>
    </xf>
    <xf numFmtId="164" fontId="13" fillId="0" borderId="0" xfId="2" quotePrefix="1" applyNumberFormat="1" applyFont="1" applyBorder="1" applyAlignment="1">
      <alignment horizontal="center"/>
    </xf>
    <xf numFmtId="166" fontId="13" fillId="0" borderId="0" xfId="5" quotePrefix="1" applyNumberFormat="1" applyFont="1" applyBorder="1" applyAlignment="1">
      <alignment horizontal="center"/>
    </xf>
    <xf numFmtId="166" fontId="18" fillId="0" borderId="0" xfId="5" applyNumberFormat="1" applyFont="1" applyBorder="1" applyAlignment="1">
      <alignment horizontal="right"/>
    </xf>
    <xf numFmtId="166" fontId="13" fillId="0" borderId="0" xfId="5" applyNumberFormat="1" applyFont="1" applyBorder="1" applyAlignment="1">
      <alignment horizontal="center"/>
    </xf>
    <xf numFmtId="166" fontId="13" fillId="0" borderId="0" xfId="5" applyNumberFormat="1" applyFont="1" applyAlignment="1">
      <alignment horizontal="center"/>
    </xf>
    <xf numFmtId="166" fontId="13" fillId="0" borderId="1" xfId="5" applyNumberFormat="1" applyFont="1" applyBorder="1"/>
    <xf numFmtId="166" fontId="13" fillId="0" borderId="1" xfId="5" applyNumberFormat="1" applyFont="1" applyBorder="1" applyAlignment="1">
      <alignment horizontal="center"/>
    </xf>
    <xf numFmtId="166" fontId="13" fillId="0" borderId="1" xfId="5" quotePrefix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10" xfId="0" applyNumberFormat="1" applyBorder="1"/>
    <xf numFmtId="166" fontId="0" fillId="0" borderId="10" xfId="1" applyNumberFormat="1" applyFont="1" applyBorder="1"/>
    <xf numFmtId="166" fontId="0" fillId="0" borderId="0" xfId="1" applyNumberFormat="1" applyFont="1"/>
    <xf numFmtId="0" fontId="0" fillId="0" borderId="1" xfId="0" applyBorder="1"/>
    <xf numFmtId="166" fontId="0" fillId="0" borderId="0" xfId="0" applyNumberFormat="1"/>
    <xf numFmtId="44" fontId="0" fillId="0" borderId="0" xfId="2" applyFont="1"/>
    <xf numFmtId="166" fontId="0" fillId="0" borderId="1" xfId="0" applyNumberFormat="1" applyBorder="1"/>
    <xf numFmtId="39" fontId="0" fillId="0" borderId="0" xfId="0" applyNumberFormat="1"/>
    <xf numFmtId="172" fontId="0" fillId="0" borderId="0" xfId="2" applyNumberFormat="1" applyFont="1" applyBorder="1"/>
    <xf numFmtId="37" fontId="1" fillId="0" borderId="0" xfId="0" applyNumberFormat="1" applyFont="1"/>
    <xf numFmtId="9" fontId="1" fillId="0" borderId="1" xfId="0" applyNumberFormat="1" applyFont="1" applyBorder="1"/>
    <xf numFmtId="37" fontId="1" fillId="0" borderId="0" xfId="0" applyNumberFormat="1" applyFont="1" applyAlignment="1">
      <alignment horizontal="left"/>
    </xf>
    <xf numFmtId="37" fontId="1" fillId="0" borderId="1" xfId="0" applyNumberFormat="1" applyFont="1" applyBorder="1"/>
    <xf numFmtId="10" fontId="1" fillId="0" borderId="9" xfId="3" applyNumberFormat="1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Border="1"/>
    <xf numFmtId="166" fontId="13" fillId="0" borderId="8" xfId="5" applyNumberFormat="1" applyFont="1" applyBorder="1"/>
    <xf numFmtId="3" fontId="7" fillId="0" borderId="0" xfId="0" applyNumberFormat="1" applyFont="1" applyAlignment="1">
      <alignment horizontal="center" vertical="center"/>
    </xf>
    <xf numFmtId="166" fontId="1" fillId="0" borderId="0" xfId="5" applyNumberFormat="1" applyFont="1"/>
    <xf numFmtId="37" fontId="0" fillId="0" borderId="0" xfId="0" applyNumberFormat="1"/>
    <xf numFmtId="37" fontId="0" fillId="0" borderId="0" xfId="0" applyNumberFormat="1" applyAlignment="1">
      <alignment horizontal="center"/>
    </xf>
    <xf numFmtId="37" fontId="14" fillId="0" borderId="0" xfId="0" applyNumberFormat="1" applyFont="1"/>
    <xf numFmtId="0" fontId="6" fillId="0" borderId="4" xfId="0" applyFont="1" applyBorder="1"/>
    <xf numFmtId="0" fontId="12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19" fillId="0" borderId="0" xfId="0" applyFont="1" applyAlignment="1">
      <alignment horizontal="center"/>
    </xf>
    <xf numFmtId="0" fontId="6" fillId="0" borderId="1" xfId="0" applyFont="1" applyBorder="1"/>
    <xf numFmtId="167" fontId="6" fillId="0" borderId="0" xfId="6" applyNumberFormat="1" applyFont="1" applyAlignment="1"/>
    <xf numFmtId="3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4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1" fillId="0" borderId="0" xfId="0" applyNumberFormat="1" applyFont="1"/>
    <xf numFmtId="166" fontId="1" fillId="0" borderId="0" xfId="1" applyNumberFormat="1" applyFont="1" applyAlignment="1"/>
    <xf numFmtId="3" fontId="20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166" fontId="1" fillId="0" borderId="0" xfId="1" applyNumberFormat="1" applyFont="1" applyAlignment="1">
      <alignment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6" fontId="24" fillId="0" borderId="0" xfId="1" applyNumberFormat="1" applyFont="1" applyAlignment="1">
      <alignment vertical="center"/>
    </xf>
    <xf numFmtId="37" fontId="13" fillId="0" borderId="0" xfId="1" applyNumberFormat="1" applyFont="1" applyBorder="1" applyAlignment="1">
      <alignment vertical="center"/>
    </xf>
    <xf numFmtId="166" fontId="13" fillId="0" borderId="0" xfId="1" applyNumberFormat="1" applyFont="1" applyBorder="1"/>
    <xf numFmtId="166" fontId="1" fillId="0" borderId="6" xfId="1" applyNumberFormat="1" applyFont="1" applyBorder="1" applyAlignment="1">
      <alignment vertical="center"/>
    </xf>
    <xf numFmtId="37" fontId="13" fillId="0" borderId="0" xfId="0" applyNumberFormat="1" applyFont="1" applyAlignment="1">
      <alignment vertical="center"/>
    </xf>
    <xf numFmtId="37" fontId="23" fillId="0" borderId="0" xfId="0" applyNumberFormat="1" applyFont="1" applyAlignment="1">
      <alignment horizontal="center" vertical="center"/>
    </xf>
    <xf numFmtId="10" fontId="1" fillId="0" borderId="0" xfId="3" applyNumberFormat="1" applyFont="1" applyAlignment="1">
      <alignment vertical="center"/>
    </xf>
    <xf numFmtId="10" fontId="1" fillId="3" borderId="0" xfId="3" applyNumberFormat="1" applyFont="1" applyFill="1" applyAlignment="1">
      <alignment vertical="center"/>
    </xf>
    <xf numFmtId="164" fontId="1" fillId="3" borderId="0" xfId="2" applyNumberFormat="1" applyFont="1" applyFill="1" applyAlignment="1">
      <alignment vertical="center"/>
    </xf>
    <xf numFmtId="37" fontId="13" fillId="0" borderId="1" xfId="1" applyNumberFormat="1" applyFont="1" applyBorder="1" applyAlignment="1">
      <alignment vertical="center"/>
    </xf>
    <xf numFmtId="166" fontId="25" fillId="0" borderId="6" xfId="1" applyNumberFormat="1" applyFont="1" applyBorder="1" applyAlignment="1">
      <alignment vertical="center"/>
    </xf>
    <xf numFmtId="166" fontId="1" fillId="3" borderId="0" xfId="1" applyNumberFormat="1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7" fontId="1" fillId="0" borderId="6" xfId="0" applyNumberFormat="1" applyFont="1" applyBorder="1" applyAlignment="1">
      <alignment vertical="center"/>
    </xf>
    <xf numFmtId="166" fontId="25" fillId="3" borderId="0" xfId="1" applyNumberFormat="1" applyFont="1" applyFill="1" applyAlignment="1">
      <alignment vertical="center"/>
    </xf>
    <xf numFmtId="166" fontId="25" fillId="0" borderId="0" xfId="1" applyNumberFormat="1" applyFont="1" applyAlignment="1">
      <alignment vertical="center"/>
    </xf>
    <xf numFmtId="37" fontId="23" fillId="0" borderId="0" xfId="0" applyNumberFormat="1" applyFont="1" applyAlignment="1">
      <alignment horizontal="center"/>
    </xf>
    <xf numFmtId="166" fontId="26" fillId="0" borderId="0" xfId="1" applyNumberFormat="1" applyFont="1" applyAlignment="1">
      <alignment vertical="center"/>
    </xf>
    <xf numFmtId="166" fontId="1" fillId="0" borderId="0" xfId="1" applyNumberFormat="1" applyFont="1"/>
    <xf numFmtId="37" fontId="13" fillId="0" borderId="1" xfId="1" applyNumberFormat="1" applyFont="1" applyBorder="1" applyAlignment="1"/>
    <xf numFmtId="37" fontId="13" fillId="0" borderId="1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166" fontId="1" fillId="0" borderId="6" xfId="1" applyNumberFormat="1" applyFont="1" applyBorder="1"/>
    <xf numFmtId="166" fontId="1" fillId="0" borderId="0" xfId="1" quotePrefix="1" applyNumberFormat="1" applyFont="1" applyBorder="1" applyAlignment="1">
      <alignment vertical="center"/>
    </xf>
    <xf numFmtId="166" fontId="1" fillId="0" borderId="6" xfId="1" quotePrefix="1" applyNumberFormat="1" applyFont="1" applyBorder="1" applyAlignment="1">
      <alignment vertical="center"/>
    </xf>
    <xf numFmtId="166" fontId="1" fillId="0" borderId="0" xfId="1" applyNumberFormat="1" applyFont="1" applyAlignment="1">
      <alignment horizontal="right" vertical="center"/>
    </xf>
    <xf numFmtId="164" fontId="1" fillId="0" borderId="0" xfId="2" applyNumberFormat="1" applyFont="1" applyBorder="1" applyAlignment="1">
      <alignment vertical="center"/>
    </xf>
    <xf numFmtId="164" fontId="1" fillId="0" borderId="6" xfId="2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7" fontId="1" fillId="0" borderId="8" xfId="0" applyNumberFormat="1" applyFont="1" applyBorder="1" applyAlignment="1">
      <alignment vertical="center"/>
    </xf>
    <xf numFmtId="0" fontId="1" fillId="0" borderId="6" xfId="0" applyFont="1" applyBorder="1"/>
    <xf numFmtId="39" fontId="14" fillId="0" borderId="0" xfId="0" applyNumberFormat="1" applyFont="1" applyAlignment="1">
      <alignment horizontal="center"/>
    </xf>
    <xf numFmtId="0" fontId="0" fillId="0" borderId="6" xfId="0" applyBorder="1"/>
    <xf numFmtId="44" fontId="0" fillId="0" borderId="0" xfId="2" applyFont="1" applyBorder="1"/>
    <xf numFmtId="37" fontId="13" fillId="0" borderId="0" xfId="1" applyNumberFormat="1" applyFont="1" applyBorder="1" applyAlignme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7" fontId="0" fillId="0" borderId="0" xfId="1" applyNumberFormat="1" applyFont="1" applyAlignment="1">
      <alignment vertical="center"/>
    </xf>
    <xf numFmtId="37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37" fontId="0" fillId="0" borderId="10" xfId="1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175" fontId="0" fillId="0" borderId="0" xfId="2" applyNumberFormat="1" applyFont="1"/>
    <xf numFmtId="39" fontId="0" fillId="0" borderId="0" xfId="2" applyNumberFormat="1" applyFont="1"/>
    <xf numFmtId="44" fontId="0" fillId="0" borderId="0" xfId="0" applyNumberFormat="1"/>
    <xf numFmtId="44" fontId="0" fillId="0" borderId="10" xfId="2" applyFont="1" applyBorder="1"/>
    <xf numFmtId="3" fontId="1" fillId="0" borderId="8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166" fontId="13" fillId="0" borderId="11" xfId="5" applyNumberFormat="1" applyFont="1" applyBorder="1" applyAlignment="1">
      <alignment horizontal="center"/>
    </xf>
    <xf numFmtId="42" fontId="13" fillId="0" borderId="10" xfId="5" applyNumberFormat="1" applyFont="1" applyBorder="1" applyAlignment="1">
      <alignment horizontal="center"/>
    </xf>
    <xf numFmtId="42" fontId="13" fillId="0" borderId="9" xfId="5" applyNumberFormat="1" applyFont="1" applyBorder="1"/>
    <xf numFmtId="166" fontId="1" fillId="0" borderId="1" xfId="1" applyNumberFormat="1" applyFont="1" applyBorder="1" applyAlignment="1">
      <alignment vertical="center"/>
    </xf>
    <xf numFmtId="37" fontId="14" fillId="0" borderId="0" xfId="0" applyNumberFormat="1" applyFont="1" applyAlignment="1">
      <alignment horizontal="left"/>
    </xf>
    <xf numFmtId="37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37" fontId="14" fillId="0" borderId="1" xfId="0" applyNumberFormat="1" applyFont="1" applyBorder="1" applyAlignment="1">
      <alignment horizontal="center"/>
    </xf>
    <xf numFmtId="171" fontId="14" fillId="0" borderId="0" xfId="0" applyNumberFormat="1" applyFont="1" applyAlignment="1">
      <alignment horizontal="right"/>
    </xf>
    <xf numFmtId="39" fontId="14" fillId="0" borderId="11" xfId="0" applyNumberFormat="1" applyFont="1" applyBorder="1"/>
    <xf numFmtId="37" fontId="14" fillId="0" borderId="0" xfId="0" applyNumberFormat="1" applyFont="1" applyAlignment="1">
      <alignment horizontal="right"/>
    </xf>
    <xf numFmtId="39" fontId="14" fillId="0" borderId="9" xfId="0" applyNumberFormat="1" applyFont="1" applyBorder="1"/>
    <xf numFmtId="39" fontId="14" fillId="0" borderId="0" xfId="0" applyNumberFormat="1" applyFont="1" applyAlignment="1">
      <alignment vertical="center"/>
    </xf>
    <xf numFmtId="39" fontId="14" fillId="2" borderId="0" xfId="0" applyNumberFormat="1" applyFont="1" applyFill="1"/>
    <xf numFmtId="39" fontId="28" fillId="0" borderId="0" xfId="0" applyNumberFormat="1" applyFont="1"/>
    <xf numFmtId="44" fontId="14" fillId="0" borderId="0" xfId="0" applyNumberFormat="1" applyFont="1"/>
    <xf numFmtId="39" fontId="28" fillId="0" borderId="9" xfId="0" applyNumberFormat="1" applyFont="1" applyBorder="1" applyAlignment="1">
      <alignment horizontal="center"/>
    </xf>
    <xf numFmtId="39" fontId="14" fillId="0" borderId="10" xfId="0" applyNumberFormat="1" applyFont="1" applyBorder="1"/>
    <xf numFmtId="37" fontId="14" fillId="0" borderId="9" xfId="0" applyNumberFormat="1" applyFont="1" applyBorder="1"/>
    <xf numFmtId="3" fontId="1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3" fontId="31" fillId="0" borderId="0" xfId="0" applyNumberFormat="1" applyFont="1" applyAlignment="1">
      <alignment horizontal="left" vertical="center"/>
    </xf>
    <xf numFmtId="166" fontId="13" fillId="0" borderId="0" xfId="1" applyNumberFormat="1" applyFont="1"/>
    <xf numFmtId="3" fontId="32" fillId="0" borderId="0" xfId="0" applyNumberFormat="1" applyFont="1"/>
    <xf numFmtId="3" fontId="13" fillId="0" borderId="0" xfId="0" applyNumberFormat="1" applyFont="1"/>
    <xf numFmtId="173" fontId="13" fillId="0" borderId="0" xfId="0" applyNumberFormat="1" applyFont="1"/>
    <xf numFmtId="44" fontId="13" fillId="0" borderId="0" xfId="4" applyFont="1"/>
    <xf numFmtId="43" fontId="13" fillId="0" borderId="0" xfId="5" applyFont="1"/>
    <xf numFmtId="0" fontId="13" fillId="0" borderId="1" xfId="0" applyFont="1" applyBorder="1" applyAlignment="1">
      <alignment horizontal="center"/>
    </xf>
    <xf numFmtId="43" fontId="33" fillId="0" borderId="0" xfId="1" applyFont="1" applyAlignment="1">
      <alignment horizontal="center"/>
    </xf>
    <xf numFmtId="166" fontId="13" fillId="0" borderId="0" xfId="0" applyNumberFormat="1" applyFont="1"/>
    <xf numFmtId="43" fontId="13" fillId="0" borderId="0" xfId="5" applyFont="1" applyAlignment="1">
      <alignment horizontal="right"/>
    </xf>
    <xf numFmtId="43" fontId="13" fillId="0" borderId="0" xfId="1" applyFont="1"/>
    <xf numFmtId="166" fontId="33" fillId="0" borderId="0" xfId="1" applyNumberFormat="1" applyFont="1"/>
    <xf numFmtId="166" fontId="13" fillId="0" borderId="0" xfId="5" applyNumberFormat="1" applyFont="1" applyAlignment="1">
      <alignment horizontal="right"/>
    </xf>
    <xf numFmtId="166" fontId="33" fillId="0" borderId="0" xfId="1" applyNumberFormat="1" applyFont="1" applyBorder="1"/>
    <xf numFmtId="43" fontId="13" fillId="0" borderId="0" xfId="1" applyFont="1" applyAlignment="1">
      <alignment horizontal="right"/>
    </xf>
    <xf numFmtId="166" fontId="18" fillId="0" borderId="0" xfId="5" applyNumberFormat="1" applyFont="1"/>
    <xf numFmtId="43" fontId="13" fillId="0" borderId="0" xfId="1" quotePrefix="1" applyFont="1" applyAlignment="1">
      <alignment horizontal="right"/>
    </xf>
    <xf numFmtId="166" fontId="34" fillId="0" borderId="0" xfId="5" applyNumberFormat="1" applyFont="1"/>
    <xf numFmtId="43" fontId="18" fillId="0" borderId="0" xfId="5" applyFont="1"/>
    <xf numFmtId="0" fontId="18" fillId="0" borderId="0" xfId="0" applyFont="1"/>
    <xf numFmtId="168" fontId="13" fillId="0" borderId="0" xfId="6" applyNumberFormat="1" applyFont="1"/>
    <xf numFmtId="3" fontId="13" fillId="0" borderId="0" xfId="0" applyNumberFormat="1" applyFont="1" applyAlignment="1">
      <alignment horizontal="right"/>
    </xf>
    <xf numFmtId="168" fontId="35" fillId="0" borderId="0" xfId="6" applyNumberFormat="1" applyFont="1"/>
    <xf numFmtId="3" fontId="18" fillId="0" borderId="0" xfId="0" applyNumberFormat="1" applyFont="1"/>
    <xf numFmtId="43" fontId="13" fillId="0" borderId="0" xfId="1" applyFont="1" applyBorder="1"/>
    <xf numFmtId="166" fontId="13" fillId="0" borderId="10" xfId="0" applyNumberFormat="1" applyFont="1" applyBorder="1"/>
    <xf numFmtId="37" fontId="13" fillId="0" borderId="0" xfId="0" applyNumberFormat="1" applyFont="1"/>
    <xf numFmtId="168" fontId="13" fillId="0" borderId="1" xfId="0" applyNumberFormat="1" applyFont="1" applyBorder="1"/>
    <xf numFmtId="165" fontId="13" fillId="0" borderId="0" xfId="0" applyNumberFormat="1" applyFont="1"/>
    <xf numFmtId="37" fontId="13" fillId="0" borderId="9" xfId="0" applyNumberFormat="1" applyFont="1" applyBorder="1"/>
    <xf numFmtId="0" fontId="36" fillId="0" borderId="0" xfId="0" applyFont="1" applyAlignment="1">
      <alignment horizontal="center"/>
    </xf>
    <xf numFmtId="166" fontId="37" fillId="0" borderId="0" xfId="1" applyNumberFormat="1" applyFont="1"/>
    <xf numFmtId="43" fontId="33" fillId="0" borderId="0" xfId="5" applyFont="1" applyAlignment="1">
      <alignment horizontal="center"/>
    </xf>
    <xf numFmtId="166" fontId="13" fillId="0" borderId="0" xfId="1" applyNumberFormat="1" applyFont="1" applyAlignment="1">
      <alignment horizontal="center" vertical="center"/>
    </xf>
    <xf numFmtId="0" fontId="37" fillId="0" borderId="0" xfId="0" applyFont="1"/>
    <xf numFmtId="43" fontId="33" fillId="0" borderId="0" xfId="1" applyFont="1" applyAlignment="1">
      <alignment horizontal="left"/>
    </xf>
    <xf numFmtId="43" fontId="13" fillId="0" borderId="0" xfId="1" applyFont="1" applyAlignment="1">
      <alignment horizontal="center"/>
    </xf>
    <xf numFmtId="0" fontId="38" fillId="0" borderId="0" xfId="0" applyFont="1"/>
    <xf numFmtId="164" fontId="38" fillId="0" borderId="9" xfId="2" applyNumberFormat="1" applyFont="1" applyBorder="1"/>
    <xf numFmtId="9" fontId="13" fillId="0" borderId="0" xfId="6" applyFont="1"/>
    <xf numFmtId="164" fontId="13" fillId="0" borderId="0" xfId="2" applyNumberFormat="1" applyFont="1"/>
    <xf numFmtId="166" fontId="13" fillId="0" borderId="0" xfId="1" applyNumberFormat="1" applyFont="1" applyFill="1" applyBorder="1"/>
    <xf numFmtId="10" fontId="13" fillId="0" borderId="1" xfId="0" applyNumberFormat="1" applyFont="1" applyBorder="1"/>
    <xf numFmtId="43" fontId="33" fillId="0" borderId="0" xfId="5" applyFont="1"/>
    <xf numFmtId="166" fontId="33" fillId="0" borderId="0" xfId="1" applyNumberFormat="1" applyFont="1" applyFill="1" applyBorder="1"/>
    <xf numFmtId="43" fontId="37" fillId="0" borderId="0" xfId="1" applyFont="1"/>
    <xf numFmtId="43" fontId="13" fillId="0" borderId="0" xfId="0" applyNumberFormat="1" applyFont="1"/>
    <xf numFmtId="9" fontId="13" fillId="0" borderId="0" xfId="6" applyFont="1" applyAlignment="1">
      <alignment horizontal="right"/>
    </xf>
    <xf numFmtId="166" fontId="18" fillId="0" borderId="9" xfId="1" applyNumberFormat="1" applyFont="1" applyBorder="1" applyAlignment="1">
      <alignment horizontal="center"/>
    </xf>
    <xf numFmtId="166" fontId="18" fillId="0" borderId="0" xfId="1" applyNumberFormat="1" applyFont="1"/>
    <xf numFmtId="166" fontId="37" fillId="0" borderId="1" xfId="1" applyNumberFormat="1" applyFont="1" applyBorder="1"/>
    <xf numFmtId="43" fontId="18" fillId="0" borderId="0" xfId="5" applyFont="1" applyAlignment="1">
      <alignment horizontal="right"/>
    </xf>
    <xf numFmtId="3" fontId="13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center"/>
    </xf>
    <xf numFmtId="166" fontId="13" fillId="0" borderId="4" xfId="1" applyNumberFormat="1" applyFont="1" applyBorder="1"/>
    <xf numFmtId="0" fontId="14" fillId="0" borderId="0" xfId="0" applyFont="1"/>
    <xf numFmtId="0" fontId="0" fillId="0" borderId="3" xfId="0" applyBorder="1"/>
    <xf numFmtId="37" fontId="1" fillId="0" borderId="4" xfId="0" applyNumberFormat="1" applyFont="1" applyBorder="1"/>
    <xf numFmtId="0" fontId="0" fillId="0" borderId="4" xfId="0" applyBorder="1"/>
    <xf numFmtId="0" fontId="0" fillId="0" borderId="5" xfId="0" applyBorder="1"/>
    <xf numFmtId="175" fontId="0" fillId="0" borderId="0" xfId="2" applyNumberFormat="1" applyFont="1" applyBorder="1"/>
    <xf numFmtId="0" fontId="0" fillId="0" borderId="7" xfId="0" applyBorder="1"/>
    <xf numFmtId="175" fontId="0" fillId="0" borderId="1" xfId="2" applyNumberFormat="1" applyFont="1" applyBorder="1"/>
    <xf numFmtId="0" fontId="0" fillId="0" borderId="8" xfId="0" applyBorder="1"/>
    <xf numFmtId="166" fontId="1" fillId="0" borderId="0" xfId="0" applyNumberFormat="1" applyFont="1" applyAlignment="1">
      <alignment horizontal="left" vertical="center"/>
    </xf>
    <xf numFmtId="172" fontId="0" fillId="0" borderId="1" xfId="2" applyNumberFormat="1" applyFont="1" applyBorder="1"/>
    <xf numFmtId="176" fontId="0" fillId="0" borderId="0" xfId="3" applyNumberFormat="1" applyFont="1"/>
    <xf numFmtId="0" fontId="1" fillId="0" borderId="0" xfId="0" applyFont="1" applyAlignment="1">
      <alignment horizontal="left" vertical="center"/>
    </xf>
    <xf numFmtId="37" fontId="0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37" fontId="1" fillId="0" borderId="0" xfId="5" applyNumberFormat="1" applyFont="1" applyAlignment="1">
      <alignment vertical="center"/>
    </xf>
    <xf numFmtId="166" fontId="13" fillId="0" borderId="1" xfId="0" applyNumberFormat="1" applyFont="1" applyBorder="1" applyAlignment="1">
      <alignment horizontal="center"/>
    </xf>
    <xf numFmtId="168" fontId="18" fillId="0" borderId="9" xfId="6" applyNumberFormat="1" applyFont="1" applyBorder="1"/>
    <xf numFmtId="43" fontId="33" fillId="0" borderId="0" xfId="1" applyFont="1" applyBorder="1" applyAlignment="1">
      <alignment horizontal="center"/>
    </xf>
    <xf numFmtId="174" fontId="13" fillId="0" borderId="0" xfId="1" applyNumberFormat="1" applyFont="1" applyBorder="1"/>
    <xf numFmtId="169" fontId="13" fillId="0" borderId="0" xfId="1" applyNumberFormat="1" applyFont="1" applyBorder="1"/>
    <xf numFmtId="43" fontId="33" fillId="0" borderId="0" xfId="1" applyFont="1" applyBorder="1"/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3" fontId="18" fillId="0" borderId="0" xfId="1" applyFont="1" applyBorder="1"/>
    <xf numFmtId="43" fontId="18" fillId="0" borderId="0" xfId="5" applyFont="1" applyBorder="1"/>
    <xf numFmtId="0" fontId="28" fillId="0" borderId="0" xfId="0" applyFont="1" applyAlignment="1">
      <alignment horizontal="center"/>
    </xf>
    <xf numFmtId="177" fontId="2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77" fontId="1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1" xfId="0" applyNumberFormat="1" applyFont="1" applyBorder="1" applyAlignment="1">
      <alignment vertical="center"/>
    </xf>
    <xf numFmtId="44" fontId="14" fillId="0" borderId="10" xfId="0" applyNumberFormat="1" applyFont="1" applyBorder="1" applyAlignment="1">
      <alignment vertical="center"/>
    </xf>
    <xf numFmtId="39" fontId="1" fillId="0" borderId="0" xfId="0" applyNumberFormat="1" applyFont="1"/>
    <xf numFmtId="39" fontId="0" fillId="0" borderId="1" xfId="0" applyNumberFormat="1" applyBorder="1"/>
    <xf numFmtId="39" fontId="0" fillId="0" borderId="10" xfId="0" applyNumberFormat="1" applyBorder="1"/>
    <xf numFmtId="39" fontId="0" fillId="0" borderId="9" xfId="0" applyNumberFormat="1" applyBorder="1"/>
    <xf numFmtId="39" fontId="14" fillId="2" borderId="0" xfId="0" applyNumberFormat="1" applyFont="1" applyFill="1" applyAlignment="1">
      <alignment vertical="center"/>
    </xf>
    <xf numFmtId="39" fontId="0" fillId="2" borderId="0" xfId="0" applyNumberFormat="1" applyFill="1"/>
    <xf numFmtId="39" fontId="1" fillId="2" borderId="0" xfId="0" applyNumberFormat="1" applyFont="1" applyFill="1"/>
    <xf numFmtId="3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" fontId="28" fillId="0" borderId="0" xfId="0" applyNumberFormat="1" applyFont="1"/>
    <xf numFmtId="3" fontId="28" fillId="0" borderId="0" xfId="0" applyNumberFormat="1" applyFont="1"/>
    <xf numFmtId="1" fontId="28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1" fontId="28" fillId="0" borderId="1" xfId="0" applyNumberFormat="1" applyFont="1" applyBorder="1" applyAlignment="1">
      <alignment horizontal="center"/>
    </xf>
    <xf numFmtId="3" fontId="28" fillId="0" borderId="1" xfId="0" applyNumberFormat="1" applyFont="1" applyBorder="1" applyAlignment="1">
      <alignment horizontal="center"/>
    </xf>
    <xf numFmtId="3" fontId="28" fillId="0" borderId="10" xfId="0" applyNumberFormat="1" applyFont="1" applyBorder="1"/>
    <xf numFmtId="38" fontId="37" fillId="0" borderId="0" xfId="0" applyNumberFormat="1" applyFont="1"/>
    <xf numFmtId="38" fontId="13" fillId="0" borderId="1" xfId="1" applyNumberFormat="1" applyFont="1" applyBorder="1" applyAlignment="1"/>
    <xf numFmtId="38" fontId="18" fillId="0" borderId="9" xfId="1" applyNumberFormat="1" applyFont="1" applyBorder="1" applyAlignment="1"/>
    <xf numFmtId="38" fontId="13" fillId="0" borderId="0" xfId="1" applyNumberFormat="1" applyFont="1" applyAlignment="1"/>
    <xf numFmtId="38" fontId="13" fillId="0" borderId="0" xfId="0" applyNumberFormat="1" applyFont="1"/>
    <xf numFmtId="38" fontId="13" fillId="0" borderId="10" xfId="0" applyNumberFormat="1" applyFont="1" applyBorder="1"/>
    <xf numFmtId="10" fontId="13" fillId="0" borderId="1" xfId="3" applyNumberFormat="1" applyFont="1" applyBorder="1" applyAlignment="1"/>
    <xf numFmtId="170" fontId="14" fillId="0" borderId="1" xfId="0" applyNumberFormat="1" applyFont="1" applyBorder="1" applyAlignment="1">
      <alignment horizontal="center"/>
    </xf>
    <xf numFmtId="39" fontId="14" fillId="0" borderId="1" xfId="0" applyNumberFormat="1" applyFont="1" applyBorder="1"/>
    <xf numFmtId="39" fontId="14" fillId="0" borderId="0" xfId="0" applyNumberFormat="1" applyFont="1" applyAlignment="1">
      <alignment horizontal="left" indent="1"/>
    </xf>
    <xf numFmtId="39" fontId="14" fillId="0" borderId="2" xfId="0" applyNumberFormat="1" applyFont="1" applyBorder="1"/>
    <xf numFmtId="39" fontId="14" fillId="0" borderId="6" xfId="0" applyNumberFormat="1" applyFont="1" applyBorder="1"/>
    <xf numFmtId="39" fontId="14" fillId="0" borderId="0" xfId="0" applyNumberFormat="1" applyFont="1" applyAlignment="1">
      <alignment horizontal="left" indent="2"/>
    </xf>
    <xf numFmtId="37" fontId="14" fillId="0" borderId="0" xfId="0" applyNumberFormat="1" applyFont="1" applyAlignment="1">
      <alignment horizontal="left" indent="2"/>
    </xf>
    <xf numFmtId="39" fontId="14" fillId="0" borderId="0" xfId="0" applyNumberFormat="1" applyFont="1" applyAlignment="1">
      <alignment horizontal="left" indent="3"/>
    </xf>
    <xf numFmtId="39" fontId="14" fillId="0" borderId="7" xfId="0" applyNumberFormat="1" applyFont="1" applyBorder="1"/>
    <xf numFmtId="39" fontId="14" fillId="0" borderId="8" xfId="0" applyNumberFormat="1" applyFont="1" applyBorder="1"/>
    <xf numFmtId="0" fontId="21" fillId="0" borderId="0" xfId="0" applyFont="1"/>
    <xf numFmtId="0" fontId="24" fillId="0" borderId="0" xfId="0" applyFont="1"/>
    <xf numFmtId="0" fontId="4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4" fontId="1" fillId="0" borderId="0" xfId="2" applyFont="1" applyBorder="1"/>
    <xf numFmtId="172" fontId="1" fillId="0" borderId="0" xfId="2" applyNumberFormat="1" applyFont="1" applyBorder="1"/>
    <xf numFmtId="166" fontId="1" fillId="0" borderId="0" xfId="5" applyNumberFormat="1" applyFont="1" applyBorder="1" applyAlignment="1"/>
    <xf numFmtId="175" fontId="1" fillId="0" borderId="0" xfId="2" applyNumberFormat="1" applyFont="1" applyBorder="1"/>
    <xf numFmtId="37" fontId="22" fillId="0" borderId="0" xfId="0" applyNumberFormat="1" applyFont="1"/>
    <xf numFmtId="0" fontId="1" fillId="0" borderId="5" xfId="0" applyFont="1" applyBorder="1"/>
    <xf numFmtId="167" fontId="1" fillId="0" borderId="6" xfId="6" applyNumberFormat="1" applyFont="1" applyBorder="1" applyAlignment="1"/>
    <xf numFmtId="0" fontId="1" fillId="0" borderId="1" xfId="0" applyFont="1" applyBorder="1"/>
    <xf numFmtId="0" fontId="24" fillId="0" borderId="1" xfId="0" applyFont="1" applyBorder="1"/>
    <xf numFmtId="0" fontId="1" fillId="0" borderId="8" xfId="0" applyFont="1" applyBorder="1"/>
    <xf numFmtId="10" fontId="0" fillId="0" borderId="0" xfId="6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0" fontId="1" fillId="0" borderId="1" xfId="6" applyNumberFormat="1" applyFont="1" applyBorder="1" applyAlignment="1">
      <alignment horizontal="center"/>
    </xf>
    <xf numFmtId="43" fontId="0" fillId="0" borderId="0" xfId="1" applyFont="1"/>
    <xf numFmtId="37" fontId="1" fillId="0" borderId="0" xfId="0" applyNumberFormat="1" applyFont="1" applyAlignment="1">
      <alignment horizontal="center" vertical="center"/>
    </xf>
    <xf numFmtId="178" fontId="0" fillId="0" borderId="0" xfId="0" applyNumberFormat="1"/>
    <xf numFmtId="178" fontId="1" fillId="0" borderId="0" xfId="2" applyNumberFormat="1" applyFont="1" applyBorder="1"/>
    <xf numFmtId="37" fontId="4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1" fontId="14" fillId="0" borderId="0" xfId="0" quotePrefix="1" applyNumberFormat="1" applyFont="1" applyAlignment="1">
      <alignment horizontal="center"/>
    </xf>
    <xf numFmtId="3" fontId="24" fillId="0" borderId="0" xfId="0" applyNumberFormat="1" applyFont="1"/>
    <xf numFmtId="166" fontId="24" fillId="0" borderId="0" xfId="1" applyNumberFormat="1" applyFont="1" applyAlignment="1"/>
    <xf numFmtId="164" fontId="24" fillId="0" borderId="0" xfId="0" applyNumberFormat="1" applyFont="1" applyAlignment="1">
      <alignment vertical="center"/>
    </xf>
    <xf numFmtId="166" fontId="24" fillId="0" borderId="1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9" fontId="13" fillId="0" borderId="0" xfId="0" applyNumberFormat="1" applyFont="1"/>
    <xf numFmtId="43" fontId="0" fillId="0" borderId="0" xfId="0" applyNumberFormat="1"/>
    <xf numFmtId="9" fontId="1" fillId="0" borderId="0" xfId="3" applyFont="1" applyBorder="1"/>
    <xf numFmtId="9" fontId="1" fillId="0" borderId="0" xfId="0" applyNumberFormat="1" applyFont="1"/>
    <xf numFmtId="9" fontId="1" fillId="0" borderId="0" xfId="2" applyNumberFormat="1" applyFont="1" applyBorder="1"/>
    <xf numFmtId="0" fontId="22" fillId="0" borderId="0" xfId="0" applyFont="1" applyAlignment="1">
      <alignment horizontal="center"/>
    </xf>
    <xf numFmtId="44" fontId="1" fillId="0" borderId="0" xfId="4" applyFont="1" applyBorder="1"/>
    <xf numFmtId="9" fontId="1" fillId="0" borderId="0" xfId="6" applyFont="1" applyBorder="1" applyAlignment="1">
      <alignment horizontal="center"/>
    </xf>
    <xf numFmtId="44" fontId="1" fillId="0" borderId="0" xfId="0" applyNumberFormat="1" applyFont="1"/>
    <xf numFmtId="172" fontId="1" fillId="0" borderId="0" xfId="4" applyNumberFormat="1" applyFont="1" applyBorder="1"/>
    <xf numFmtId="166" fontId="1" fillId="0" borderId="0" xfId="0" applyNumberFormat="1" applyFont="1"/>
    <xf numFmtId="9" fontId="1" fillId="0" borderId="0" xfId="6" applyFont="1"/>
    <xf numFmtId="175" fontId="1" fillId="0" borderId="0" xfId="4" applyNumberFormat="1" applyFont="1" applyBorder="1"/>
    <xf numFmtId="0" fontId="1" fillId="0" borderId="4" xfId="0" applyFont="1" applyBorder="1"/>
    <xf numFmtId="9" fontId="0" fillId="0" borderId="0" xfId="3" applyFont="1" applyBorder="1"/>
    <xf numFmtId="9" fontId="0" fillId="0" borderId="0" xfId="0" applyNumberFormat="1"/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Border="1" applyAlignment="1"/>
    <xf numFmtId="37" fontId="6" fillId="0" borderId="1" xfId="0" applyNumberFormat="1" applyFont="1" applyBorder="1"/>
    <xf numFmtId="164" fontId="6" fillId="0" borderId="9" xfId="0" applyNumberFormat="1" applyFont="1" applyBorder="1" applyAlignment="1">
      <alignment vertical="center"/>
    </xf>
    <xf numFmtId="37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3" fontId="45" fillId="0" borderId="0" xfId="0" applyNumberFormat="1" applyFont="1"/>
    <xf numFmtId="42" fontId="6" fillId="0" borderId="0" xfId="0" applyNumberFormat="1" applyFont="1"/>
    <xf numFmtId="3" fontId="1" fillId="0" borderId="6" xfId="0" applyNumberFormat="1" applyFont="1" applyBorder="1"/>
    <xf numFmtId="167" fontId="1" fillId="0" borderId="9" xfId="3" applyNumberFormat="1" applyFont="1" applyBorder="1"/>
    <xf numFmtId="172" fontId="0" fillId="0" borderId="0" xfId="2" applyNumberFormat="1" applyFont="1"/>
    <xf numFmtId="3" fontId="20" fillId="0" borderId="0" xfId="0" applyNumberFormat="1" applyFont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43" fontId="25" fillId="0" borderId="0" xfId="1" applyFont="1" applyBorder="1" applyAlignment="1">
      <alignment horizontal="center" vertical="center"/>
    </xf>
    <xf numFmtId="39" fontId="14" fillId="0" borderId="1" xfId="0" applyNumberFormat="1" applyFont="1" applyBorder="1" applyAlignment="1">
      <alignment horizontal="center"/>
    </xf>
    <xf numFmtId="44" fontId="14" fillId="0" borderId="1" xfId="0" applyNumberFormat="1" applyFont="1" applyBorder="1" applyAlignment="1">
      <alignment horizontal="center"/>
    </xf>
    <xf numFmtId="37" fontId="29" fillId="0" borderId="0" xfId="0" applyNumberFormat="1" applyFont="1" applyAlignment="1">
      <alignment horizontal="center"/>
    </xf>
    <xf numFmtId="39" fontId="29" fillId="0" borderId="0" xfId="0" applyNumberFormat="1" applyFont="1" applyAlignment="1">
      <alignment horizontal="center"/>
    </xf>
    <xf numFmtId="166" fontId="15" fillId="0" borderId="0" xfId="5" applyNumberFormat="1" applyFont="1" applyBorder="1" applyAlignment="1">
      <alignment horizontal="center"/>
    </xf>
    <xf numFmtId="166" fontId="16" fillId="0" borderId="0" xfId="5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66" fontId="1" fillId="0" borderId="0" xfId="5" applyNumberFormat="1" applyFont="1" applyBorder="1" applyAlignment="1">
      <alignment horizontal="center"/>
    </xf>
    <xf numFmtId="166" fontId="13" fillId="0" borderId="11" xfId="5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0" xfId="0" applyNumberFormat="1" applyFont="1" applyAlignment="1">
      <alignment horizontal="center"/>
    </xf>
    <xf numFmtId="3" fontId="40" fillId="0" borderId="6" xfId="0" applyNumberFormat="1" applyFont="1" applyBorder="1" applyAlignment="1">
      <alignment horizontal="center"/>
    </xf>
    <xf numFmtId="170" fontId="14" fillId="0" borderId="1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66" fontId="13" fillId="0" borderId="1" xfId="5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7" fontId="42" fillId="0" borderId="0" xfId="0" applyNumberFormat="1" applyFont="1" applyAlignment="1">
      <alignment horizontal="center"/>
    </xf>
    <xf numFmtId="37" fontId="42" fillId="0" borderId="4" xfId="0" applyNumberFormat="1" applyFont="1" applyBorder="1" applyAlignment="1">
      <alignment horizontal="center"/>
    </xf>
    <xf numFmtId="37" fontId="40" fillId="0" borderId="0" xfId="0" applyNumberFormat="1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Y62"/>
  <sheetViews>
    <sheetView showGridLines="0" zoomScale="90" zoomScaleNormal="90" workbookViewId="0">
      <selection activeCell="H20" sqref="H20"/>
    </sheetView>
  </sheetViews>
  <sheetFormatPr defaultColWidth="8.84375" defaultRowHeight="15.5" x14ac:dyDescent="0.35"/>
  <cols>
    <col min="1" max="1" width="3.53515625" style="27" customWidth="1"/>
    <col min="2" max="2" width="1.765625" style="27" customWidth="1"/>
    <col min="3" max="3" width="3.69140625" style="88" customWidth="1"/>
    <col min="4" max="4" width="2.69140625" style="88" customWidth="1"/>
    <col min="5" max="5" width="30.07421875" style="88" customWidth="1"/>
    <col min="6" max="6" width="14.765625" style="88" customWidth="1"/>
    <col min="7" max="7" width="1.765625" style="88" customWidth="1"/>
    <col min="8" max="8" width="14.765625" style="88" customWidth="1"/>
    <col min="9" max="9" width="1.765625" style="88" customWidth="1"/>
    <col min="10" max="10" width="4.84375" style="84" customWidth="1"/>
    <col min="11" max="11" width="1.765625" style="84" customWidth="1"/>
    <col min="12" max="12" width="14.765625" style="88" customWidth="1"/>
    <col min="13" max="13" width="1.53515625" style="88" customWidth="1"/>
    <col min="14" max="14" width="9.69140625" style="105" customWidth="1"/>
    <col min="15" max="15" width="11.3046875" style="88" customWidth="1"/>
    <col min="16" max="16" width="17.84375" style="89" customWidth="1"/>
    <col min="17" max="17" width="18" style="88" customWidth="1"/>
    <col min="18" max="18" width="11.3046875" style="88" customWidth="1"/>
    <col min="19" max="259" width="9.69140625" style="88" customWidth="1"/>
    <col min="260" max="261" width="9.69140625" style="27" customWidth="1"/>
    <col min="262" max="16384" width="8.84375" style="27"/>
  </cols>
  <sheetData>
    <row r="2" spans="2:23" ht="7" customHeight="1" x14ac:dyDescent="0.35">
      <c r="B2" s="67"/>
      <c r="C2" s="85"/>
      <c r="D2" s="85"/>
      <c r="E2" s="85"/>
      <c r="F2" s="85"/>
      <c r="G2" s="85"/>
      <c r="H2" s="85"/>
      <c r="I2" s="85"/>
      <c r="J2" s="86"/>
      <c r="K2" s="86"/>
      <c r="L2" s="85"/>
      <c r="M2" s="87"/>
    </row>
    <row r="3" spans="2:23" x14ac:dyDescent="0.35">
      <c r="B3" s="68"/>
      <c r="C3" s="372" t="s">
        <v>20</v>
      </c>
      <c r="D3" s="372"/>
      <c r="E3" s="372"/>
      <c r="F3" s="372"/>
      <c r="G3" s="372"/>
      <c r="H3" s="372"/>
      <c r="I3" s="372"/>
      <c r="J3" s="372"/>
      <c r="K3" s="372"/>
      <c r="L3" s="372"/>
      <c r="M3" s="91"/>
      <c r="O3" s="92"/>
      <c r="P3" s="93"/>
      <c r="Q3" s="92"/>
      <c r="R3" s="92"/>
      <c r="S3" s="92"/>
      <c r="T3" s="92"/>
    </row>
    <row r="4" spans="2:23" ht="18.75" customHeight="1" x14ac:dyDescent="0.35">
      <c r="B4" s="68"/>
      <c r="C4" s="372" t="str">
        <f>Adjustments!B1</f>
        <v>Morgan County Water District</v>
      </c>
      <c r="D4" s="372"/>
      <c r="E4" s="372"/>
      <c r="F4" s="372"/>
      <c r="G4" s="372"/>
      <c r="H4" s="372"/>
      <c r="I4" s="372"/>
      <c r="J4" s="372"/>
      <c r="K4" s="372"/>
      <c r="L4" s="372"/>
      <c r="M4" s="94"/>
      <c r="O4" s="27"/>
      <c r="P4" s="93"/>
      <c r="Q4" s="90"/>
      <c r="R4" s="90"/>
      <c r="S4" s="90"/>
      <c r="T4" s="90"/>
      <c r="U4" s="90"/>
      <c r="V4" s="90"/>
      <c r="W4" s="90"/>
    </row>
    <row r="5" spans="2:23" ht="7" customHeight="1" x14ac:dyDescent="0.35">
      <c r="B5" s="69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O5" s="27"/>
      <c r="P5" s="93"/>
      <c r="Q5" s="90"/>
      <c r="R5" s="90"/>
      <c r="S5" s="90"/>
      <c r="T5" s="90"/>
      <c r="U5" s="90"/>
      <c r="V5" s="90"/>
      <c r="W5" s="90"/>
    </row>
    <row r="6" spans="2:23" ht="7" customHeight="1" x14ac:dyDescent="0.35">
      <c r="B6" s="68"/>
      <c r="C6" s="92"/>
      <c r="D6" s="92"/>
      <c r="E6" s="92"/>
      <c r="F6" s="97"/>
      <c r="G6" s="97"/>
      <c r="H6" s="97"/>
      <c r="I6" s="97"/>
      <c r="J6" s="97"/>
      <c r="K6" s="97"/>
      <c r="L6" s="97"/>
      <c r="M6" s="98"/>
      <c r="O6" s="92"/>
      <c r="P6" s="93"/>
      <c r="Q6" s="92"/>
      <c r="R6" s="92"/>
      <c r="S6" s="92"/>
      <c r="T6" s="92"/>
    </row>
    <row r="7" spans="2:23" x14ac:dyDescent="0.35">
      <c r="B7" s="68"/>
      <c r="C7" s="92"/>
      <c r="D7" s="92"/>
      <c r="E7" s="92"/>
      <c r="F7" s="95" t="s">
        <v>57</v>
      </c>
      <c r="G7" s="97"/>
      <c r="H7" s="95" t="s">
        <v>19</v>
      </c>
      <c r="I7" s="97"/>
      <c r="J7" s="95" t="s">
        <v>33</v>
      </c>
      <c r="K7" s="97"/>
      <c r="L7" s="95" t="s">
        <v>56</v>
      </c>
      <c r="M7" s="98"/>
      <c r="O7" s="93"/>
      <c r="P7" s="93"/>
      <c r="Q7" s="93"/>
      <c r="R7" s="92"/>
      <c r="S7" s="92"/>
      <c r="T7" s="92"/>
    </row>
    <row r="8" spans="2:23" x14ac:dyDescent="0.35">
      <c r="B8" s="68"/>
      <c r="C8" s="99" t="s">
        <v>2</v>
      </c>
      <c r="D8" s="92"/>
      <c r="E8" s="92"/>
      <c r="F8" s="92"/>
      <c r="G8" s="92"/>
      <c r="I8" s="92"/>
      <c r="J8" s="100"/>
      <c r="K8" s="100"/>
      <c r="L8" s="92"/>
      <c r="M8" s="101"/>
      <c r="O8" s="93"/>
      <c r="P8" s="93"/>
      <c r="Q8" s="93"/>
      <c r="R8" s="92"/>
      <c r="S8" s="92"/>
      <c r="T8" s="92"/>
    </row>
    <row r="9" spans="2:23" x14ac:dyDescent="0.35">
      <c r="B9" s="68"/>
      <c r="C9" s="92"/>
      <c r="D9" s="92" t="s">
        <v>90</v>
      </c>
      <c r="E9" s="92"/>
      <c r="F9" s="102">
        <v>1922574</v>
      </c>
      <c r="G9" s="102"/>
      <c r="H9" s="102">
        <v>-32431</v>
      </c>
      <c r="I9" s="102"/>
      <c r="J9" s="103" t="s">
        <v>62</v>
      </c>
      <c r="K9" s="103"/>
      <c r="M9" s="104"/>
      <c r="N9" s="105" t="s">
        <v>321</v>
      </c>
      <c r="O9" s="93"/>
      <c r="P9" s="93"/>
      <c r="Q9" s="93"/>
      <c r="R9" s="92"/>
      <c r="S9" s="92"/>
      <c r="T9" s="92"/>
    </row>
    <row r="10" spans="2:23" x14ac:dyDescent="0.35">
      <c r="B10" s="68"/>
      <c r="C10" s="92"/>
      <c r="D10" s="27"/>
      <c r="E10" s="92"/>
      <c r="F10" s="109"/>
      <c r="G10" s="109"/>
      <c r="H10" s="106">
        <f>'ExBA - Beg. Rates'!H16</f>
        <v>-8801.9299999999348</v>
      </c>
      <c r="I10" s="106"/>
      <c r="J10" s="110" t="s">
        <v>63</v>
      </c>
      <c r="K10" s="110"/>
      <c r="L10" s="62">
        <f>SUM(F9,H9:H10)</f>
        <v>1881341.07</v>
      </c>
      <c r="M10" s="104"/>
      <c r="N10" s="105" t="s">
        <v>163</v>
      </c>
      <c r="O10" s="93"/>
      <c r="P10" s="93"/>
      <c r="Q10" s="93"/>
      <c r="R10" s="92"/>
      <c r="S10" s="92"/>
      <c r="T10" s="92"/>
    </row>
    <row r="11" spans="2:23" x14ac:dyDescent="0.35">
      <c r="B11" s="68"/>
      <c r="C11" s="92"/>
      <c r="D11" s="92" t="s">
        <v>27</v>
      </c>
      <c r="E11" s="92"/>
      <c r="F11" s="109"/>
      <c r="G11" s="109"/>
      <c r="H11" s="106"/>
      <c r="I11" s="106"/>
      <c r="J11" s="110"/>
      <c r="K11" s="110"/>
      <c r="L11" s="62"/>
      <c r="M11" s="104"/>
      <c r="O11" s="93"/>
      <c r="P11" s="93"/>
      <c r="Q11" s="93"/>
      <c r="R11" s="92"/>
      <c r="S11" s="92"/>
      <c r="T11" s="92"/>
    </row>
    <row r="12" spans="2:23" x14ac:dyDescent="0.35">
      <c r="B12" s="68"/>
      <c r="C12" s="92"/>
      <c r="D12" s="92"/>
      <c r="E12" s="92" t="s">
        <v>25</v>
      </c>
      <c r="F12" s="106"/>
      <c r="G12" s="106"/>
      <c r="H12" s="106">
        <f>-H9</f>
        <v>32431</v>
      </c>
      <c r="I12" s="106"/>
      <c r="J12" s="110" t="s">
        <v>62</v>
      </c>
      <c r="K12" s="110"/>
      <c r="L12" s="106">
        <f>SUM(F12,H12)</f>
        <v>32431</v>
      </c>
      <c r="M12" s="108"/>
      <c r="N12" s="105" t="s">
        <v>321</v>
      </c>
      <c r="O12" s="93"/>
      <c r="P12" s="93"/>
      <c r="Q12" s="111"/>
      <c r="R12" s="92"/>
      <c r="S12" s="92"/>
      <c r="T12" s="92"/>
    </row>
    <row r="13" spans="2:23" x14ac:dyDescent="0.35">
      <c r="B13" s="68"/>
      <c r="C13" s="92"/>
      <c r="D13" s="92"/>
      <c r="E13" s="92" t="s">
        <v>26</v>
      </c>
      <c r="F13" s="106"/>
      <c r="G13" s="106"/>
      <c r="H13" s="106"/>
      <c r="I13" s="106"/>
      <c r="J13" s="110"/>
      <c r="K13" s="110"/>
      <c r="L13" s="106"/>
      <c r="M13" s="108"/>
      <c r="O13" s="93"/>
      <c r="Q13" s="112"/>
      <c r="R13" s="113"/>
      <c r="S13" s="92"/>
      <c r="T13" s="92"/>
    </row>
    <row r="14" spans="2:23" ht="18.5" x14ac:dyDescent="0.35">
      <c r="B14" s="68"/>
      <c r="C14" s="92"/>
      <c r="D14" s="92"/>
      <c r="E14" s="27" t="s">
        <v>92</v>
      </c>
      <c r="F14" s="114">
        <v>229652</v>
      </c>
      <c r="G14" s="106"/>
      <c r="H14" s="114">
        <v>-198825</v>
      </c>
      <c r="I14" s="106"/>
      <c r="J14" s="110" t="s">
        <v>64</v>
      </c>
      <c r="K14" s="110"/>
      <c r="L14" s="114">
        <f>F14+H14</f>
        <v>30827</v>
      </c>
      <c r="M14" s="115"/>
      <c r="N14" s="105" t="s">
        <v>320</v>
      </c>
      <c r="O14" s="93"/>
      <c r="Q14" s="112"/>
      <c r="R14" s="116"/>
      <c r="S14" s="92"/>
      <c r="T14" s="92"/>
    </row>
    <row r="15" spans="2:23" x14ac:dyDescent="0.35">
      <c r="B15" s="68"/>
      <c r="C15" s="117" t="s">
        <v>3</v>
      </c>
      <c r="D15" s="92"/>
      <c r="E15" s="92"/>
      <c r="F15" s="109">
        <f>SUM(F9:F14)</f>
        <v>2152226</v>
      </c>
      <c r="G15" s="109"/>
      <c r="H15" s="109">
        <f>SUM(H9:H14)</f>
        <v>-207626.92999999993</v>
      </c>
      <c r="I15" s="109"/>
      <c r="J15" s="110"/>
      <c r="K15" s="110"/>
      <c r="L15" s="109">
        <f>SUM(L9:L14)</f>
        <v>1944599.07</v>
      </c>
      <c r="M15" s="104"/>
      <c r="O15" s="93"/>
      <c r="Q15" s="112"/>
      <c r="R15" s="116"/>
      <c r="S15" s="92"/>
      <c r="T15" s="92"/>
    </row>
    <row r="16" spans="2:23" x14ac:dyDescent="0.35">
      <c r="B16" s="68"/>
      <c r="C16" s="92"/>
      <c r="D16" s="92"/>
      <c r="E16" s="92"/>
      <c r="F16" s="109"/>
      <c r="G16" s="109"/>
      <c r="H16" s="106"/>
      <c r="I16" s="106"/>
      <c r="J16" s="110"/>
      <c r="K16" s="110"/>
      <c r="L16" s="109"/>
      <c r="M16" s="118"/>
      <c r="O16" s="93"/>
      <c r="Q16" s="112"/>
      <c r="R16" s="116"/>
      <c r="S16" s="92"/>
      <c r="T16" s="92"/>
    </row>
    <row r="17" spans="2:20" ht="18.5" x14ac:dyDescent="0.35">
      <c r="B17" s="68"/>
      <c r="C17" s="99" t="s">
        <v>4</v>
      </c>
      <c r="D17" s="92"/>
      <c r="E17" s="92"/>
      <c r="F17" s="109"/>
      <c r="G17" s="109"/>
      <c r="H17" s="106"/>
      <c r="I17" s="106"/>
      <c r="J17" s="110"/>
      <c r="K17" s="110"/>
      <c r="L17" s="109"/>
      <c r="M17" s="118"/>
      <c r="O17" s="93"/>
      <c r="Q17" s="112"/>
      <c r="R17" s="119"/>
      <c r="S17" s="92"/>
      <c r="T17" s="92"/>
    </row>
    <row r="18" spans="2:20" ht="18.5" x14ac:dyDescent="0.35">
      <c r="B18" s="68"/>
      <c r="C18" s="92"/>
      <c r="D18" s="92" t="s">
        <v>8</v>
      </c>
      <c r="E18" s="92"/>
      <c r="F18" s="106"/>
      <c r="G18" s="106"/>
      <c r="H18" s="106"/>
      <c r="I18" s="106"/>
      <c r="J18" s="110"/>
      <c r="K18" s="110"/>
      <c r="L18" s="109"/>
      <c r="M18" s="118"/>
      <c r="O18" s="120"/>
      <c r="Q18" s="112"/>
      <c r="R18" s="113"/>
      <c r="S18" s="92"/>
      <c r="T18" s="92"/>
    </row>
    <row r="19" spans="2:20" x14ac:dyDescent="0.35">
      <c r="B19" s="68"/>
      <c r="C19" s="92"/>
      <c r="D19" s="92"/>
      <c r="E19" s="92" t="s">
        <v>12</v>
      </c>
      <c r="F19" s="106">
        <v>444858</v>
      </c>
      <c r="G19" s="106"/>
      <c r="H19" s="106">
        <f>Adjustments!N28</f>
        <v>209648</v>
      </c>
      <c r="I19" s="106"/>
      <c r="J19" s="110" t="s">
        <v>86</v>
      </c>
      <c r="K19" s="110"/>
      <c r="L19" s="109"/>
      <c r="M19" s="118"/>
      <c r="N19" s="105" t="s">
        <v>343</v>
      </c>
      <c r="O19" s="93"/>
      <c r="Q19" s="111"/>
      <c r="R19" s="92"/>
      <c r="S19" s="92"/>
      <c r="T19" s="92"/>
    </row>
    <row r="20" spans="2:20" x14ac:dyDescent="0.35">
      <c r="B20" s="68"/>
      <c r="C20" s="92"/>
      <c r="D20" s="92"/>
      <c r="E20" s="92"/>
      <c r="F20" s="106"/>
      <c r="G20" s="106"/>
      <c r="H20" s="106">
        <f>Adjustments!T11</f>
        <v>-32805</v>
      </c>
      <c r="I20" s="106"/>
      <c r="J20" s="110" t="s">
        <v>65</v>
      </c>
      <c r="K20" s="110"/>
      <c r="L20" s="109">
        <f>SUM(F19:H20)</f>
        <v>621701</v>
      </c>
      <c r="M20" s="118"/>
      <c r="N20" s="105" t="s">
        <v>169</v>
      </c>
      <c r="O20" s="93"/>
      <c r="P20" s="93"/>
      <c r="Q20" s="92"/>
      <c r="R20" s="92"/>
      <c r="S20" s="92"/>
      <c r="T20" s="92"/>
    </row>
    <row r="21" spans="2:20" x14ac:dyDescent="0.35">
      <c r="B21" s="68"/>
      <c r="C21" s="92"/>
      <c r="D21" s="92"/>
      <c r="E21" s="92" t="s">
        <v>13</v>
      </c>
      <c r="F21" s="106"/>
      <c r="G21" s="106"/>
      <c r="H21" s="106"/>
      <c r="I21" s="106"/>
      <c r="J21" s="110"/>
      <c r="K21" s="110"/>
      <c r="L21" s="109">
        <f t="shared" ref="L21:L34" si="0">F21+H21</f>
        <v>0</v>
      </c>
      <c r="M21" s="118"/>
      <c r="O21" s="93"/>
      <c r="P21" s="93"/>
      <c r="Q21" s="93"/>
      <c r="S21" s="92"/>
      <c r="T21" s="92"/>
    </row>
    <row r="22" spans="2:20" x14ac:dyDescent="0.35">
      <c r="B22" s="68"/>
      <c r="C22" s="92"/>
      <c r="D22" s="92"/>
      <c r="E22" s="92" t="s">
        <v>14</v>
      </c>
      <c r="F22" s="106">
        <v>293806</v>
      </c>
      <c r="G22" s="106"/>
      <c r="H22" s="106">
        <f>Adjustments!H50</f>
        <v>33265</v>
      </c>
      <c r="I22" s="106"/>
      <c r="J22" s="121" t="s">
        <v>66</v>
      </c>
      <c r="K22" s="121"/>
      <c r="L22" s="109"/>
      <c r="M22" s="118"/>
      <c r="N22" s="105" t="s">
        <v>433</v>
      </c>
      <c r="O22" s="93"/>
      <c r="P22" s="93"/>
      <c r="S22" s="92"/>
      <c r="T22" s="92"/>
    </row>
    <row r="23" spans="2:20" x14ac:dyDescent="0.35">
      <c r="B23" s="68"/>
      <c r="C23" s="92"/>
      <c r="D23" s="92"/>
      <c r="E23" s="92"/>
      <c r="F23" s="106"/>
      <c r="G23" s="106"/>
      <c r="H23" s="106">
        <f>Adjustments!H56</f>
        <v>-53127</v>
      </c>
      <c r="I23" s="106"/>
      <c r="J23" s="121" t="s">
        <v>67</v>
      </c>
      <c r="K23" s="121"/>
      <c r="L23" s="109">
        <f>SUM(F22,H22:H23)</f>
        <v>273944</v>
      </c>
      <c r="M23" s="118"/>
      <c r="N23" s="105" t="s">
        <v>331</v>
      </c>
      <c r="O23" s="93"/>
      <c r="P23" s="93"/>
      <c r="S23" s="92"/>
      <c r="T23" s="92"/>
    </row>
    <row r="24" spans="2:20" x14ac:dyDescent="0.35">
      <c r="B24" s="68"/>
      <c r="C24" s="92"/>
      <c r="D24" s="92"/>
      <c r="E24" s="92" t="s">
        <v>15</v>
      </c>
      <c r="F24" s="106">
        <v>717565</v>
      </c>
      <c r="G24" s="106"/>
      <c r="H24" s="106">
        <f>Adjustments!E22</f>
        <v>-127294</v>
      </c>
      <c r="I24" s="106"/>
      <c r="J24" s="121" t="s">
        <v>126</v>
      </c>
      <c r="K24" s="121"/>
      <c r="L24" s="109">
        <f t="shared" si="0"/>
        <v>590271</v>
      </c>
      <c r="M24" s="118"/>
      <c r="N24" s="105" t="s">
        <v>158</v>
      </c>
      <c r="O24" s="89"/>
      <c r="P24" s="93"/>
      <c r="S24" s="92"/>
      <c r="T24" s="92"/>
    </row>
    <row r="25" spans="2:20" x14ac:dyDescent="0.35">
      <c r="B25" s="68"/>
      <c r="C25" s="92"/>
      <c r="D25" s="92"/>
      <c r="E25" s="92" t="s">
        <v>16</v>
      </c>
      <c r="F25" s="106">
        <v>59385</v>
      </c>
      <c r="G25" s="106"/>
      <c r="H25" s="106">
        <f>Adjustments!F22</f>
        <v>-10535</v>
      </c>
      <c r="I25" s="106"/>
      <c r="J25" s="121" t="s">
        <v>126</v>
      </c>
      <c r="K25" s="121"/>
      <c r="L25" s="109">
        <f t="shared" si="0"/>
        <v>48850</v>
      </c>
      <c r="M25" s="118"/>
      <c r="N25" s="105" t="s">
        <v>158</v>
      </c>
      <c r="O25" s="89"/>
      <c r="P25" s="93"/>
      <c r="S25" s="92"/>
      <c r="T25" s="92"/>
    </row>
    <row r="26" spans="2:20" x14ac:dyDescent="0.35">
      <c r="B26" s="68"/>
      <c r="C26" s="92"/>
      <c r="D26" s="92"/>
      <c r="E26" s="92" t="s">
        <v>52</v>
      </c>
      <c r="F26" s="106">
        <v>231172</v>
      </c>
      <c r="G26" s="106"/>
      <c r="H26" s="106">
        <f>Adjustments!T12</f>
        <v>-76545</v>
      </c>
      <c r="I26" s="106"/>
      <c r="J26" s="121" t="s">
        <v>65</v>
      </c>
      <c r="K26" s="121"/>
      <c r="L26" s="109">
        <f t="shared" si="0"/>
        <v>154627</v>
      </c>
      <c r="M26" s="118"/>
      <c r="N26" s="105" t="s">
        <v>169</v>
      </c>
      <c r="O26" s="93"/>
      <c r="P26" s="122"/>
      <c r="Q26" s="93"/>
      <c r="R26" s="92"/>
      <c r="S26" s="92"/>
      <c r="T26" s="92"/>
    </row>
    <row r="27" spans="2:20" x14ac:dyDescent="0.35">
      <c r="B27" s="68"/>
      <c r="C27" s="92"/>
      <c r="D27" s="92"/>
      <c r="E27" s="92" t="s">
        <v>171</v>
      </c>
      <c r="F27" s="106">
        <v>123570</v>
      </c>
      <c r="G27" s="106"/>
      <c r="H27" s="106"/>
      <c r="I27" s="106"/>
      <c r="J27" s="110"/>
      <c r="K27" s="110"/>
      <c r="L27" s="109">
        <f t="shared" si="0"/>
        <v>123570</v>
      </c>
      <c r="M27" s="118"/>
      <c r="O27" s="93"/>
      <c r="P27" s="93"/>
      <c r="Q27" s="93"/>
      <c r="R27" s="92"/>
      <c r="S27" s="92"/>
      <c r="T27" s="92"/>
    </row>
    <row r="28" spans="2:20" x14ac:dyDescent="0.35">
      <c r="B28" s="68"/>
      <c r="C28" s="92"/>
      <c r="D28" s="92"/>
      <c r="E28" s="92" t="s">
        <v>21</v>
      </c>
      <c r="F28" s="106">
        <v>58562</v>
      </c>
      <c r="G28" s="106"/>
      <c r="H28" s="106"/>
      <c r="I28" s="106"/>
      <c r="J28" s="110"/>
      <c r="K28" s="110"/>
      <c r="L28" s="109">
        <f t="shared" si="0"/>
        <v>58562</v>
      </c>
      <c r="M28" s="118"/>
      <c r="O28" s="93"/>
      <c r="P28" s="123"/>
      <c r="Q28" s="93"/>
      <c r="R28" s="92"/>
      <c r="S28" s="92"/>
      <c r="T28" s="92"/>
    </row>
    <row r="29" spans="2:20" x14ac:dyDescent="0.35">
      <c r="B29" s="68"/>
      <c r="C29" s="92"/>
      <c r="D29" s="92"/>
      <c r="E29" s="92" t="s">
        <v>189</v>
      </c>
      <c r="F29" s="106">
        <v>22319</v>
      </c>
      <c r="G29" s="106"/>
      <c r="H29" s="106"/>
      <c r="I29" s="106"/>
      <c r="J29" s="110"/>
      <c r="K29" s="110"/>
      <c r="L29" s="109">
        <f>F29</f>
        <v>22319</v>
      </c>
      <c r="M29" s="118"/>
      <c r="O29" s="93"/>
      <c r="P29" s="123"/>
      <c r="Q29" s="93"/>
      <c r="R29" s="92"/>
      <c r="S29" s="92"/>
      <c r="T29" s="92"/>
    </row>
    <row r="30" spans="2:20" x14ac:dyDescent="0.35">
      <c r="B30" s="68"/>
      <c r="C30" s="92"/>
      <c r="D30" s="92"/>
      <c r="E30" s="92" t="s">
        <v>190</v>
      </c>
      <c r="F30" s="106">
        <v>6175</v>
      </c>
      <c r="G30" s="106"/>
      <c r="H30" s="106"/>
      <c r="I30" s="106"/>
      <c r="J30" s="110"/>
      <c r="K30" s="110"/>
      <c r="L30" s="109">
        <f>F30</f>
        <v>6175</v>
      </c>
      <c r="M30" s="118"/>
      <c r="O30" s="93"/>
      <c r="P30" s="123"/>
      <c r="Q30" s="93"/>
      <c r="R30" s="92"/>
      <c r="S30" s="92"/>
      <c r="T30" s="92"/>
    </row>
    <row r="31" spans="2:20" x14ac:dyDescent="0.35">
      <c r="B31" s="68"/>
      <c r="C31" s="92"/>
      <c r="D31" s="92"/>
      <c r="E31" s="92" t="s">
        <v>93</v>
      </c>
      <c r="F31" s="106">
        <v>1519</v>
      </c>
      <c r="G31" s="106"/>
      <c r="H31" s="106"/>
      <c r="I31" s="106"/>
      <c r="J31" s="110"/>
      <c r="K31" s="110"/>
      <c r="L31" s="109">
        <f t="shared" si="0"/>
        <v>1519</v>
      </c>
      <c r="M31" s="118"/>
      <c r="O31" s="93"/>
      <c r="P31" s="123"/>
      <c r="Q31" s="93"/>
      <c r="R31" s="92"/>
      <c r="S31" s="92"/>
      <c r="T31" s="92"/>
    </row>
    <row r="32" spans="2:20" ht="18.5" x14ac:dyDescent="0.35">
      <c r="B32" s="68"/>
      <c r="C32" s="92"/>
      <c r="D32" s="92"/>
      <c r="E32" s="92" t="s">
        <v>17</v>
      </c>
      <c r="F32" s="114">
        <v>29948</v>
      </c>
      <c r="G32" s="106"/>
      <c r="H32" s="114"/>
      <c r="I32" s="106"/>
      <c r="J32" s="110"/>
      <c r="K32" s="110"/>
      <c r="L32" s="125">
        <f t="shared" si="0"/>
        <v>29948</v>
      </c>
      <c r="M32" s="115"/>
      <c r="O32" s="93"/>
      <c r="P32" s="123"/>
      <c r="Q32" s="93"/>
      <c r="R32" s="92"/>
      <c r="S32" s="92"/>
      <c r="T32" s="92"/>
    </row>
    <row r="33" spans="2:31" x14ac:dyDescent="0.35">
      <c r="B33" s="68"/>
      <c r="C33" s="92"/>
      <c r="D33" s="117" t="s">
        <v>9</v>
      </c>
      <c r="E33" s="92"/>
      <c r="F33" s="106">
        <f>SUM(F19:F32)</f>
        <v>1988879</v>
      </c>
      <c r="G33" s="106"/>
      <c r="H33" s="106">
        <f>SUM(H19:H32)</f>
        <v>-57393</v>
      </c>
      <c r="I33" s="106"/>
      <c r="J33" s="110"/>
      <c r="K33" s="110"/>
      <c r="L33" s="106">
        <f>SUM(L19:L32)</f>
        <v>1931486</v>
      </c>
      <c r="M33" s="118"/>
      <c r="O33" s="93"/>
      <c r="P33" s="123"/>
      <c r="Q33" s="93"/>
      <c r="R33" s="92"/>
      <c r="S33" s="92"/>
      <c r="T33" s="92"/>
    </row>
    <row r="34" spans="2:31" x14ac:dyDescent="0.35">
      <c r="B34" s="68"/>
      <c r="C34" s="92"/>
      <c r="D34" s="92" t="s">
        <v>10</v>
      </c>
      <c r="F34" s="106">
        <v>519891</v>
      </c>
      <c r="G34" s="106"/>
      <c r="H34" s="106">
        <f>'Dep Adj - NARUCNwe Meters'!O80</f>
        <v>-88492.790000000023</v>
      </c>
      <c r="I34" s="106"/>
      <c r="J34" s="121" t="s">
        <v>68</v>
      </c>
      <c r="K34" s="121"/>
      <c r="L34" s="109">
        <f t="shared" si="0"/>
        <v>431398.20999999996</v>
      </c>
      <c r="M34" s="118"/>
      <c r="N34" s="105" t="s">
        <v>389</v>
      </c>
      <c r="O34" s="93"/>
      <c r="P34" s="123"/>
      <c r="Q34" s="93"/>
      <c r="R34" s="92"/>
      <c r="S34" s="92"/>
      <c r="T34" s="92"/>
    </row>
    <row r="35" spans="2:31" ht="18.5" x14ac:dyDescent="0.35">
      <c r="B35" s="68"/>
      <c r="C35" s="92"/>
      <c r="D35" s="92" t="s">
        <v>11</v>
      </c>
      <c r="E35" s="92"/>
      <c r="F35" s="125">
        <v>33243</v>
      </c>
      <c r="G35" s="109"/>
      <c r="H35" s="125">
        <f>Adjustments!N34</f>
        <v>16827</v>
      </c>
      <c r="I35" s="109"/>
      <c r="J35" s="110" t="s">
        <v>69</v>
      </c>
      <c r="K35" s="110"/>
      <c r="L35" s="125">
        <f>F35+H35</f>
        <v>50070</v>
      </c>
      <c r="M35" s="115"/>
      <c r="N35" s="105" t="s">
        <v>164</v>
      </c>
      <c r="O35" s="93"/>
      <c r="P35" s="123"/>
      <c r="Q35" s="93"/>
      <c r="R35" s="92"/>
      <c r="S35" s="92"/>
      <c r="T35" s="92"/>
    </row>
    <row r="36" spans="2:31" x14ac:dyDescent="0.35">
      <c r="B36" s="68"/>
      <c r="C36" s="117" t="s">
        <v>5</v>
      </c>
      <c r="D36" s="92"/>
      <c r="E36" s="92"/>
      <c r="F36" s="114">
        <f>SUM(F33:F35)</f>
        <v>2542013</v>
      </c>
      <c r="G36" s="106"/>
      <c r="H36" s="124">
        <f>SUM(H33:H35)</f>
        <v>-129058.79000000004</v>
      </c>
      <c r="I36" s="148"/>
      <c r="J36" s="121"/>
      <c r="K36" s="121"/>
      <c r="L36" s="114">
        <f>SUM(L33:L35)</f>
        <v>2412954.21</v>
      </c>
      <c r="M36" s="104"/>
      <c r="O36" s="93"/>
      <c r="P36" s="123"/>
      <c r="Q36" s="93"/>
      <c r="R36" s="92"/>
      <c r="S36" s="92"/>
      <c r="T36" s="92"/>
    </row>
    <row r="37" spans="2:31" ht="16" thickBot="1" x14ac:dyDescent="0.4">
      <c r="B37" s="68"/>
      <c r="C37" s="117" t="s">
        <v>22</v>
      </c>
      <c r="D37" s="92"/>
      <c r="E37" s="92"/>
      <c r="F37" s="126">
        <f>F15-F36</f>
        <v>-389787</v>
      </c>
      <c r="G37" s="127"/>
      <c r="H37" s="126">
        <f>H15-H36</f>
        <v>-78568.139999999898</v>
      </c>
      <c r="I37" s="127"/>
      <c r="J37" s="100"/>
      <c r="K37" s="100"/>
      <c r="L37" s="126">
        <f>L15-L36</f>
        <v>-468355.1399999999</v>
      </c>
      <c r="M37" s="104"/>
      <c r="O37" s="93"/>
      <c r="P37" s="123"/>
      <c r="Q37" s="93"/>
      <c r="R37" s="92"/>
      <c r="S37" s="92"/>
      <c r="T37" s="92"/>
    </row>
    <row r="38" spans="2:31" ht="16" thickTop="1" x14ac:dyDescent="0.35">
      <c r="B38" s="69"/>
      <c r="C38" s="140"/>
      <c r="D38" s="140"/>
      <c r="E38" s="140"/>
      <c r="F38" s="141"/>
      <c r="G38" s="141"/>
      <c r="H38" s="140"/>
      <c r="I38" s="140"/>
      <c r="J38" s="142"/>
      <c r="K38" s="142"/>
      <c r="L38" s="141"/>
      <c r="M38" s="143"/>
      <c r="O38" s="93"/>
      <c r="P38" s="123"/>
      <c r="Q38" s="93"/>
      <c r="R38" s="92"/>
      <c r="S38" s="92"/>
      <c r="T38" s="92"/>
    </row>
    <row r="39" spans="2:31" ht="20" x14ac:dyDescent="0.35">
      <c r="B39" s="68"/>
      <c r="C39" s="373" t="s">
        <v>32</v>
      </c>
      <c r="D39" s="373"/>
      <c r="E39" s="373"/>
      <c r="F39" s="373"/>
      <c r="G39" s="373"/>
      <c r="H39" s="373"/>
      <c r="I39" s="373"/>
      <c r="J39" s="373"/>
      <c r="K39" s="373"/>
      <c r="L39" s="373"/>
      <c r="M39" s="94"/>
      <c r="O39" s="93"/>
      <c r="P39" s="123"/>
      <c r="Q39" s="93"/>
      <c r="R39" s="92"/>
      <c r="S39" s="92"/>
      <c r="T39" s="92"/>
    </row>
    <row r="40" spans="2:31" x14ac:dyDescent="0.35">
      <c r="B40" s="68"/>
      <c r="C40" s="117" t="s">
        <v>6</v>
      </c>
      <c r="D40" s="92"/>
      <c r="E40" s="92"/>
      <c r="H40" s="92"/>
      <c r="I40" s="92"/>
      <c r="J40" s="100"/>
      <c r="K40" s="100"/>
      <c r="L40" s="127">
        <f>L36</f>
        <v>2412954.21</v>
      </c>
      <c r="M40" s="104"/>
      <c r="O40" s="93"/>
      <c r="P40" s="123"/>
      <c r="Q40" s="93"/>
      <c r="R40" s="92"/>
      <c r="S40" s="92"/>
      <c r="T40" s="92"/>
    </row>
    <row r="41" spans="2:31" x14ac:dyDescent="0.35">
      <c r="B41" s="68"/>
      <c r="C41" s="92" t="s">
        <v>60</v>
      </c>
      <c r="D41" s="92"/>
      <c r="E41" s="92" t="s">
        <v>35</v>
      </c>
      <c r="H41" s="92"/>
      <c r="I41" s="92"/>
      <c r="J41" s="129" t="s">
        <v>70</v>
      </c>
      <c r="K41" s="129"/>
      <c r="L41" s="72">
        <f>'Avg Debt Service'!X18</f>
        <v>249358</v>
      </c>
      <c r="M41" s="130"/>
      <c r="O41" s="93"/>
      <c r="P41" s="123"/>
      <c r="Q41" s="93"/>
      <c r="R41" s="92"/>
      <c r="S41" s="92"/>
      <c r="T41" s="92"/>
    </row>
    <row r="42" spans="2:31" ht="18.5" x14ac:dyDescent="0.35">
      <c r="B42" s="68"/>
      <c r="C42" s="92"/>
      <c r="D42" s="92"/>
      <c r="E42" s="92" t="s">
        <v>18</v>
      </c>
      <c r="H42" s="92"/>
      <c r="I42" s="92"/>
      <c r="J42" s="129"/>
      <c r="K42" s="129"/>
      <c r="L42" s="169">
        <f>ROUND(L41*0.2,0)</f>
        <v>49872</v>
      </c>
      <c r="M42" s="115"/>
      <c r="O42" s="93"/>
      <c r="P42" s="123"/>
      <c r="Q42" s="93"/>
      <c r="R42" s="92"/>
      <c r="S42" s="92"/>
      <c r="T42" s="92"/>
    </row>
    <row r="43" spans="2:31" x14ac:dyDescent="0.35">
      <c r="B43" s="68"/>
      <c r="C43" s="117" t="s">
        <v>23</v>
      </c>
      <c r="D43" s="92"/>
      <c r="E43" s="92"/>
      <c r="H43" s="92"/>
      <c r="I43" s="92"/>
      <c r="J43" s="100"/>
      <c r="K43" s="100"/>
      <c r="L43" s="127">
        <f>SUM(L40:L42)</f>
        <v>2712184.21</v>
      </c>
      <c r="M43" s="104"/>
      <c r="O43" s="105" t="s">
        <v>340</v>
      </c>
      <c r="P43" s="339"/>
      <c r="Q43" s="340"/>
      <c r="R43" s="341">
        <v>-292591</v>
      </c>
      <c r="S43" s="339" t="s">
        <v>415</v>
      </c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</row>
    <row r="44" spans="2:31" x14ac:dyDescent="0.35">
      <c r="B44" s="68"/>
      <c r="C44" s="92" t="s">
        <v>61</v>
      </c>
      <c r="D44" s="92"/>
      <c r="E44" s="92" t="s">
        <v>7</v>
      </c>
      <c r="H44" s="92"/>
      <c r="I44" s="92"/>
      <c r="J44" s="100"/>
      <c r="K44" s="100"/>
      <c r="L44" s="131">
        <f>-L14</f>
        <v>-30827</v>
      </c>
      <c r="M44" s="132"/>
      <c r="O44" s="105" t="s">
        <v>341</v>
      </c>
      <c r="P44" s="339"/>
      <c r="Q44" s="340"/>
      <c r="R44" s="105">
        <v>-53543</v>
      </c>
      <c r="S44" s="339" t="s">
        <v>416</v>
      </c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</row>
    <row r="45" spans="2:31" x14ac:dyDescent="0.35">
      <c r="B45" s="68"/>
      <c r="C45" s="92"/>
      <c r="D45" s="92"/>
      <c r="E45" s="92" t="s">
        <v>38</v>
      </c>
      <c r="I45" s="92"/>
      <c r="J45" s="100"/>
      <c r="K45" s="100"/>
      <c r="L45" s="131">
        <v>-72</v>
      </c>
      <c r="M45" s="132"/>
      <c r="O45" s="105" t="s">
        <v>342</v>
      </c>
      <c r="P45" s="339"/>
      <c r="Q45" s="340"/>
      <c r="R45" s="105">
        <v>-709</v>
      </c>
      <c r="S45" s="339" t="s">
        <v>417</v>
      </c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</row>
    <row r="46" spans="2:31" x14ac:dyDescent="0.35">
      <c r="B46" s="68"/>
      <c r="C46" s="92"/>
      <c r="D46" s="92"/>
      <c r="E46" s="92" t="s">
        <v>325</v>
      </c>
      <c r="I46" s="92"/>
      <c r="J46" s="100"/>
      <c r="K46" s="100"/>
      <c r="L46" s="131">
        <f>-L12</f>
        <v>-32431</v>
      </c>
      <c r="M46" s="132"/>
      <c r="O46" s="105" t="s">
        <v>316</v>
      </c>
      <c r="P46" s="339"/>
      <c r="Q46" s="340"/>
      <c r="R46" s="342">
        <v>-6600</v>
      </c>
      <c r="S46" s="339" t="s">
        <v>418</v>
      </c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</row>
    <row r="47" spans="2:31" ht="19" thickBot="1" x14ac:dyDescent="0.4">
      <c r="B47" s="68"/>
      <c r="C47" s="92"/>
      <c r="D47" s="92"/>
      <c r="E47" s="27" t="s">
        <v>94</v>
      </c>
      <c r="F47" s="88">
        <v>353443</v>
      </c>
      <c r="H47" s="73">
        <f>R47</f>
        <v>-353443</v>
      </c>
      <c r="I47" s="92"/>
      <c r="J47" s="100" t="s">
        <v>117</v>
      </c>
      <c r="K47" s="100"/>
      <c r="L47" s="169">
        <f>SUM(F47,H47:H47)</f>
        <v>0</v>
      </c>
      <c r="M47" s="115"/>
      <c r="O47" s="105" t="s">
        <v>59</v>
      </c>
      <c r="P47" s="339"/>
      <c r="Q47" s="340"/>
      <c r="R47" s="343">
        <f>SUM(R43:R46)</f>
        <v>-353443</v>
      </c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</row>
    <row r="48" spans="2:31" ht="16" thickTop="1" x14ac:dyDescent="0.35">
      <c r="B48" s="68"/>
      <c r="C48" s="117" t="s">
        <v>71</v>
      </c>
      <c r="D48" s="92"/>
      <c r="E48" s="92"/>
      <c r="H48" s="92"/>
      <c r="I48" s="92"/>
      <c r="J48" s="100"/>
      <c r="K48" s="100"/>
      <c r="L48" s="134">
        <f>SUM(L43:L47)</f>
        <v>2648854.21</v>
      </c>
      <c r="M48" s="135"/>
      <c r="O48" s="339"/>
      <c r="P48" s="340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39"/>
    </row>
    <row r="49" spans="2:20" ht="18.5" x14ac:dyDescent="0.35">
      <c r="B49" s="68"/>
      <c r="C49" s="92"/>
      <c r="D49" s="92"/>
      <c r="E49" s="92" t="s">
        <v>24</v>
      </c>
      <c r="H49" s="92"/>
      <c r="I49" s="92"/>
      <c r="J49" s="100"/>
      <c r="K49" s="100"/>
      <c r="L49" s="169">
        <f>-L10</f>
        <v>-1881341.07</v>
      </c>
      <c r="M49" s="115"/>
      <c r="R49" s="92"/>
      <c r="S49" s="92"/>
      <c r="T49" s="92"/>
    </row>
    <row r="50" spans="2:20" ht="16" thickBot="1" x14ac:dyDescent="0.4">
      <c r="B50" s="68"/>
      <c r="C50" s="117" t="s">
        <v>136</v>
      </c>
      <c r="D50" s="92"/>
      <c r="E50" s="92"/>
      <c r="H50" s="92"/>
      <c r="I50" s="92"/>
      <c r="J50" s="100"/>
      <c r="K50" s="100"/>
      <c r="L50" s="136">
        <f>SUM(L48:L49)</f>
        <v>767513.1399999999</v>
      </c>
      <c r="M50" s="104"/>
      <c r="S50" s="92"/>
      <c r="T50" s="92"/>
    </row>
    <row r="51" spans="2:20" ht="15" customHeight="1" thickTop="1" thickBot="1" x14ac:dyDescent="0.4">
      <c r="B51" s="68"/>
      <c r="L51" s="370">
        <f>ROUND(L50/(-L49),3)</f>
        <v>0.40799999999999997</v>
      </c>
      <c r="M51" s="144"/>
      <c r="T51" s="84"/>
    </row>
    <row r="52" spans="2:20" ht="16" thickTop="1" x14ac:dyDescent="0.35">
      <c r="B52" s="69"/>
      <c r="C52" s="137"/>
      <c r="D52" s="137"/>
      <c r="E52" s="137"/>
      <c r="F52" s="137"/>
      <c r="G52" s="137"/>
      <c r="H52" s="137"/>
      <c r="I52" s="137"/>
      <c r="J52" s="138"/>
      <c r="K52" s="138"/>
      <c r="L52" s="137"/>
      <c r="M52" s="139"/>
      <c r="O52" s="134"/>
    </row>
    <row r="53" spans="2:20" ht="16" thickBot="1" x14ac:dyDescent="0.4">
      <c r="B53" s="67"/>
      <c r="C53" s="374" t="s">
        <v>431</v>
      </c>
      <c r="D53" s="374"/>
      <c r="E53" s="374"/>
      <c r="F53" s="374"/>
      <c r="G53" s="374"/>
      <c r="H53" s="374"/>
      <c r="I53" s="374"/>
      <c r="J53" s="374"/>
      <c r="K53" s="374"/>
      <c r="L53" s="374"/>
      <c r="M53" s="87"/>
      <c r="O53" s="360"/>
      <c r="P53" s="88"/>
      <c r="Q53" s="361"/>
      <c r="R53" s="127"/>
    </row>
    <row r="54" spans="2:20" x14ac:dyDescent="0.35">
      <c r="B54" s="68"/>
      <c r="C54" s="365" t="s">
        <v>23</v>
      </c>
      <c r="D54" s="366"/>
      <c r="E54" s="366"/>
      <c r="F54" s="366"/>
      <c r="G54" s="366"/>
      <c r="H54" s="366"/>
      <c r="I54" s="366"/>
      <c r="J54" s="367"/>
      <c r="K54" s="367"/>
      <c r="L54" s="368">
        <f>L43</f>
        <v>2712184.21</v>
      </c>
      <c r="M54" s="369"/>
      <c r="O54" s="360"/>
      <c r="P54" s="88"/>
      <c r="Q54" s="361"/>
      <c r="R54" s="360"/>
    </row>
    <row r="55" spans="2:20" x14ac:dyDescent="0.35">
      <c r="B55" s="68"/>
      <c r="C55" s="366" t="s">
        <v>427</v>
      </c>
      <c r="D55" s="366" t="s">
        <v>6</v>
      </c>
      <c r="E55" s="366"/>
      <c r="F55" s="366"/>
      <c r="G55" s="366"/>
      <c r="H55" s="366"/>
      <c r="I55" s="366"/>
      <c r="J55" s="367"/>
      <c r="K55" s="367"/>
      <c r="L55" s="364">
        <f>-L40</f>
        <v>-2412954.21</v>
      </c>
      <c r="M55" s="369"/>
      <c r="O55" s="360"/>
      <c r="P55" s="88"/>
      <c r="Q55" s="361"/>
      <c r="R55" s="360"/>
    </row>
    <row r="56" spans="2:20" x14ac:dyDescent="0.35">
      <c r="B56" s="68"/>
      <c r="C56" s="366"/>
      <c r="D56" s="366" t="s">
        <v>428</v>
      </c>
      <c r="E56" s="366"/>
      <c r="F56" s="366"/>
      <c r="G56" s="366"/>
      <c r="H56" s="366"/>
      <c r="I56" s="366"/>
      <c r="J56" s="367"/>
      <c r="K56" s="367"/>
      <c r="L56" s="364">
        <f>-L41</f>
        <v>-249358</v>
      </c>
      <c r="M56" s="369"/>
      <c r="O56" s="360"/>
      <c r="P56" s="88"/>
      <c r="Q56" s="361"/>
      <c r="R56" s="360"/>
    </row>
    <row r="57" spans="2:20" x14ac:dyDescent="0.35">
      <c r="B57" s="68"/>
      <c r="C57" s="366"/>
      <c r="D57" s="366" t="s">
        <v>432</v>
      </c>
      <c r="E57" s="366"/>
      <c r="F57" s="366"/>
      <c r="G57" s="366"/>
      <c r="H57" s="366"/>
      <c r="I57" s="366"/>
      <c r="J57" s="367"/>
      <c r="K57" s="367"/>
      <c r="L57" s="362">
        <f>H24+H25</f>
        <v>-137829</v>
      </c>
      <c r="M57" s="369"/>
      <c r="O57" s="360"/>
      <c r="P57" s="88"/>
      <c r="Q57" s="361"/>
      <c r="R57" s="360"/>
    </row>
    <row r="58" spans="2:20" x14ac:dyDescent="0.35">
      <c r="B58" s="68"/>
      <c r="C58" s="366" t="s">
        <v>161</v>
      </c>
      <c r="D58" s="366"/>
      <c r="E58" s="366"/>
      <c r="F58" s="366"/>
      <c r="G58" s="366"/>
      <c r="H58" s="366"/>
      <c r="I58" s="366"/>
      <c r="J58" s="367"/>
      <c r="K58" s="367"/>
      <c r="L58" s="364">
        <f>SUM(L54:L57)</f>
        <v>-87957</v>
      </c>
      <c r="M58" s="369"/>
      <c r="O58" s="360"/>
      <c r="P58" s="88"/>
      <c r="Q58" s="361"/>
      <c r="R58" s="127"/>
    </row>
    <row r="59" spans="2:20" x14ac:dyDescent="0.35">
      <c r="B59" s="68"/>
      <c r="C59" s="366" t="s">
        <v>429</v>
      </c>
      <c r="D59" s="366" t="s">
        <v>430</v>
      </c>
      <c r="E59" s="366"/>
      <c r="F59" s="366"/>
      <c r="G59" s="366"/>
      <c r="H59" s="366"/>
      <c r="I59" s="366"/>
      <c r="J59" s="367"/>
      <c r="K59" s="367"/>
      <c r="L59" s="362">
        <f>L34</f>
        <v>431398.20999999996</v>
      </c>
      <c r="M59" s="369"/>
    </row>
    <row r="60" spans="2:20" ht="16" thickBot="1" x14ac:dyDescent="0.4">
      <c r="B60" s="68"/>
      <c r="C60" s="366" t="s">
        <v>431</v>
      </c>
      <c r="D60" s="366"/>
      <c r="E60" s="366"/>
      <c r="F60" s="366"/>
      <c r="G60" s="366"/>
      <c r="H60" s="366"/>
      <c r="I60" s="366"/>
      <c r="J60" s="367"/>
      <c r="K60" s="367"/>
      <c r="L60" s="363">
        <f>SUM(L58:L59)</f>
        <v>343441.20999999996</v>
      </c>
      <c r="M60" s="369"/>
      <c r="S60" s="88" t="s">
        <v>419</v>
      </c>
    </row>
    <row r="61" spans="2:20" ht="16" thickTop="1" x14ac:dyDescent="0.35">
      <c r="B61" s="69"/>
      <c r="C61" s="137"/>
      <c r="D61" s="137"/>
      <c r="E61" s="137"/>
      <c r="F61" s="137"/>
      <c r="G61" s="137"/>
      <c r="H61" s="137"/>
      <c r="I61" s="137"/>
      <c r="J61" s="138"/>
      <c r="K61" s="138"/>
      <c r="L61" s="137"/>
      <c r="M61" s="139"/>
    </row>
    <row r="62" spans="2:20" x14ac:dyDescent="0.35">
      <c r="S62" s="88" t="s">
        <v>420</v>
      </c>
    </row>
  </sheetData>
  <mergeCells count="4">
    <mergeCell ref="C4:L4"/>
    <mergeCell ref="C39:L39"/>
    <mergeCell ref="C3:L3"/>
    <mergeCell ref="C53:L53"/>
  </mergeCells>
  <printOptions horizontalCentered="1"/>
  <pageMargins left="1.1000000000000001" right="1" top="0.6" bottom="0.5" header="0" footer="0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4"/>
  <sheetViews>
    <sheetView topLeftCell="A3" workbookViewId="0">
      <selection activeCell="B26" sqref="B26"/>
    </sheetView>
  </sheetViews>
  <sheetFormatPr defaultColWidth="8.84375" defaultRowHeight="14" x14ac:dyDescent="0.3"/>
  <cols>
    <col min="1" max="1" width="1.69140625" style="28" customWidth="1"/>
    <col min="2" max="2" width="18.07421875" style="28" customWidth="1"/>
    <col min="3" max="3" width="1.3046875" style="28" customWidth="1"/>
    <col min="4" max="4" width="13" style="28" customWidth="1"/>
    <col min="5" max="5" width="1.765625" style="28" customWidth="1"/>
    <col min="6" max="6" width="9.84375" style="28" customWidth="1"/>
    <col min="7" max="7" width="1.765625" style="28" customWidth="1"/>
    <col min="8" max="8" width="9.84375" style="28" customWidth="1"/>
    <col min="9" max="9" width="1.765625" style="28" customWidth="1"/>
    <col min="10" max="10" width="9.84375" style="28" customWidth="1"/>
    <col min="11" max="11" width="1.3046875" style="28" customWidth="1"/>
    <col min="12" max="12" width="9.84375" style="28" customWidth="1"/>
    <col min="13" max="13" width="1.3046875" style="28" customWidth="1"/>
    <col min="14" max="14" width="9.84375" style="28" customWidth="1"/>
    <col min="15" max="15" width="1.3046875" style="28" customWidth="1"/>
    <col min="16" max="16" width="9.84375" style="28" customWidth="1"/>
    <col min="17" max="17" width="1.3046875" style="28" customWidth="1"/>
    <col min="18" max="18" width="9.84375" style="28" customWidth="1"/>
    <col min="19" max="19" width="1.3046875" style="28" customWidth="1"/>
    <col min="20" max="20" width="9.84375" style="28" customWidth="1"/>
    <col min="21" max="21" width="1.765625" style="28" customWidth="1"/>
    <col min="22" max="22" width="9.84375" style="28" customWidth="1"/>
    <col min="23" max="23" width="0.765625" style="28" customWidth="1"/>
    <col min="24" max="24" width="9.84375" style="28" customWidth="1"/>
    <col min="25" max="25" width="1.765625" style="28" customWidth="1"/>
    <col min="26" max="27" width="8.84375" style="28"/>
    <col min="28" max="28" width="9" style="28" bestFit="1" customWidth="1"/>
    <col min="29" max="16384" width="8.84375" style="28"/>
  </cols>
  <sheetData>
    <row r="1" spans="1:26" ht="15.5" x14ac:dyDescent="0.35">
      <c r="A1" s="27"/>
    </row>
    <row r="2" spans="1:26" ht="15.5" x14ac:dyDescent="0.35">
      <c r="A2" s="67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6" ht="18" x14ac:dyDescent="0.4">
      <c r="A3" s="68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1"/>
    </row>
    <row r="4" spans="1:26" ht="18" x14ac:dyDescent="0.4">
      <c r="A4" s="68"/>
      <c r="B4" s="382" t="s">
        <v>28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1"/>
    </row>
    <row r="5" spans="1:26" ht="18" x14ac:dyDescent="0.35">
      <c r="A5" s="68"/>
      <c r="B5" s="383" t="str">
        <f>Adjustments!B1</f>
        <v>Morgan County Water District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1"/>
      <c r="Z5" s="32"/>
    </row>
    <row r="6" spans="1:26" ht="15.5" x14ac:dyDescent="0.35">
      <c r="A6" s="68"/>
      <c r="B6" s="384" t="s">
        <v>167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1"/>
    </row>
    <row r="7" spans="1:26" ht="15.5" x14ac:dyDescent="0.35">
      <c r="A7" s="6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4"/>
      <c r="Y7" s="31"/>
    </row>
    <row r="8" spans="1:26" ht="15.5" x14ac:dyDescent="0.35">
      <c r="A8" s="68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4"/>
      <c r="X8" s="34"/>
      <c r="Y8" s="31"/>
    </row>
    <row r="9" spans="1:26" ht="15.75" customHeight="1" x14ac:dyDescent="0.35">
      <c r="A9" s="68"/>
      <c r="B9" s="34"/>
      <c r="C9" s="34"/>
      <c r="D9" s="385" t="s">
        <v>191</v>
      </c>
      <c r="E9" s="385"/>
      <c r="F9" s="385"/>
      <c r="G9" s="34"/>
      <c r="H9" s="385" t="s">
        <v>192</v>
      </c>
      <c r="I9" s="385"/>
      <c r="J9" s="385"/>
      <c r="K9" s="34"/>
      <c r="L9" s="385" t="s">
        <v>193</v>
      </c>
      <c r="M9" s="385"/>
      <c r="N9" s="385"/>
      <c r="O9" s="34"/>
      <c r="P9" s="385" t="s">
        <v>194</v>
      </c>
      <c r="Q9" s="385"/>
      <c r="R9" s="385"/>
      <c r="S9" s="34"/>
      <c r="T9" s="385" t="s">
        <v>195</v>
      </c>
      <c r="U9" s="385"/>
      <c r="V9" s="385"/>
      <c r="W9" s="34"/>
      <c r="X9" s="40" t="s">
        <v>196</v>
      </c>
      <c r="Y9" s="31"/>
    </row>
    <row r="10" spans="1:26" ht="15.5" x14ac:dyDescent="0.35">
      <c r="A10" s="68"/>
      <c r="B10" s="43" t="s">
        <v>58</v>
      </c>
      <c r="C10" s="34"/>
      <c r="D10" s="43" t="s">
        <v>29</v>
      </c>
      <c r="E10" s="34"/>
      <c r="F10" s="166" t="s">
        <v>30</v>
      </c>
      <c r="G10" s="34"/>
      <c r="H10" s="43" t="s">
        <v>29</v>
      </c>
      <c r="I10" s="34"/>
      <c r="J10" s="166" t="s">
        <v>30</v>
      </c>
      <c r="K10" s="34"/>
      <c r="L10" s="43" t="s">
        <v>29</v>
      </c>
      <c r="M10" s="34"/>
      <c r="N10" s="166" t="s">
        <v>30</v>
      </c>
      <c r="O10" s="34"/>
      <c r="P10" s="43" t="s">
        <v>29</v>
      </c>
      <c r="Q10" s="34"/>
      <c r="R10" s="166" t="s">
        <v>30</v>
      </c>
      <c r="S10" s="34"/>
      <c r="T10" s="43" t="s">
        <v>29</v>
      </c>
      <c r="U10" s="34"/>
      <c r="V10" s="166" t="s">
        <v>30</v>
      </c>
      <c r="W10" s="34"/>
      <c r="X10" s="43" t="s">
        <v>141</v>
      </c>
      <c r="Y10" s="31"/>
    </row>
    <row r="11" spans="1:26" ht="15.5" x14ac:dyDescent="0.35">
      <c r="A11" s="68"/>
      <c r="B11" s="36" t="s">
        <v>197</v>
      </c>
      <c r="C11" s="34"/>
      <c r="D11" s="37">
        <f>'Amt Schedules'!C9</f>
        <v>9000</v>
      </c>
      <c r="E11" s="37"/>
      <c r="F11" s="37">
        <f>'Amt Schedules'!E9</f>
        <v>6435</v>
      </c>
      <c r="G11" s="37"/>
      <c r="H11" s="37">
        <f>'Amt Schedules'!C10</f>
        <v>9000</v>
      </c>
      <c r="I11" s="37"/>
      <c r="J11" s="37">
        <f>'Amt Schedules'!E10</f>
        <v>6143</v>
      </c>
      <c r="K11" s="37"/>
      <c r="L11" s="37">
        <f>'Amt Schedules'!C11</f>
        <v>9500</v>
      </c>
      <c r="M11" s="37"/>
      <c r="N11" s="37">
        <f>'Amt Schedules'!E11</f>
        <v>5850</v>
      </c>
      <c r="O11" s="37"/>
      <c r="P11" s="37">
        <f>'Amt Schedules'!C12</f>
        <v>10000</v>
      </c>
      <c r="Q11" s="37"/>
      <c r="R11" s="37">
        <f>'Amt Schedules'!E12</f>
        <v>5541</v>
      </c>
      <c r="S11" s="37"/>
      <c r="T11" s="37">
        <f>'Amt Schedules'!C13</f>
        <v>10000</v>
      </c>
      <c r="U11" s="37"/>
      <c r="V11" s="37">
        <f>'Amt Schedules'!E13</f>
        <v>5216</v>
      </c>
      <c r="W11" s="34"/>
      <c r="X11" s="37">
        <v>76685</v>
      </c>
      <c r="Y11" s="31"/>
    </row>
    <row r="12" spans="1:26" ht="15.5" x14ac:dyDescent="0.35">
      <c r="A12" s="68"/>
      <c r="B12" s="36" t="s">
        <v>198</v>
      </c>
      <c r="C12" s="34"/>
      <c r="D12" s="38">
        <f>'Amt Schedules'!K9</f>
        <v>22000</v>
      </c>
      <c r="E12" s="38"/>
      <c r="F12" s="38">
        <f>'Amt Schedules'!M9</f>
        <v>30979</v>
      </c>
      <c r="G12" s="38"/>
      <c r="H12" s="38">
        <f>'Amt Schedules'!K10</f>
        <v>22000</v>
      </c>
      <c r="I12" s="38"/>
      <c r="J12" s="38">
        <f>'Amt Schedules'!M10</f>
        <v>30071</v>
      </c>
      <c r="K12" s="38"/>
      <c r="L12" s="38">
        <f>'Amt Schedules'!K11</f>
        <v>23000</v>
      </c>
      <c r="M12" s="38"/>
      <c r="N12" s="38">
        <f>'Amt Schedules'!M11</f>
        <v>29164</v>
      </c>
      <c r="O12" s="38"/>
      <c r="P12" s="38">
        <f>'Amt Schedules'!K12</f>
        <v>24000</v>
      </c>
      <c r="Q12" s="38"/>
      <c r="R12" s="38">
        <f>'Amt Schedules'!M12</f>
        <v>28215</v>
      </c>
      <c r="S12" s="38"/>
      <c r="T12" s="38">
        <f>'Amt Schedules'!K13</f>
        <v>25000</v>
      </c>
      <c r="U12" s="38"/>
      <c r="V12" s="38">
        <f>'Amt Schedules'!M13</f>
        <v>27225</v>
      </c>
      <c r="W12" s="34"/>
      <c r="X12" s="34">
        <v>261654</v>
      </c>
      <c r="Y12" s="31"/>
    </row>
    <row r="13" spans="1:26" ht="15.5" x14ac:dyDescent="0.35">
      <c r="A13" s="68"/>
      <c r="B13" s="36" t="s">
        <v>199</v>
      </c>
      <c r="C13" s="34"/>
      <c r="D13" s="38">
        <f>'Amt Schedules'!S9</f>
        <v>27680</v>
      </c>
      <c r="E13" s="38"/>
      <c r="F13" s="38">
        <f>'Amt Schedules'!U9</f>
        <v>48333</v>
      </c>
      <c r="G13" s="38"/>
      <c r="H13" s="38">
        <f>'Amt Schedules'!S10</f>
        <v>28820</v>
      </c>
      <c r="I13" s="38"/>
      <c r="J13" s="38">
        <f>'Amt Schedules'!U10</f>
        <v>47191</v>
      </c>
      <c r="K13" s="38"/>
      <c r="L13" s="38">
        <f>'Amt Schedules'!S10</f>
        <v>28820</v>
      </c>
      <c r="M13" s="38"/>
      <c r="N13" s="38">
        <f>'Amt Schedules'!U11</f>
        <v>46002</v>
      </c>
      <c r="O13" s="38"/>
      <c r="P13" s="38">
        <f>'Amt Schedules'!S12</f>
        <v>31250</v>
      </c>
      <c r="Q13" s="38"/>
      <c r="R13" s="38">
        <f>'Amt Schedules'!U12</f>
        <v>44764</v>
      </c>
      <c r="S13" s="38"/>
      <c r="T13" s="38">
        <f>'Amt Schedules'!S13</f>
        <v>32540</v>
      </c>
      <c r="U13" s="38"/>
      <c r="V13" s="38">
        <f>'Amt Schedules'!U13</f>
        <v>43475</v>
      </c>
      <c r="W13" s="34"/>
      <c r="X13" s="34">
        <v>380065</v>
      </c>
      <c r="Y13" s="31"/>
    </row>
    <row r="14" spans="1:26" ht="15.5" x14ac:dyDescent="0.35">
      <c r="A14" s="68"/>
      <c r="B14" s="36" t="s">
        <v>200</v>
      </c>
      <c r="C14" s="34"/>
      <c r="D14" s="38">
        <f>'Amt Schedules'!AA9</f>
        <v>6500</v>
      </c>
      <c r="E14" s="38"/>
      <c r="F14" s="38">
        <f>'Amt Schedules'!AC9</f>
        <v>3361</v>
      </c>
      <c r="G14" s="38"/>
      <c r="H14" s="38">
        <f>'Amt Schedules'!AA10</f>
        <v>6500</v>
      </c>
      <c r="I14" s="38"/>
      <c r="J14" s="38">
        <f>'Amt Schedules'!AC10</f>
        <v>3288</v>
      </c>
      <c r="K14" s="38"/>
      <c r="L14" s="38">
        <f>'Amt Schedules'!AA11</f>
        <v>6500</v>
      </c>
      <c r="M14" s="38"/>
      <c r="N14" s="38">
        <f>'Amt Schedules'!AC11</f>
        <v>3215</v>
      </c>
      <c r="O14" s="38"/>
      <c r="P14" s="38">
        <f>'Amt Schedules'!AA12</f>
        <v>6500</v>
      </c>
      <c r="Q14" s="38"/>
      <c r="R14" s="38">
        <f>'Amt Schedules'!AC12</f>
        <v>3142</v>
      </c>
      <c r="S14" s="38"/>
      <c r="T14" s="38">
        <f>'Amt Schedules'!AA13</f>
        <v>6500</v>
      </c>
      <c r="U14" s="38"/>
      <c r="V14" s="38">
        <f>'Amt Schedules'!AC13</f>
        <v>3068</v>
      </c>
      <c r="W14" s="34"/>
      <c r="X14" s="34">
        <v>48574</v>
      </c>
      <c r="Y14" s="31"/>
    </row>
    <row r="15" spans="1:26" ht="15.5" x14ac:dyDescent="0.35">
      <c r="A15" s="68"/>
      <c r="B15" s="36" t="s">
        <v>201</v>
      </c>
      <c r="C15" s="34"/>
      <c r="D15" s="44">
        <f>'Amt Schedules'!AI9</f>
        <v>55000</v>
      </c>
      <c r="E15" s="38"/>
      <c r="F15" s="44">
        <f>'Amt Schedules'!AK9</f>
        <v>40062</v>
      </c>
      <c r="G15" s="38"/>
      <c r="H15" s="44">
        <f>'Amt Schedules'!AI10</f>
        <v>60000</v>
      </c>
      <c r="I15" s="38"/>
      <c r="J15" s="44">
        <f>'Amt Schedules'!AK10</f>
        <v>37762</v>
      </c>
      <c r="K15" s="38"/>
      <c r="L15" s="44">
        <f>'Amt Schedules'!AI11</f>
        <v>60000</v>
      </c>
      <c r="M15" s="38"/>
      <c r="N15" s="44">
        <f>'Amt Schedules'!AK11</f>
        <v>35062</v>
      </c>
      <c r="O15" s="38"/>
      <c r="P15" s="44">
        <f>'Amt Schedules'!AI12</f>
        <v>65000</v>
      </c>
      <c r="Q15" s="38"/>
      <c r="R15" s="44">
        <f>'Amt Schedules'!AK12</f>
        <v>32262</v>
      </c>
      <c r="S15" s="38"/>
      <c r="T15" s="44">
        <f>'Amt Schedules'!AI13</f>
        <v>65000</v>
      </c>
      <c r="U15" s="38"/>
      <c r="V15" s="44">
        <f>'Amt Schedules'!AK13</f>
        <v>29662</v>
      </c>
      <c r="W15" s="34"/>
      <c r="X15" s="42">
        <v>479810</v>
      </c>
      <c r="Y15" s="31"/>
    </row>
    <row r="16" spans="1:26" ht="16" thickBot="1" x14ac:dyDescent="0.4">
      <c r="A16" s="68"/>
      <c r="B16" s="35" t="s">
        <v>202</v>
      </c>
      <c r="C16" s="34"/>
      <c r="D16" s="167">
        <f>SUM(D11:D15)</f>
        <v>120180</v>
      </c>
      <c r="E16" s="40"/>
      <c r="F16" s="167">
        <f>SUM(F11:F15)</f>
        <v>129170</v>
      </c>
      <c r="G16" s="40"/>
      <c r="H16" s="167">
        <f>SUM(H11:H15)</f>
        <v>126320</v>
      </c>
      <c r="I16" s="40"/>
      <c r="J16" s="167">
        <f>SUM(J11:J15)</f>
        <v>124455</v>
      </c>
      <c r="K16" s="40"/>
      <c r="L16" s="167">
        <f>SUM(L11:L15)</f>
        <v>127820</v>
      </c>
      <c r="M16" s="40"/>
      <c r="N16" s="167">
        <f>SUM(N11:N15)</f>
        <v>119293</v>
      </c>
      <c r="O16" s="40"/>
      <c r="P16" s="167">
        <f>SUM(P11:P15)</f>
        <v>136750</v>
      </c>
      <c r="Q16" s="40"/>
      <c r="R16" s="167">
        <f>SUM(R11:R15)</f>
        <v>113924</v>
      </c>
      <c r="S16" s="40"/>
      <c r="T16" s="167">
        <f>SUM(T11:T15)</f>
        <v>139040</v>
      </c>
      <c r="U16" s="40"/>
      <c r="V16" s="167">
        <f>SUM(V11:V15)</f>
        <v>108646</v>
      </c>
      <c r="W16" s="34"/>
      <c r="X16" s="167">
        <f>SUM(X11:X15)</f>
        <v>1246788</v>
      </c>
      <c r="Y16" s="31"/>
    </row>
    <row r="17" spans="1:25" ht="16" thickTop="1" x14ac:dyDescent="0.35">
      <c r="A17" s="6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4"/>
      <c r="X17" s="39"/>
      <c r="Y17" s="31"/>
    </row>
    <row r="18" spans="1:25" ht="16" thickBot="1" x14ac:dyDescent="0.4">
      <c r="A18" s="68"/>
      <c r="B18" s="35" t="s">
        <v>140</v>
      </c>
      <c r="C18" s="35"/>
      <c r="D18" s="168">
        <f>ROUND(D16/5,0)</f>
        <v>24036</v>
      </c>
      <c r="E18" s="39"/>
      <c r="F18" s="168">
        <f>ROUND(F16/5,0)</f>
        <v>25834</v>
      </c>
      <c r="G18" s="39"/>
      <c r="H18" s="168">
        <f>ROUND(H16/5,0)</f>
        <v>25264</v>
      </c>
      <c r="I18" s="39"/>
      <c r="J18" s="168">
        <f>ROUND(J16/5,0)</f>
        <v>24891</v>
      </c>
      <c r="K18" s="39"/>
      <c r="L18" s="168">
        <f>ROUND(L16/5,0)</f>
        <v>25564</v>
      </c>
      <c r="M18" s="39"/>
      <c r="N18" s="168">
        <f>ROUND(N16/5,0)</f>
        <v>23859</v>
      </c>
      <c r="O18" s="39"/>
      <c r="P18" s="168">
        <f>ROUND(P16/5,0)</f>
        <v>27350</v>
      </c>
      <c r="Q18" s="39"/>
      <c r="R18" s="168">
        <f>ROUND(R16/5,0)</f>
        <v>22785</v>
      </c>
      <c r="S18" s="39"/>
      <c r="T18" s="168">
        <f>ROUND(T16/5,0)</f>
        <v>27808</v>
      </c>
      <c r="U18" s="39"/>
      <c r="V18" s="168">
        <f>ROUND(V16/5,0)</f>
        <v>21729</v>
      </c>
      <c r="W18" s="34"/>
      <c r="X18" s="168">
        <f>ROUND(X16/5,0)</f>
        <v>249358</v>
      </c>
      <c r="Y18" s="31"/>
    </row>
    <row r="19" spans="1:25" ht="16" thickTop="1" x14ac:dyDescent="0.35">
      <c r="A19" s="6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70"/>
    </row>
    <row r="20" spans="1:25" ht="15.5" x14ac:dyDescent="0.35">
      <c r="A20" s="2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5" ht="15.5" x14ac:dyDescent="0.35">
      <c r="A21" s="27"/>
      <c r="B21" s="35" t="s">
        <v>203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7">
        <f>SUM(D18,H18,L18,P18,T18)</f>
        <v>130022</v>
      </c>
    </row>
    <row r="22" spans="1:25" ht="15.5" x14ac:dyDescent="0.35">
      <c r="A22" s="27"/>
      <c r="B22" s="35" t="s">
        <v>204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34"/>
      <c r="X22" s="42">
        <f>SUM(F18,J18,N18,R18,V18)</f>
        <v>119098</v>
      </c>
    </row>
    <row r="23" spans="1:25" ht="16" thickBot="1" x14ac:dyDescent="0.4">
      <c r="A23" s="27"/>
      <c r="B23" s="41" t="s">
        <v>59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X23" s="167">
        <f>SUM(X21:X22)</f>
        <v>249120</v>
      </c>
    </row>
    <row r="24" spans="1:25" ht="14.5" thickTop="1" x14ac:dyDescent="0.3"/>
  </sheetData>
  <mergeCells count="9">
    <mergeCell ref="B3:X3"/>
    <mergeCell ref="B4:X4"/>
    <mergeCell ref="B5:X5"/>
    <mergeCell ref="B6:X6"/>
    <mergeCell ref="D9:F9"/>
    <mergeCell ref="H9:J9"/>
    <mergeCell ref="L9:N9"/>
    <mergeCell ref="P9:R9"/>
    <mergeCell ref="T9:V9"/>
  </mergeCells>
  <printOptions horizontalCentered="1"/>
  <pageMargins left="0.6" right="0.5" top="1.5" bottom="0.75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EB6C-E0D4-4131-A92E-F40B0DC8710B}">
  <dimension ref="A1:AM48"/>
  <sheetViews>
    <sheetView topLeftCell="O1" workbookViewId="0">
      <selection activeCell="I4" sqref="I4:O4"/>
    </sheetView>
  </sheetViews>
  <sheetFormatPr defaultColWidth="9.84375" defaultRowHeight="15.5" x14ac:dyDescent="0.35"/>
  <cols>
    <col min="1" max="1" width="11.4609375" style="289" customWidth="1"/>
    <col min="2" max="2" width="1.3046875" style="290" customWidth="1"/>
    <col min="3" max="3" width="11.4609375" style="290" customWidth="1"/>
    <col min="4" max="4" width="1.3046875" style="290" customWidth="1"/>
    <col min="5" max="5" width="11.4609375" style="290" customWidth="1"/>
    <col min="6" max="6" width="1.3046875" style="290" customWidth="1"/>
    <col min="7" max="7" width="11.4609375" style="290" customWidth="1"/>
    <col min="8" max="8" width="5.765625" style="290" customWidth="1"/>
    <col min="9" max="9" width="11.4609375" style="289" customWidth="1"/>
    <col min="10" max="10" width="1.3046875" style="290" customWidth="1"/>
    <col min="11" max="11" width="11.4609375" style="290" customWidth="1"/>
    <col min="12" max="12" width="1.3046875" style="290" customWidth="1"/>
    <col min="13" max="13" width="11.4609375" style="290" customWidth="1"/>
    <col min="14" max="14" width="1.3046875" style="290" customWidth="1"/>
    <col min="15" max="15" width="11.4609375" style="290" customWidth="1"/>
    <col min="16" max="16" width="5.765625" style="290" customWidth="1"/>
    <col min="17" max="17" width="11.4609375" style="289" customWidth="1"/>
    <col min="18" max="18" width="1.3046875" style="290" customWidth="1"/>
    <col min="19" max="19" width="11.4609375" style="290" customWidth="1"/>
    <col min="20" max="20" width="1.3046875" style="290" customWidth="1"/>
    <col min="21" max="21" width="11.4609375" style="290" customWidth="1"/>
    <col min="22" max="22" width="1.3046875" style="290" customWidth="1"/>
    <col min="23" max="23" width="11.4609375" style="290" customWidth="1"/>
    <col min="24" max="24" width="5.765625" style="290" customWidth="1"/>
    <col min="25" max="25" width="11.4609375" style="289" customWidth="1"/>
    <col min="26" max="26" width="1.3046875" style="290" customWidth="1"/>
    <col min="27" max="27" width="11.4609375" style="290" customWidth="1"/>
    <col min="28" max="28" width="1.3046875" style="290" customWidth="1"/>
    <col min="29" max="29" width="11.4609375" style="290" customWidth="1"/>
    <col min="30" max="30" width="1.3046875" style="290" customWidth="1"/>
    <col min="31" max="31" width="11.4609375" style="290" customWidth="1"/>
    <col min="32" max="32" width="5.765625" style="290" customWidth="1"/>
    <col min="33" max="33" width="11.4609375" style="289" customWidth="1"/>
    <col min="34" max="34" width="1.3046875" style="290" customWidth="1"/>
    <col min="35" max="35" width="11.4609375" style="290" customWidth="1"/>
    <col min="36" max="36" width="1.3046875" style="290" customWidth="1"/>
    <col min="37" max="37" width="11.4609375" style="290" customWidth="1"/>
    <col min="38" max="38" width="1.3046875" style="290" customWidth="1"/>
    <col min="39" max="39" width="11.4609375" style="290" customWidth="1"/>
    <col min="40" max="16384" width="9.84375" style="290"/>
  </cols>
  <sheetData>
    <row r="1" spans="1:39" ht="20" x14ac:dyDescent="0.4">
      <c r="A1" s="386" t="s">
        <v>356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</row>
    <row r="2" spans="1:39" ht="20" x14ac:dyDescent="0.4">
      <c r="A2" s="386" t="s">
        <v>357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</row>
    <row r="5" spans="1:39" x14ac:dyDescent="0.35">
      <c r="A5" s="387" t="s">
        <v>350</v>
      </c>
      <c r="B5" s="387"/>
      <c r="C5" s="387"/>
      <c r="D5" s="387"/>
      <c r="E5" s="387"/>
      <c r="F5" s="387"/>
      <c r="G5" s="387"/>
      <c r="I5" s="387" t="s">
        <v>352</v>
      </c>
      <c r="J5" s="387"/>
      <c r="K5" s="387"/>
      <c r="L5" s="387"/>
      <c r="M5" s="387"/>
      <c r="N5" s="387"/>
      <c r="O5" s="387"/>
      <c r="Q5" s="388" t="s">
        <v>353</v>
      </c>
      <c r="R5" s="388"/>
      <c r="S5" s="388"/>
      <c r="T5" s="388"/>
      <c r="U5" s="388"/>
      <c r="V5" s="388"/>
      <c r="W5" s="388"/>
      <c r="Y5" s="387" t="s">
        <v>354</v>
      </c>
      <c r="Z5" s="387"/>
      <c r="AA5" s="387"/>
      <c r="AB5" s="387"/>
      <c r="AC5" s="387"/>
      <c r="AD5" s="387"/>
      <c r="AE5" s="387"/>
      <c r="AG5" s="387" t="s">
        <v>355</v>
      </c>
      <c r="AH5" s="387"/>
      <c r="AI5" s="387"/>
      <c r="AJ5" s="387"/>
      <c r="AK5" s="387"/>
      <c r="AL5" s="387"/>
      <c r="AM5" s="387"/>
    </row>
    <row r="6" spans="1:39" x14ac:dyDescent="0.35">
      <c r="A6" s="291"/>
      <c r="C6" s="292"/>
      <c r="E6" s="292"/>
      <c r="G6" s="292" t="s">
        <v>349</v>
      </c>
      <c r="I6" s="291"/>
      <c r="K6" s="292"/>
      <c r="M6" s="292"/>
      <c r="O6" s="292" t="s">
        <v>349</v>
      </c>
      <c r="Q6" s="291"/>
      <c r="S6" s="292"/>
      <c r="U6" s="292"/>
      <c r="W6" s="292" t="s">
        <v>349</v>
      </c>
      <c r="Y6" s="291"/>
      <c r="AA6" s="292"/>
      <c r="AC6" s="292"/>
      <c r="AE6" s="292" t="s">
        <v>349</v>
      </c>
      <c r="AG6" s="291"/>
      <c r="AI6" s="292"/>
      <c r="AK6" s="292"/>
      <c r="AM6" s="292" t="s">
        <v>349</v>
      </c>
    </row>
    <row r="7" spans="1:39" x14ac:dyDescent="0.35">
      <c r="A7" s="293" t="s">
        <v>351</v>
      </c>
      <c r="C7" s="294" t="s">
        <v>29</v>
      </c>
      <c r="E7" s="294" t="s">
        <v>30</v>
      </c>
      <c r="G7" s="294" t="s">
        <v>268</v>
      </c>
      <c r="I7" s="293" t="s">
        <v>351</v>
      </c>
      <c r="K7" s="294" t="s">
        <v>29</v>
      </c>
      <c r="M7" s="294" t="s">
        <v>30</v>
      </c>
      <c r="O7" s="294" t="s">
        <v>268</v>
      </c>
      <c r="Q7" s="293" t="s">
        <v>351</v>
      </c>
      <c r="S7" s="294" t="s">
        <v>29</v>
      </c>
      <c r="U7" s="294" t="s">
        <v>30</v>
      </c>
      <c r="W7" s="294" t="s">
        <v>268</v>
      </c>
      <c r="Y7" s="293" t="s">
        <v>351</v>
      </c>
      <c r="AA7" s="294" t="s">
        <v>29</v>
      </c>
      <c r="AC7" s="294" t="s">
        <v>30</v>
      </c>
      <c r="AE7" s="294" t="s">
        <v>268</v>
      </c>
      <c r="AG7" s="293" t="s">
        <v>351</v>
      </c>
      <c r="AI7" s="294" t="s">
        <v>29</v>
      </c>
      <c r="AK7" s="294" t="s">
        <v>30</v>
      </c>
      <c r="AM7" s="294" t="s">
        <v>268</v>
      </c>
    </row>
    <row r="8" spans="1:39" x14ac:dyDescent="0.35">
      <c r="A8" s="291">
        <v>2023</v>
      </c>
      <c r="C8" s="290">
        <v>8500</v>
      </c>
      <c r="E8" s="290">
        <v>6711</v>
      </c>
      <c r="G8" s="290">
        <f>SUM(C8,E8)</f>
        <v>15211</v>
      </c>
      <c r="I8" s="291">
        <v>2023</v>
      </c>
      <c r="K8" s="290">
        <v>21000</v>
      </c>
      <c r="M8" s="290">
        <v>31845</v>
      </c>
      <c r="O8" s="290">
        <f>SUM(K8,M8)</f>
        <v>52845</v>
      </c>
      <c r="Q8" s="291">
        <v>2023</v>
      </c>
      <c r="S8" s="290">
        <v>26590</v>
      </c>
      <c r="U8" s="290">
        <v>49429</v>
      </c>
      <c r="W8" s="290">
        <f>SUM(S8,U8)</f>
        <v>76019</v>
      </c>
      <c r="Y8" s="291">
        <v>2023</v>
      </c>
      <c r="AA8" s="290">
        <v>6500</v>
      </c>
      <c r="AC8" s="290">
        <v>3434</v>
      </c>
      <c r="AE8" s="290">
        <f>SUM(AA8,AC8)</f>
        <v>9934</v>
      </c>
      <c r="AG8" s="291">
        <v>2023</v>
      </c>
      <c r="AI8" s="290">
        <v>55000</v>
      </c>
      <c r="AK8" s="290">
        <v>42537</v>
      </c>
      <c r="AM8" s="290">
        <f>SUM(AI8,AK8)</f>
        <v>97537</v>
      </c>
    </row>
    <row r="9" spans="1:39" x14ac:dyDescent="0.35">
      <c r="A9" s="291">
        <v>2024</v>
      </c>
      <c r="C9" s="290">
        <v>9000</v>
      </c>
      <c r="E9" s="290">
        <v>6435</v>
      </c>
      <c r="G9" s="290">
        <f t="shared" ref="G9:G24" si="0">SUM(C9,E9)</f>
        <v>15435</v>
      </c>
      <c r="I9" s="291">
        <v>2024</v>
      </c>
      <c r="K9" s="290">
        <v>22000</v>
      </c>
      <c r="M9" s="290">
        <v>30979</v>
      </c>
      <c r="O9" s="290">
        <f t="shared" ref="O9:O29" si="1">SUM(K9,M9)</f>
        <v>52979</v>
      </c>
      <c r="Q9" s="291">
        <v>2024</v>
      </c>
      <c r="S9" s="290">
        <v>27680</v>
      </c>
      <c r="U9" s="290">
        <v>48333</v>
      </c>
      <c r="W9" s="290">
        <f t="shared" ref="W9:W46" si="2">SUM(S9,U9)</f>
        <v>76013</v>
      </c>
      <c r="Y9" s="291">
        <v>2024</v>
      </c>
      <c r="AA9" s="290">
        <v>6500</v>
      </c>
      <c r="AC9" s="290">
        <v>3361</v>
      </c>
      <c r="AE9" s="290">
        <f>SUM(AA9,AC9)</f>
        <v>9861</v>
      </c>
      <c r="AG9" s="291">
        <v>2024</v>
      </c>
      <c r="AI9" s="290">
        <v>55000</v>
      </c>
      <c r="AK9" s="290">
        <v>40062</v>
      </c>
      <c r="AM9" s="290">
        <f t="shared" ref="AM9:AM46" si="3">SUM(AI9,AK9)</f>
        <v>95062</v>
      </c>
    </row>
    <row r="10" spans="1:39" x14ac:dyDescent="0.35">
      <c r="A10" s="291">
        <v>2025</v>
      </c>
      <c r="C10" s="290">
        <v>9000</v>
      </c>
      <c r="E10" s="290">
        <v>6143</v>
      </c>
      <c r="G10" s="290">
        <f t="shared" si="0"/>
        <v>15143</v>
      </c>
      <c r="I10" s="291">
        <v>2025</v>
      </c>
      <c r="K10" s="290">
        <v>22000</v>
      </c>
      <c r="M10" s="290">
        <v>30071</v>
      </c>
      <c r="O10" s="290">
        <f t="shared" si="1"/>
        <v>52071</v>
      </c>
      <c r="Q10" s="291">
        <v>2025</v>
      </c>
      <c r="S10" s="290">
        <v>28820</v>
      </c>
      <c r="U10" s="290">
        <v>47191</v>
      </c>
      <c r="W10" s="290">
        <f t="shared" si="2"/>
        <v>76011</v>
      </c>
      <c r="Y10" s="291">
        <v>2025</v>
      </c>
      <c r="AA10" s="290">
        <v>6500</v>
      </c>
      <c r="AC10" s="290">
        <v>3288</v>
      </c>
      <c r="AE10" s="290">
        <f t="shared" ref="AE10:AE46" si="4">SUM(AA10,AC10)</f>
        <v>9788</v>
      </c>
      <c r="AG10" s="291">
        <v>2025</v>
      </c>
      <c r="AI10" s="290">
        <v>60000</v>
      </c>
      <c r="AK10" s="290">
        <v>37762</v>
      </c>
      <c r="AM10" s="290">
        <f t="shared" si="3"/>
        <v>97762</v>
      </c>
    </row>
    <row r="11" spans="1:39" x14ac:dyDescent="0.35">
      <c r="A11" s="291">
        <v>2026</v>
      </c>
      <c r="C11" s="290">
        <v>9500</v>
      </c>
      <c r="E11" s="290">
        <v>5850</v>
      </c>
      <c r="G11" s="290">
        <f t="shared" si="0"/>
        <v>15350</v>
      </c>
      <c r="I11" s="291">
        <v>2026</v>
      </c>
      <c r="K11" s="290">
        <v>23000</v>
      </c>
      <c r="M11" s="290">
        <v>29164</v>
      </c>
      <c r="O11" s="290">
        <f t="shared" si="1"/>
        <v>52164</v>
      </c>
      <c r="Q11" s="291">
        <v>2026</v>
      </c>
      <c r="S11" s="290">
        <v>30010</v>
      </c>
      <c r="U11" s="290">
        <v>46002</v>
      </c>
      <c r="W11" s="290">
        <f t="shared" si="2"/>
        <v>76012</v>
      </c>
      <c r="Y11" s="291">
        <v>2026</v>
      </c>
      <c r="AA11" s="290">
        <v>6500</v>
      </c>
      <c r="AC11" s="290">
        <v>3215</v>
      </c>
      <c r="AE11" s="290">
        <f t="shared" si="4"/>
        <v>9715</v>
      </c>
      <c r="AG11" s="291">
        <v>2026</v>
      </c>
      <c r="AI11" s="290">
        <v>60000</v>
      </c>
      <c r="AK11" s="290">
        <v>35062</v>
      </c>
      <c r="AM11" s="290">
        <f t="shared" si="3"/>
        <v>95062</v>
      </c>
    </row>
    <row r="12" spans="1:39" x14ac:dyDescent="0.35">
      <c r="A12" s="291">
        <v>2027</v>
      </c>
      <c r="C12" s="290">
        <v>10000</v>
      </c>
      <c r="E12" s="290">
        <v>5541</v>
      </c>
      <c r="G12" s="290">
        <f t="shared" si="0"/>
        <v>15541</v>
      </c>
      <c r="I12" s="291">
        <v>2027</v>
      </c>
      <c r="K12" s="290">
        <v>24000</v>
      </c>
      <c r="M12" s="290">
        <v>28215</v>
      </c>
      <c r="O12" s="290">
        <f t="shared" si="1"/>
        <v>52215</v>
      </c>
      <c r="Q12" s="291">
        <v>2027</v>
      </c>
      <c r="S12" s="290">
        <v>31250</v>
      </c>
      <c r="U12" s="290">
        <v>44764</v>
      </c>
      <c r="W12" s="290">
        <f t="shared" si="2"/>
        <v>76014</v>
      </c>
      <c r="Y12" s="291">
        <v>2027</v>
      </c>
      <c r="AA12" s="290">
        <v>6500</v>
      </c>
      <c r="AC12" s="290">
        <v>3142</v>
      </c>
      <c r="AE12" s="290">
        <f t="shared" si="4"/>
        <v>9642</v>
      </c>
      <c r="AG12" s="291">
        <v>2027</v>
      </c>
      <c r="AI12" s="290">
        <v>65000</v>
      </c>
      <c r="AK12" s="290">
        <v>32262</v>
      </c>
      <c r="AM12" s="290">
        <f t="shared" si="3"/>
        <v>97262</v>
      </c>
    </row>
    <row r="13" spans="1:39" x14ac:dyDescent="0.35">
      <c r="A13" s="291">
        <v>2028</v>
      </c>
      <c r="C13" s="290">
        <v>10000</v>
      </c>
      <c r="E13" s="290">
        <v>5216</v>
      </c>
      <c r="G13" s="290">
        <f t="shared" si="0"/>
        <v>15216</v>
      </c>
      <c r="I13" s="291">
        <v>2028</v>
      </c>
      <c r="K13" s="290">
        <v>25000</v>
      </c>
      <c r="M13" s="290">
        <v>27225</v>
      </c>
      <c r="O13" s="290">
        <f t="shared" si="1"/>
        <v>52225</v>
      </c>
      <c r="Q13" s="291">
        <v>2028</v>
      </c>
      <c r="S13" s="290">
        <v>32540</v>
      </c>
      <c r="U13" s="290">
        <v>43475</v>
      </c>
      <c r="W13" s="290">
        <f t="shared" si="2"/>
        <v>76015</v>
      </c>
      <c r="Y13" s="291">
        <v>2028</v>
      </c>
      <c r="AA13" s="290">
        <v>6500</v>
      </c>
      <c r="AC13" s="290">
        <v>3068</v>
      </c>
      <c r="AE13" s="290">
        <f t="shared" si="4"/>
        <v>9568</v>
      </c>
      <c r="AG13" s="291">
        <v>2028</v>
      </c>
      <c r="AI13" s="290">
        <v>65000</v>
      </c>
      <c r="AK13" s="290">
        <v>29662</v>
      </c>
      <c r="AM13" s="290">
        <f t="shared" si="3"/>
        <v>94662</v>
      </c>
    </row>
    <row r="14" spans="1:39" x14ac:dyDescent="0.35">
      <c r="A14" s="291">
        <v>2029</v>
      </c>
      <c r="C14" s="290">
        <v>10500</v>
      </c>
      <c r="E14" s="290">
        <v>4891</v>
      </c>
      <c r="G14" s="290">
        <f t="shared" si="0"/>
        <v>15391</v>
      </c>
      <c r="I14" s="291">
        <v>2029</v>
      </c>
      <c r="K14" s="290">
        <v>26000</v>
      </c>
      <c r="M14" s="290">
        <v>26194</v>
      </c>
      <c r="O14" s="290">
        <f t="shared" si="1"/>
        <v>52194</v>
      </c>
      <c r="Q14" s="291">
        <v>2029</v>
      </c>
      <c r="S14" s="290">
        <v>33880</v>
      </c>
      <c r="U14" s="290">
        <v>42133</v>
      </c>
      <c r="W14" s="290">
        <f t="shared" si="2"/>
        <v>76013</v>
      </c>
      <c r="Y14" s="291">
        <v>2029</v>
      </c>
      <c r="AA14" s="290">
        <v>7000</v>
      </c>
      <c r="AC14" s="290">
        <v>2993</v>
      </c>
      <c r="AE14" s="290">
        <f t="shared" si="4"/>
        <v>9993</v>
      </c>
      <c r="AG14" s="291">
        <v>2029</v>
      </c>
      <c r="AI14" s="290">
        <v>65000</v>
      </c>
      <c r="AK14" s="290">
        <v>27062</v>
      </c>
      <c r="AM14" s="290">
        <f t="shared" si="3"/>
        <v>92062</v>
      </c>
    </row>
    <row r="15" spans="1:39" x14ac:dyDescent="0.35">
      <c r="A15" s="291">
        <v>2030</v>
      </c>
      <c r="C15" s="290">
        <v>11000</v>
      </c>
      <c r="E15" s="290">
        <v>4550</v>
      </c>
      <c r="G15" s="290">
        <f t="shared" si="0"/>
        <v>15550</v>
      </c>
      <c r="I15" s="291">
        <v>2030</v>
      </c>
      <c r="K15" s="290">
        <v>27000</v>
      </c>
      <c r="M15" s="290">
        <v>25121</v>
      </c>
      <c r="O15" s="290">
        <f t="shared" si="1"/>
        <v>52121</v>
      </c>
      <c r="Q15" s="291">
        <v>2030</v>
      </c>
      <c r="S15" s="290">
        <v>35280</v>
      </c>
      <c r="U15" s="290">
        <v>40735</v>
      </c>
      <c r="W15" s="290">
        <f t="shared" si="2"/>
        <v>76015</v>
      </c>
      <c r="Y15" s="291">
        <v>2030</v>
      </c>
      <c r="AA15" s="290">
        <v>7000</v>
      </c>
      <c r="AC15" s="290">
        <v>2914</v>
      </c>
      <c r="AE15" s="290">
        <f t="shared" si="4"/>
        <v>9914</v>
      </c>
      <c r="AG15" s="291">
        <v>2030</v>
      </c>
      <c r="AI15" s="290">
        <v>70000</v>
      </c>
      <c r="AK15" s="290">
        <v>24537</v>
      </c>
      <c r="AM15" s="290">
        <f t="shared" si="3"/>
        <v>94537</v>
      </c>
    </row>
    <row r="16" spans="1:39" x14ac:dyDescent="0.35">
      <c r="A16" s="291">
        <v>2031</v>
      </c>
      <c r="C16" s="290">
        <v>11000</v>
      </c>
      <c r="E16" s="290">
        <v>4193</v>
      </c>
      <c r="G16" s="290">
        <f t="shared" si="0"/>
        <v>15193</v>
      </c>
      <c r="I16" s="291">
        <v>2031</v>
      </c>
      <c r="K16" s="290">
        <v>29000</v>
      </c>
      <c r="M16" s="290">
        <v>24008</v>
      </c>
      <c r="O16" s="290">
        <f t="shared" si="1"/>
        <v>53008</v>
      </c>
      <c r="Q16" s="291">
        <v>2031</v>
      </c>
      <c r="S16" s="290">
        <v>36740</v>
      </c>
      <c r="U16" s="290">
        <v>39280</v>
      </c>
      <c r="W16" s="290">
        <f t="shared" si="2"/>
        <v>76020</v>
      </c>
      <c r="Y16" s="291">
        <v>2031</v>
      </c>
      <c r="AA16" s="290">
        <v>7000</v>
      </c>
      <c r="AC16" s="290">
        <v>2835</v>
      </c>
      <c r="AE16" s="290">
        <f t="shared" si="4"/>
        <v>9835</v>
      </c>
      <c r="AG16" s="291">
        <v>2031</v>
      </c>
      <c r="AI16" s="290">
        <v>70000</v>
      </c>
      <c r="AK16" s="290">
        <v>22087</v>
      </c>
      <c r="AM16" s="290">
        <f t="shared" si="3"/>
        <v>92087</v>
      </c>
    </row>
    <row r="17" spans="1:39" x14ac:dyDescent="0.35">
      <c r="A17" s="291">
        <v>2032</v>
      </c>
      <c r="C17" s="290">
        <v>11500</v>
      </c>
      <c r="E17" s="290">
        <v>3835</v>
      </c>
      <c r="G17" s="290">
        <f t="shared" si="0"/>
        <v>15335</v>
      </c>
      <c r="I17" s="291">
        <v>2032</v>
      </c>
      <c r="K17" s="290">
        <v>30000</v>
      </c>
      <c r="M17" s="290">
        <v>22811</v>
      </c>
      <c r="O17" s="290">
        <f t="shared" si="1"/>
        <v>52811</v>
      </c>
      <c r="Q17" s="291">
        <v>2032</v>
      </c>
      <c r="S17" s="290">
        <v>38250</v>
      </c>
      <c r="U17" s="290">
        <v>37764</v>
      </c>
      <c r="W17" s="290">
        <f t="shared" si="2"/>
        <v>76014</v>
      </c>
      <c r="Y17" s="291">
        <v>2032</v>
      </c>
      <c r="AA17" s="290">
        <v>7000</v>
      </c>
      <c r="AC17" s="290">
        <v>2756</v>
      </c>
      <c r="AE17" s="290">
        <f t="shared" si="4"/>
        <v>9756</v>
      </c>
      <c r="AG17" s="291">
        <v>2032</v>
      </c>
      <c r="AI17" s="290">
        <v>75000</v>
      </c>
      <c r="AK17" s="290">
        <v>19550</v>
      </c>
      <c r="AM17" s="290">
        <f t="shared" si="3"/>
        <v>94550</v>
      </c>
    </row>
    <row r="18" spans="1:39" x14ac:dyDescent="0.35">
      <c r="A18" s="291">
        <v>2033</v>
      </c>
      <c r="C18" s="290">
        <v>12000</v>
      </c>
      <c r="E18" s="290">
        <v>3461</v>
      </c>
      <c r="G18" s="290">
        <f t="shared" si="0"/>
        <v>15461</v>
      </c>
      <c r="I18" s="291">
        <v>2033</v>
      </c>
      <c r="K18" s="290">
        <v>31000</v>
      </c>
      <c r="M18" s="290">
        <v>21574</v>
      </c>
      <c r="O18" s="290">
        <f t="shared" si="1"/>
        <v>52574</v>
      </c>
      <c r="Q18" s="291">
        <v>2033</v>
      </c>
      <c r="S18" s="290">
        <v>39830</v>
      </c>
      <c r="U18" s="290">
        <v>36187</v>
      </c>
      <c r="W18" s="290">
        <f t="shared" si="2"/>
        <v>76017</v>
      </c>
      <c r="Y18" s="291">
        <v>2033</v>
      </c>
      <c r="AA18" s="290">
        <v>7000</v>
      </c>
      <c r="AC18" s="290">
        <v>2677</v>
      </c>
      <c r="AE18" s="290">
        <f t="shared" si="4"/>
        <v>9677</v>
      </c>
      <c r="AG18" s="291">
        <v>2033</v>
      </c>
      <c r="AI18" s="290">
        <v>55000</v>
      </c>
      <c r="AK18" s="290">
        <v>17207</v>
      </c>
      <c r="AM18" s="290">
        <f t="shared" si="3"/>
        <v>72207</v>
      </c>
    </row>
    <row r="19" spans="1:39" x14ac:dyDescent="0.35">
      <c r="A19" s="291">
        <v>2034</v>
      </c>
      <c r="C19" s="290">
        <v>12000</v>
      </c>
      <c r="E19" s="290">
        <v>3071</v>
      </c>
      <c r="G19" s="290">
        <f t="shared" si="0"/>
        <v>15071</v>
      </c>
      <c r="I19" s="291">
        <v>2034</v>
      </c>
      <c r="K19" s="290">
        <v>32000</v>
      </c>
      <c r="M19" s="290">
        <v>20295</v>
      </c>
      <c r="O19" s="290">
        <f t="shared" si="1"/>
        <v>52295</v>
      </c>
      <c r="Q19" s="291">
        <v>2034</v>
      </c>
      <c r="S19" s="290">
        <v>41470</v>
      </c>
      <c r="U19" s="290">
        <v>34544</v>
      </c>
      <c r="W19" s="290">
        <f t="shared" si="2"/>
        <v>76014</v>
      </c>
      <c r="Y19" s="291">
        <v>2034</v>
      </c>
      <c r="AA19" s="290">
        <v>7000</v>
      </c>
      <c r="AC19" s="290">
        <v>2599</v>
      </c>
      <c r="AE19" s="290">
        <f t="shared" si="4"/>
        <v>9599</v>
      </c>
      <c r="AG19" s="291">
        <v>2034</v>
      </c>
      <c r="AI19" s="290">
        <v>60000</v>
      </c>
      <c r="AK19" s="290">
        <v>15051</v>
      </c>
      <c r="AM19" s="290">
        <f t="shared" si="3"/>
        <v>75051</v>
      </c>
    </row>
    <row r="20" spans="1:39" x14ac:dyDescent="0.35">
      <c r="A20" s="291">
        <v>2035</v>
      </c>
      <c r="C20" s="290">
        <v>13000</v>
      </c>
      <c r="E20" s="290">
        <v>2681</v>
      </c>
      <c r="G20" s="290">
        <f t="shared" si="0"/>
        <v>15681</v>
      </c>
      <c r="I20" s="291">
        <v>2035</v>
      </c>
      <c r="K20" s="290">
        <v>34000</v>
      </c>
      <c r="M20" s="290">
        <v>18975</v>
      </c>
      <c r="O20" s="290">
        <f t="shared" si="1"/>
        <v>52975</v>
      </c>
      <c r="Q20" s="291">
        <v>2035</v>
      </c>
      <c r="S20" s="290">
        <v>43180</v>
      </c>
      <c r="U20" s="290">
        <v>32833</v>
      </c>
      <c r="W20" s="290">
        <f t="shared" si="2"/>
        <v>76013</v>
      </c>
      <c r="Y20" s="291">
        <v>2035</v>
      </c>
      <c r="AA20" s="290">
        <v>7500</v>
      </c>
      <c r="AC20" s="290">
        <v>2517</v>
      </c>
      <c r="AE20" s="290">
        <f t="shared" si="4"/>
        <v>10017</v>
      </c>
      <c r="AG20" s="291">
        <v>2035</v>
      </c>
      <c r="AI20" s="290">
        <v>40000</v>
      </c>
      <c r="AK20" s="290">
        <v>13176</v>
      </c>
      <c r="AM20" s="290">
        <f t="shared" si="3"/>
        <v>53176</v>
      </c>
    </row>
    <row r="21" spans="1:39" x14ac:dyDescent="0.35">
      <c r="A21" s="291">
        <v>2036</v>
      </c>
      <c r="C21" s="290">
        <v>13000</v>
      </c>
      <c r="E21" s="290">
        <v>2259</v>
      </c>
      <c r="G21" s="290">
        <f t="shared" si="0"/>
        <v>15259</v>
      </c>
      <c r="I21" s="291">
        <v>2036</v>
      </c>
      <c r="K21" s="290">
        <v>35000</v>
      </c>
      <c r="M21" s="290">
        <v>17573</v>
      </c>
      <c r="O21" s="290">
        <f t="shared" si="1"/>
        <v>52573</v>
      </c>
      <c r="Q21" s="291">
        <v>2036</v>
      </c>
      <c r="S21" s="290">
        <v>44960</v>
      </c>
      <c r="U21" s="290">
        <v>31052</v>
      </c>
      <c r="W21" s="290">
        <f t="shared" si="2"/>
        <v>76012</v>
      </c>
      <c r="Y21" s="291">
        <v>2036</v>
      </c>
      <c r="AA21" s="290">
        <v>7500</v>
      </c>
      <c r="AC21" s="290">
        <v>2432</v>
      </c>
      <c r="AE21" s="290">
        <f t="shared" si="4"/>
        <v>9932</v>
      </c>
      <c r="AG21" s="291">
        <v>2036</v>
      </c>
      <c r="AI21" s="290">
        <v>45000</v>
      </c>
      <c r="AK21" s="290">
        <v>11582</v>
      </c>
      <c r="AM21" s="290">
        <f t="shared" si="3"/>
        <v>56582</v>
      </c>
    </row>
    <row r="22" spans="1:39" x14ac:dyDescent="0.35">
      <c r="A22" s="291">
        <v>2037</v>
      </c>
      <c r="C22" s="290">
        <v>13500</v>
      </c>
      <c r="E22" s="290">
        <v>1836</v>
      </c>
      <c r="G22" s="290">
        <f t="shared" si="0"/>
        <v>15336</v>
      </c>
      <c r="I22" s="291">
        <v>2037</v>
      </c>
      <c r="K22" s="290">
        <v>36000</v>
      </c>
      <c r="M22" s="290">
        <v>16129</v>
      </c>
      <c r="O22" s="290">
        <f t="shared" si="1"/>
        <v>52129</v>
      </c>
      <c r="Q22" s="291">
        <v>2037</v>
      </c>
      <c r="S22" s="290">
        <v>46820</v>
      </c>
      <c r="U22" s="290">
        <v>29197</v>
      </c>
      <c r="W22" s="290">
        <f t="shared" si="2"/>
        <v>76017</v>
      </c>
      <c r="Y22" s="291">
        <v>2037</v>
      </c>
      <c r="AA22" s="290">
        <v>7500</v>
      </c>
      <c r="AC22" s="290">
        <v>2348</v>
      </c>
      <c r="AE22" s="290">
        <f t="shared" si="4"/>
        <v>9848</v>
      </c>
      <c r="AG22" s="291">
        <v>2037</v>
      </c>
      <c r="AI22" s="290">
        <v>45000</v>
      </c>
      <c r="AK22" s="290">
        <v>9894</v>
      </c>
      <c r="AM22" s="290">
        <f t="shared" si="3"/>
        <v>54894</v>
      </c>
    </row>
    <row r="23" spans="1:39" x14ac:dyDescent="0.35">
      <c r="A23" s="291">
        <v>2038</v>
      </c>
      <c r="C23" s="290">
        <v>14000</v>
      </c>
      <c r="E23" s="290">
        <v>1398</v>
      </c>
      <c r="G23" s="290">
        <f t="shared" si="0"/>
        <v>15398</v>
      </c>
      <c r="I23" s="291">
        <v>2038</v>
      </c>
      <c r="K23" s="290">
        <v>38000</v>
      </c>
      <c r="M23" s="290">
        <v>14644</v>
      </c>
      <c r="O23" s="290">
        <f t="shared" si="1"/>
        <v>52644</v>
      </c>
      <c r="Q23" s="291">
        <v>2038</v>
      </c>
      <c r="S23" s="290">
        <v>48750</v>
      </c>
      <c r="U23" s="290">
        <v>27266</v>
      </c>
      <c r="W23" s="290">
        <f t="shared" si="2"/>
        <v>76016</v>
      </c>
      <c r="Y23" s="291">
        <v>2038</v>
      </c>
      <c r="AA23" s="290">
        <v>7500</v>
      </c>
      <c r="AC23" s="290">
        <v>2264</v>
      </c>
      <c r="AE23" s="290">
        <f t="shared" si="4"/>
        <v>9764</v>
      </c>
      <c r="AG23" s="291">
        <v>2038</v>
      </c>
      <c r="AI23" s="290">
        <v>45000</v>
      </c>
      <c r="AK23" s="290">
        <v>8150</v>
      </c>
      <c r="AM23" s="290">
        <f t="shared" si="3"/>
        <v>53150</v>
      </c>
    </row>
    <row r="24" spans="1:39" x14ac:dyDescent="0.35">
      <c r="A24" s="291">
        <v>2039</v>
      </c>
      <c r="C24" s="290">
        <v>14500</v>
      </c>
      <c r="E24" s="290">
        <v>943</v>
      </c>
      <c r="G24" s="290">
        <f t="shared" si="0"/>
        <v>15443</v>
      </c>
      <c r="I24" s="291">
        <v>2039</v>
      </c>
      <c r="K24" s="290">
        <v>39000</v>
      </c>
      <c r="M24" s="290">
        <v>13076</v>
      </c>
      <c r="O24" s="290">
        <f t="shared" si="1"/>
        <v>52076</v>
      </c>
      <c r="Q24" s="291">
        <v>2039</v>
      </c>
      <c r="S24" s="290">
        <v>50760</v>
      </c>
      <c r="U24" s="290">
        <v>25255</v>
      </c>
      <c r="W24" s="290">
        <f t="shared" si="2"/>
        <v>76015</v>
      </c>
      <c r="Y24" s="291">
        <v>2039</v>
      </c>
      <c r="AA24" s="290">
        <v>7500</v>
      </c>
      <c r="AC24" s="290">
        <v>2180</v>
      </c>
      <c r="AE24" s="290">
        <f t="shared" si="4"/>
        <v>9680</v>
      </c>
      <c r="AG24" s="291">
        <v>2039</v>
      </c>
      <c r="AI24" s="290">
        <v>45000</v>
      </c>
      <c r="AK24" s="290">
        <v>6350</v>
      </c>
      <c r="AM24" s="290">
        <f t="shared" si="3"/>
        <v>51350</v>
      </c>
    </row>
    <row r="25" spans="1:39" x14ac:dyDescent="0.35">
      <c r="A25" s="291">
        <v>2040</v>
      </c>
      <c r="C25" s="290">
        <v>14500</v>
      </c>
      <c r="E25" s="290">
        <v>471</v>
      </c>
      <c r="G25" s="290">
        <f>SUM(C25,E25)</f>
        <v>14971</v>
      </c>
      <c r="I25" s="291">
        <v>2040</v>
      </c>
      <c r="K25" s="290">
        <v>41000</v>
      </c>
      <c r="M25" s="290">
        <v>11468</v>
      </c>
      <c r="O25" s="290">
        <f t="shared" si="1"/>
        <v>52468</v>
      </c>
      <c r="Q25" s="291">
        <v>2040</v>
      </c>
      <c r="S25" s="290">
        <v>52850</v>
      </c>
      <c r="U25" s="290">
        <v>23161</v>
      </c>
      <c r="W25" s="290">
        <f t="shared" si="2"/>
        <v>76011</v>
      </c>
      <c r="Y25" s="291">
        <v>2040</v>
      </c>
      <c r="AA25" s="290">
        <v>7500</v>
      </c>
      <c r="AC25" s="290">
        <v>2095</v>
      </c>
      <c r="AE25" s="290">
        <f t="shared" si="4"/>
        <v>9595</v>
      </c>
      <c r="AG25" s="291">
        <v>2040</v>
      </c>
      <c r="AI25" s="290">
        <v>45000</v>
      </c>
      <c r="AK25" s="290">
        <v>4550</v>
      </c>
      <c r="AM25" s="290">
        <f t="shared" si="3"/>
        <v>49550</v>
      </c>
    </row>
    <row r="26" spans="1:39" x14ac:dyDescent="0.35">
      <c r="A26" s="291">
        <v>2041</v>
      </c>
      <c r="C26" s="290">
        <v>0</v>
      </c>
      <c r="E26" s="290">
        <v>0</v>
      </c>
      <c r="G26" s="290">
        <f>SUM(C26,E26)</f>
        <v>0</v>
      </c>
      <c r="I26" s="291">
        <v>2041</v>
      </c>
      <c r="K26" s="290">
        <v>43000</v>
      </c>
      <c r="M26" s="290">
        <v>9776</v>
      </c>
      <c r="O26" s="290">
        <f t="shared" si="1"/>
        <v>52776</v>
      </c>
      <c r="Q26" s="291">
        <v>2041</v>
      </c>
      <c r="S26" s="290">
        <v>55030</v>
      </c>
      <c r="U26" s="290">
        <v>20981</v>
      </c>
      <c r="W26" s="290">
        <f t="shared" si="2"/>
        <v>76011</v>
      </c>
      <c r="Y26" s="291">
        <v>2041</v>
      </c>
      <c r="AA26" s="290">
        <v>8000</v>
      </c>
      <c r="AC26" s="290">
        <v>2008</v>
      </c>
      <c r="AE26" s="290">
        <f t="shared" si="4"/>
        <v>10008</v>
      </c>
      <c r="AG26" s="291">
        <v>2041</v>
      </c>
      <c r="AI26" s="290">
        <v>50000</v>
      </c>
      <c r="AK26" s="290">
        <v>2650</v>
      </c>
      <c r="AM26" s="290">
        <f t="shared" si="3"/>
        <v>52650</v>
      </c>
    </row>
    <row r="27" spans="1:39" x14ac:dyDescent="0.35">
      <c r="A27" s="291">
        <v>2042</v>
      </c>
      <c r="C27" s="290">
        <v>0</v>
      </c>
      <c r="E27" s="290">
        <v>0</v>
      </c>
      <c r="G27" s="290">
        <f t="shared" ref="G27:G46" si="5">SUM(C27,E27)</f>
        <v>0</v>
      </c>
      <c r="I27" s="291">
        <v>2042</v>
      </c>
      <c r="K27" s="290">
        <v>45000</v>
      </c>
      <c r="M27" s="290">
        <v>8003</v>
      </c>
      <c r="O27" s="290">
        <f t="shared" si="1"/>
        <v>53003</v>
      </c>
      <c r="Q27" s="291">
        <v>2042</v>
      </c>
      <c r="S27" s="290">
        <v>57300</v>
      </c>
      <c r="U27" s="290">
        <v>18711</v>
      </c>
      <c r="W27" s="290">
        <f t="shared" si="2"/>
        <v>76011</v>
      </c>
      <c r="Y27" s="291">
        <v>2042</v>
      </c>
      <c r="AA27" s="290">
        <v>8000</v>
      </c>
      <c r="AC27" s="290">
        <v>1919</v>
      </c>
      <c r="AE27" s="290">
        <f t="shared" si="4"/>
        <v>9919</v>
      </c>
      <c r="AG27" s="291">
        <v>2042</v>
      </c>
      <c r="AI27" s="290">
        <v>30000</v>
      </c>
      <c r="AK27" s="290">
        <v>600</v>
      </c>
      <c r="AM27" s="290">
        <f t="shared" si="3"/>
        <v>30600</v>
      </c>
    </row>
    <row r="28" spans="1:39" x14ac:dyDescent="0.35">
      <c r="A28" s="291">
        <v>2043</v>
      </c>
      <c r="C28" s="290">
        <v>0</v>
      </c>
      <c r="E28" s="290">
        <v>0</v>
      </c>
      <c r="G28" s="290">
        <f t="shared" si="5"/>
        <v>0</v>
      </c>
      <c r="I28" s="291">
        <v>2043</v>
      </c>
      <c r="K28" s="290">
        <v>46000</v>
      </c>
      <c r="M28" s="290">
        <v>6146</v>
      </c>
      <c r="O28" s="290">
        <f t="shared" si="1"/>
        <v>52146</v>
      </c>
      <c r="Q28" s="291">
        <v>2043</v>
      </c>
      <c r="S28" s="290">
        <v>59670</v>
      </c>
      <c r="U28" s="290">
        <v>16347</v>
      </c>
      <c r="W28" s="290">
        <f t="shared" si="2"/>
        <v>76017</v>
      </c>
      <c r="Y28" s="291">
        <v>2043</v>
      </c>
      <c r="AA28" s="290">
        <v>8000</v>
      </c>
      <c r="AC28" s="290">
        <v>1829</v>
      </c>
      <c r="AE28" s="290">
        <f t="shared" si="4"/>
        <v>9829</v>
      </c>
      <c r="AG28" s="291">
        <v>2043</v>
      </c>
      <c r="AI28" s="290">
        <v>0</v>
      </c>
      <c r="AK28" s="290">
        <v>0</v>
      </c>
      <c r="AM28" s="290">
        <f t="shared" si="3"/>
        <v>0</v>
      </c>
    </row>
    <row r="29" spans="1:39" x14ac:dyDescent="0.35">
      <c r="A29" s="291">
        <v>2044</v>
      </c>
      <c r="C29" s="290">
        <v>0</v>
      </c>
      <c r="E29" s="290">
        <v>0</v>
      </c>
      <c r="G29" s="290">
        <f t="shared" si="5"/>
        <v>0</v>
      </c>
      <c r="I29" s="291">
        <v>2044</v>
      </c>
      <c r="K29" s="290">
        <v>48000</v>
      </c>
      <c r="M29" s="290">
        <v>4249</v>
      </c>
      <c r="O29" s="290">
        <f t="shared" si="1"/>
        <v>52249</v>
      </c>
      <c r="Q29" s="291">
        <v>2044</v>
      </c>
      <c r="S29" s="290">
        <v>62130</v>
      </c>
      <c r="U29" s="290">
        <v>13886</v>
      </c>
      <c r="W29" s="290">
        <f t="shared" si="2"/>
        <v>76016</v>
      </c>
      <c r="Y29" s="291">
        <v>2044</v>
      </c>
      <c r="AA29" s="290">
        <v>8000</v>
      </c>
      <c r="AC29" s="290">
        <v>1738</v>
      </c>
      <c r="AE29" s="290">
        <f t="shared" si="4"/>
        <v>9738</v>
      </c>
      <c r="AG29" s="291">
        <v>2044</v>
      </c>
      <c r="AI29" s="290">
        <v>0</v>
      </c>
      <c r="AK29" s="290">
        <v>0</v>
      </c>
      <c r="AM29" s="290">
        <f t="shared" si="3"/>
        <v>0</v>
      </c>
    </row>
    <row r="30" spans="1:39" x14ac:dyDescent="0.35">
      <c r="A30" s="291">
        <v>2045</v>
      </c>
      <c r="C30" s="290">
        <v>0</v>
      </c>
      <c r="E30" s="290">
        <v>0</v>
      </c>
      <c r="G30" s="290">
        <f t="shared" si="5"/>
        <v>0</v>
      </c>
      <c r="I30" s="291">
        <v>2045</v>
      </c>
      <c r="K30" s="290">
        <v>55000</v>
      </c>
      <c r="M30" s="290">
        <v>2269</v>
      </c>
      <c r="O30" s="290">
        <f>SUM(K30,M30)</f>
        <v>57269</v>
      </c>
      <c r="Q30" s="291">
        <v>2045</v>
      </c>
      <c r="S30" s="290">
        <v>64690</v>
      </c>
      <c r="U30" s="290">
        <v>11323</v>
      </c>
      <c r="W30" s="290">
        <f t="shared" si="2"/>
        <v>76013</v>
      </c>
      <c r="Y30" s="291">
        <v>2045</v>
      </c>
      <c r="AA30" s="290">
        <v>8000</v>
      </c>
      <c r="AC30" s="290">
        <v>1647</v>
      </c>
      <c r="AE30" s="290">
        <f t="shared" si="4"/>
        <v>9647</v>
      </c>
      <c r="AG30" s="291">
        <v>2045</v>
      </c>
      <c r="AI30" s="290">
        <v>0</v>
      </c>
      <c r="AK30" s="290">
        <v>0</v>
      </c>
      <c r="AM30" s="290">
        <f t="shared" si="3"/>
        <v>0</v>
      </c>
    </row>
    <row r="31" spans="1:39" x14ac:dyDescent="0.35">
      <c r="A31" s="291">
        <v>2046</v>
      </c>
      <c r="C31" s="290">
        <v>0</v>
      </c>
      <c r="E31" s="290">
        <v>0</v>
      </c>
      <c r="G31" s="290">
        <f t="shared" si="5"/>
        <v>0</v>
      </c>
      <c r="I31" s="291">
        <v>2046</v>
      </c>
      <c r="K31" s="290">
        <v>0</v>
      </c>
      <c r="M31" s="290">
        <v>0</v>
      </c>
      <c r="O31" s="290">
        <f t="shared" ref="O31:O46" si="6">SUM(K31,M31)</f>
        <v>0</v>
      </c>
      <c r="Q31" s="291">
        <v>2046</v>
      </c>
      <c r="S31" s="290">
        <v>67360</v>
      </c>
      <c r="U31" s="290">
        <v>8655</v>
      </c>
      <c r="W31" s="290">
        <f t="shared" si="2"/>
        <v>76015</v>
      </c>
      <c r="Y31" s="291">
        <v>2046</v>
      </c>
      <c r="AA31" s="290">
        <v>8000</v>
      </c>
      <c r="AC31" s="290">
        <v>1558</v>
      </c>
      <c r="AE31" s="290">
        <f t="shared" si="4"/>
        <v>9558</v>
      </c>
      <c r="AG31" s="291">
        <v>2046</v>
      </c>
      <c r="AI31" s="290">
        <v>0</v>
      </c>
      <c r="AK31" s="290">
        <v>0</v>
      </c>
      <c r="AM31" s="290">
        <f t="shared" si="3"/>
        <v>0</v>
      </c>
    </row>
    <row r="32" spans="1:39" x14ac:dyDescent="0.35">
      <c r="A32" s="291">
        <v>2047</v>
      </c>
      <c r="C32" s="290">
        <v>0</v>
      </c>
      <c r="E32" s="290">
        <v>0</v>
      </c>
      <c r="G32" s="290">
        <f t="shared" si="5"/>
        <v>0</v>
      </c>
      <c r="I32" s="291">
        <v>2047</v>
      </c>
      <c r="K32" s="290">
        <v>0</v>
      </c>
      <c r="M32" s="290">
        <v>0</v>
      </c>
      <c r="O32" s="290">
        <f t="shared" si="6"/>
        <v>0</v>
      </c>
      <c r="Q32" s="291">
        <v>2047</v>
      </c>
      <c r="S32" s="290">
        <v>70140</v>
      </c>
      <c r="U32" s="290">
        <v>5876</v>
      </c>
      <c r="W32" s="290">
        <f t="shared" si="2"/>
        <v>76016</v>
      </c>
      <c r="Y32" s="291">
        <v>2047</v>
      </c>
      <c r="AA32" s="290">
        <v>8500</v>
      </c>
      <c r="AC32" s="290">
        <v>1466</v>
      </c>
      <c r="AE32" s="290">
        <f t="shared" si="4"/>
        <v>9966</v>
      </c>
      <c r="AG32" s="291">
        <v>2047</v>
      </c>
      <c r="AI32" s="290">
        <v>0</v>
      </c>
      <c r="AK32" s="290">
        <v>0</v>
      </c>
      <c r="AM32" s="290">
        <f t="shared" si="3"/>
        <v>0</v>
      </c>
    </row>
    <row r="33" spans="1:39" x14ac:dyDescent="0.35">
      <c r="A33" s="291">
        <v>2048</v>
      </c>
      <c r="C33" s="290">
        <v>0</v>
      </c>
      <c r="E33" s="290">
        <v>0</v>
      </c>
      <c r="G33" s="290">
        <f t="shared" si="5"/>
        <v>0</v>
      </c>
      <c r="I33" s="291">
        <v>2048</v>
      </c>
      <c r="K33" s="290">
        <v>0</v>
      </c>
      <c r="M33" s="290">
        <v>0</v>
      </c>
      <c r="O33" s="290">
        <f t="shared" si="6"/>
        <v>0</v>
      </c>
      <c r="Q33" s="291">
        <v>2048</v>
      </c>
      <c r="S33" s="290">
        <v>72310</v>
      </c>
      <c r="U33" s="290">
        <v>2983</v>
      </c>
      <c r="W33" s="290">
        <f t="shared" si="2"/>
        <v>75293</v>
      </c>
      <c r="Y33" s="291">
        <v>2048</v>
      </c>
      <c r="AA33" s="290">
        <v>8500</v>
      </c>
      <c r="AC33" s="290">
        <v>1370</v>
      </c>
      <c r="AE33" s="290">
        <f t="shared" si="4"/>
        <v>9870</v>
      </c>
      <c r="AG33" s="291">
        <v>2048</v>
      </c>
      <c r="AI33" s="290">
        <v>0</v>
      </c>
      <c r="AK33" s="290">
        <v>0</v>
      </c>
      <c r="AM33" s="290">
        <f t="shared" si="3"/>
        <v>0</v>
      </c>
    </row>
    <row r="34" spans="1:39" x14ac:dyDescent="0.35">
      <c r="A34" s="291">
        <v>2049</v>
      </c>
      <c r="C34" s="290">
        <v>0</v>
      </c>
      <c r="E34" s="290">
        <v>0</v>
      </c>
      <c r="G34" s="290">
        <f t="shared" si="5"/>
        <v>0</v>
      </c>
      <c r="I34" s="291">
        <v>2049</v>
      </c>
      <c r="K34" s="290">
        <v>0</v>
      </c>
      <c r="M34" s="290">
        <v>0</v>
      </c>
      <c r="O34" s="290">
        <f t="shared" si="6"/>
        <v>0</v>
      </c>
      <c r="Q34" s="291">
        <v>2049</v>
      </c>
      <c r="S34" s="290">
        <v>0</v>
      </c>
      <c r="U34" s="290">
        <v>0</v>
      </c>
      <c r="W34" s="290">
        <f t="shared" si="2"/>
        <v>0</v>
      </c>
      <c r="Y34" s="291">
        <v>2049</v>
      </c>
      <c r="AA34" s="290">
        <v>8500</v>
      </c>
      <c r="AC34" s="290">
        <v>1274</v>
      </c>
      <c r="AE34" s="290">
        <f t="shared" si="4"/>
        <v>9774</v>
      </c>
      <c r="AG34" s="291">
        <v>2049</v>
      </c>
      <c r="AI34" s="290">
        <v>0</v>
      </c>
      <c r="AK34" s="290">
        <v>0</v>
      </c>
      <c r="AM34" s="290">
        <f t="shared" si="3"/>
        <v>0</v>
      </c>
    </row>
    <row r="35" spans="1:39" x14ac:dyDescent="0.35">
      <c r="A35" s="291">
        <v>2050</v>
      </c>
      <c r="C35" s="290">
        <v>0</v>
      </c>
      <c r="E35" s="290">
        <v>0</v>
      </c>
      <c r="G35" s="290">
        <f t="shared" si="5"/>
        <v>0</v>
      </c>
      <c r="I35" s="291">
        <v>2050</v>
      </c>
      <c r="K35" s="290">
        <v>0</v>
      </c>
      <c r="M35" s="290">
        <v>0</v>
      </c>
      <c r="O35" s="290">
        <f t="shared" si="6"/>
        <v>0</v>
      </c>
      <c r="Q35" s="291">
        <v>2050</v>
      </c>
      <c r="S35" s="290">
        <v>0</v>
      </c>
      <c r="U35" s="290">
        <v>0</v>
      </c>
      <c r="W35" s="290">
        <f t="shared" si="2"/>
        <v>0</v>
      </c>
      <c r="Y35" s="291">
        <v>2050</v>
      </c>
      <c r="AA35" s="290">
        <v>8500</v>
      </c>
      <c r="AC35" s="290">
        <v>1178</v>
      </c>
      <c r="AE35" s="290">
        <f t="shared" si="4"/>
        <v>9678</v>
      </c>
      <c r="AG35" s="291">
        <v>2050</v>
      </c>
      <c r="AI35" s="290">
        <v>0</v>
      </c>
      <c r="AK35" s="290">
        <v>0</v>
      </c>
      <c r="AM35" s="290">
        <f t="shared" si="3"/>
        <v>0</v>
      </c>
    </row>
    <row r="36" spans="1:39" x14ac:dyDescent="0.35">
      <c r="A36" s="291">
        <v>2051</v>
      </c>
      <c r="C36" s="290">
        <v>0</v>
      </c>
      <c r="E36" s="290">
        <v>0</v>
      </c>
      <c r="G36" s="290">
        <f t="shared" si="5"/>
        <v>0</v>
      </c>
      <c r="I36" s="291">
        <v>2051</v>
      </c>
      <c r="K36" s="290">
        <v>0</v>
      </c>
      <c r="M36" s="290">
        <v>0</v>
      </c>
      <c r="O36" s="290">
        <f t="shared" si="6"/>
        <v>0</v>
      </c>
      <c r="Q36" s="291">
        <v>2051</v>
      </c>
      <c r="S36" s="290">
        <v>0</v>
      </c>
      <c r="U36" s="290">
        <v>0</v>
      </c>
      <c r="W36" s="290">
        <f t="shared" si="2"/>
        <v>0</v>
      </c>
      <c r="Y36" s="291">
        <v>2051</v>
      </c>
      <c r="AA36" s="290">
        <v>8500</v>
      </c>
      <c r="AC36" s="290">
        <v>1083</v>
      </c>
      <c r="AE36" s="290">
        <f t="shared" si="4"/>
        <v>9583</v>
      </c>
      <c r="AG36" s="291">
        <v>2051</v>
      </c>
      <c r="AI36" s="290">
        <v>0</v>
      </c>
      <c r="AK36" s="290">
        <v>0</v>
      </c>
      <c r="AM36" s="290">
        <f t="shared" si="3"/>
        <v>0</v>
      </c>
    </row>
    <row r="37" spans="1:39" x14ac:dyDescent="0.35">
      <c r="A37" s="291">
        <v>2052</v>
      </c>
      <c r="C37" s="290">
        <v>0</v>
      </c>
      <c r="E37" s="290">
        <v>0</v>
      </c>
      <c r="G37" s="290">
        <f t="shared" si="5"/>
        <v>0</v>
      </c>
      <c r="I37" s="291">
        <v>2052</v>
      </c>
      <c r="K37" s="290">
        <v>0</v>
      </c>
      <c r="M37" s="290">
        <v>0</v>
      </c>
      <c r="O37" s="290">
        <f t="shared" si="6"/>
        <v>0</v>
      </c>
      <c r="Q37" s="291">
        <v>2052</v>
      </c>
      <c r="S37" s="290">
        <v>0</v>
      </c>
      <c r="U37" s="290">
        <v>0</v>
      </c>
      <c r="W37" s="290">
        <f t="shared" si="2"/>
        <v>0</v>
      </c>
      <c r="Y37" s="291">
        <v>2052</v>
      </c>
      <c r="AA37" s="290">
        <v>9000</v>
      </c>
      <c r="AC37" s="290">
        <v>985</v>
      </c>
      <c r="AE37" s="290">
        <f t="shared" si="4"/>
        <v>9985</v>
      </c>
      <c r="AG37" s="291">
        <v>2052</v>
      </c>
      <c r="AI37" s="290">
        <v>0</v>
      </c>
      <c r="AK37" s="290">
        <v>0</v>
      </c>
      <c r="AM37" s="290">
        <f t="shared" si="3"/>
        <v>0</v>
      </c>
    </row>
    <row r="38" spans="1:39" x14ac:dyDescent="0.35">
      <c r="A38" s="291">
        <v>2053</v>
      </c>
      <c r="C38" s="290">
        <v>0</v>
      </c>
      <c r="E38" s="290">
        <v>0</v>
      </c>
      <c r="G38" s="290">
        <f t="shared" si="5"/>
        <v>0</v>
      </c>
      <c r="I38" s="291">
        <v>2053</v>
      </c>
      <c r="K38" s="290">
        <v>0</v>
      </c>
      <c r="M38" s="290">
        <v>0</v>
      </c>
      <c r="O38" s="290">
        <f t="shared" si="6"/>
        <v>0</v>
      </c>
      <c r="Q38" s="291">
        <v>2053</v>
      </c>
      <c r="S38" s="290">
        <v>0</v>
      </c>
      <c r="U38" s="290">
        <v>0</v>
      </c>
      <c r="W38" s="290">
        <f t="shared" si="2"/>
        <v>0</v>
      </c>
      <c r="Y38" s="291">
        <v>2053</v>
      </c>
      <c r="AA38" s="290">
        <v>9000</v>
      </c>
      <c r="AC38" s="290">
        <v>883</v>
      </c>
      <c r="AE38" s="290">
        <f t="shared" si="4"/>
        <v>9883</v>
      </c>
      <c r="AG38" s="291">
        <v>2053</v>
      </c>
      <c r="AI38" s="290">
        <v>0</v>
      </c>
      <c r="AK38" s="290">
        <v>0</v>
      </c>
      <c r="AM38" s="290">
        <f t="shared" si="3"/>
        <v>0</v>
      </c>
    </row>
    <row r="39" spans="1:39" x14ac:dyDescent="0.35">
      <c r="A39" s="291">
        <v>2054</v>
      </c>
      <c r="C39" s="290">
        <v>0</v>
      </c>
      <c r="E39" s="290">
        <v>0</v>
      </c>
      <c r="G39" s="290">
        <f t="shared" si="5"/>
        <v>0</v>
      </c>
      <c r="I39" s="291">
        <v>2054</v>
      </c>
      <c r="K39" s="290">
        <v>0</v>
      </c>
      <c r="M39" s="290">
        <v>0</v>
      </c>
      <c r="O39" s="290">
        <f t="shared" si="6"/>
        <v>0</v>
      </c>
      <c r="Q39" s="291">
        <v>2054</v>
      </c>
      <c r="S39" s="290">
        <v>0</v>
      </c>
      <c r="U39" s="290">
        <v>0</v>
      </c>
      <c r="W39" s="290">
        <f t="shared" si="2"/>
        <v>0</v>
      </c>
      <c r="Y39" s="291">
        <v>2054</v>
      </c>
      <c r="AA39" s="290">
        <v>9000</v>
      </c>
      <c r="AC39" s="290">
        <v>782</v>
      </c>
      <c r="AE39" s="290">
        <f t="shared" si="4"/>
        <v>9782</v>
      </c>
      <c r="AG39" s="291">
        <v>2054</v>
      </c>
      <c r="AI39" s="290">
        <v>0</v>
      </c>
      <c r="AK39" s="290">
        <v>0</v>
      </c>
      <c r="AM39" s="290">
        <f t="shared" si="3"/>
        <v>0</v>
      </c>
    </row>
    <row r="40" spans="1:39" x14ac:dyDescent="0.35">
      <c r="A40" s="291">
        <v>2055</v>
      </c>
      <c r="C40" s="290">
        <v>0</v>
      </c>
      <c r="E40" s="290">
        <v>0</v>
      </c>
      <c r="G40" s="290">
        <f t="shared" si="5"/>
        <v>0</v>
      </c>
      <c r="I40" s="291">
        <v>2055</v>
      </c>
      <c r="K40" s="290">
        <v>0</v>
      </c>
      <c r="M40" s="290">
        <v>0</v>
      </c>
      <c r="O40" s="290">
        <f t="shared" si="6"/>
        <v>0</v>
      </c>
      <c r="Q40" s="291">
        <v>2055</v>
      </c>
      <c r="S40" s="290">
        <v>0</v>
      </c>
      <c r="U40" s="290">
        <v>0</v>
      </c>
      <c r="W40" s="290">
        <f t="shared" si="2"/>
        <v>0</v>
      </c>
      <c r="Y40" s="291">
        <v>2055</v>
      </c>
      <c r="AA40" s="290">
        <v>9000</v>
      </c>
      <c r="AC40" s="290">
        <v>681</v>
      </c>
      <c r="AE40" s="290">
        <f t="shared" si="4"/>
        <v>9681</v>
      </c>
      <c r="AG40" s="291">
        <v>2055</v>
      </c>
      <c r="AI40" s="290">
        <v>0</v>
      </c>
      <c r="AK40" s="290">
        <v>0</v>
      </c>
      <c r="AM40" s="290">
        <f t="shared" si="3"/>
        <v>0</v>
      </c>
    </row>
    <row r="41" spans="1:39" x14ac:dyDescent="0.35">
      <c r="A41" s="291">
        <v>2056</v>
      </c>
      <c r="C41" s="290">
        <v>0</v>
      </c>
      <c r="E41" s="290">
        <v>0</v>
      </c>
      <c r="G41" s="290">
        <f t="shared" si="5"/>
        <v>0</v>
      </c>
      <c r="I41" s="291">
        <v>2056</v>
      </c>
      <c r="K41" s="290">
        <v>0</v>
      </c>
      <c r="M41" s="290">
        <v>0</v>
      </c>
      <c r="O41" s="290">
        <f t="shared" si="6"/>
        <v>0</v>
      </c>
      <c r="Q41" s="291">
        <v>2056</v>
      </c>
      <c r="S41" s="290">
        <v>0</v>
      </c>
      <c r="U41" s="290">
        <v>0</v>
      </c>
      <c r="W41" s="290">
        <f t="shared" si="2"/>
        <v>0</v>
      </c>
      <c r="Y41" s="291">
        <v>2056</v>
      </c>
      <c r="AA41" s="290">
        <v>9000</v>
      </c>
      <c r="AC41" s="290">
        <v>579</v>
      </c>
      <c r="AE41" s="290">
        <f t="shared" si="4"/>
        <v>9579</v>
      </c>
      <c r="AG41" s="291">
        <v>2056</v>
      </c>
      <c r="AI41" s="290">
        <v>0</v>
      </c>
      <c r="AK41" s="290">
        <v>0</v>
      </c>
      <c r="AM41" s="290">
        <f t="shared" si="3"/>
        <v>0</v>
      </c>
    </row>
    <row r="42" spans="1:39" x14ac:dyDescent="0.35">
      <c r="A42" s="291">
        <v>2057</v>
      </c>
      <c r="C42" s="290">
        <v>0</v>
      </c>
      <c r="E42" s="290">
        <v>0</v>
      </c>
      <c r="G42" s="290">
        <f t="shared" si="5"/>
        <v>0</v>
      </c>
      <c r="I42" s="291">
        <v>2057</v>
      </c>
      <c r="K42" s="290">
        <v>0</v>
      </c>
      <c r="M42" s="290">
        <v>0</v>
      </c>
      <c r="O42" s="290">
        <f t="shared" si="6"/>
        <v>0</v>
      </c>
      <c r="Q42" s="291">
        <v>2057</v>
      </c>
      <c r="S42" s="290">
        <v>0</v>
      </c>
      <c r="U42" s="290">
        <v>0</v>
      </c>
      <c r="W42" s="290">
        <f t="shared" si="2"/>
        <v>0</v>
      </c>
      <c r="Y42" s="291">
        <v>2057</v>
      </c>
      <c r="AA42" s="290">
        <v>9500</v>
      </c>
      <c r="AC42" s="290">
        <v>475</v>
      </c>
      <c r="AE42" s="290">
        <f t="shared" si="4"/>
        <v>9975</v>
      </c>
      <c r="AG42" s="291">
        <v>2057</v>
      </c>
      <c r="AI42" s="290">
        <v>0</v>
      </c>
      <c r="AK42" s="290">
        <v>0</v>
      </c>
      <c r="AM42" s="290">
        <f t="shared" si="3"/>
        <v>0</v>
      </c>
    </row>
    <row r="43" spans="1:39" x14ac:dyDescent="0.35">
      <c r="A43" s="291">
        <v>2058</v>
      </c>
      <c r="C43" s="290">
        <v>0</v>
      </c>
      <c r="E43" s="290">
        <v>0</v>
      </c>
      <c r="G43" s="290">
        <f t="shared" si="5"/>
        <v>0</v>
      </c>
      <c r="I43" s="291">
        <v>2058</v>
      </c>
      <c r="K43" s="290">
        <v>0</v>
      </c>
      <c r="M43" s="290">
        <v>0</v>
      </c>
      <c r="O43" s="290">
        <f t="shared" si="6"/>
        <v>0</v>
      </c>
      <c r="Q43" s="291">
        <v>2058</v>
      </c>
      <c r="S43" s="290">
        <v>0</v>
      </c>
      <c r="U43" s="290">
        <v>0</v>
      </c>
      <c r="W43" s="290">
        <f t="shared" si="2"/>
        <v>0</v>
      </c>
      <c r="Y43" s="291">
        <v>2058</v>
      </c>
      <c r="AA43" s="290">
        <v>9500</v>
      </c>
      <c r="AC43" s="290">
        <v>368</v>
      </c>
      <c r="AE43" s="290">
        <f t="shared" si="4"/>
        <v>9868</v>
      </c>
      <c r="AG43" s="291">
        <v>2058</v>
      </c>
      <c r="AI43" s="290">
        <v>0</v>
      </c>
      <c r="AK43" s="290">
        <v>0</v>
      </c>
      <c r="AM43" s="290">
        <f t="shared" si="3"/>
        <v>0</v>
      </c>
    </row>
    <row r="44" spans="1:39" x14ac:dyDescent="0.35">
      <c r="A44" s="291">
        <v>2059</v>
      </c>
      <c r="C44" s="290">
        <v>0</v>
      </c>
      <c r="E44" s="290">
        <v>0</v>
      </c>
      <c r="G44" s="290">
        <f t="shared" si="5"/>
        <v>0</v>
      </c>
      <c r="I44" s="291">
        <v>2059</v>
      </c>
      <c r="K44" s="290">
        <v>0</v>
      </c>
      <c r="M44" s="290">
        <v>0</v>
      </c>
      <c r="O44" s="290">
        <f t="shared" si="6"/>
        <v>0</v>
      </c>
      <c r="Q44" s="291">
        <v>2059</v>
      </c>
      <c r="S44" s="290">
        <v>0</v>
      </c>
      <c r="U44" s="290">
        <v>0</v>
      </c>
      <c r="W44" s="290">
        <f t="shared" si="2"/>
        <v>0</v>
      </c>
      <c r="Y44" s="291">
        <v>2059</v>
      </c>
      <c r="AA44" s="290">
        <v>9500</v>
      </c>
      <c r="AC44" s="290">
        <v>261</v>
      </c>
      <c r="AE44" s="290">
        <f t="shared" si="4"/>
        <v>9761</v>
      </c>
      <c r="AG44" s="291">
        <v>2059</v>
      </c>
      <c r="AI44" s="290">
        <v>0</v>
      </c>
      <c r="AK44" s="290">
        <v>0</v>
      </c>
      <c r="AM44" s="290">
        <f t="shared" si="3"/>
        <v>0</v>
      </c>
    </row>
    <row r="45" spans="1:39" x14ac:dyDescent="0.35">
      <c r="A45" s="291">
        <v>2060</v>
      </c>
      <c r="C45" s="290">
        <v>0</v>
      </c>
      <c r="E45" s="290">
        <v>0</v>
      </c>
      <c r="G45" s="290">
        <f t="shared" si="5"/>
        <v>0</v>
      </c>
      <c r="I45" s="291">
        <v>2060</v>
      </c>
      <c r="K45" s="290">
        <v>0</v>
      </c>
      <c r="M45" s="290">
        <v>0</v>
      </c>
      <c r="O45" s="290">
        <f t="shared" si="6"/>
        <v>0</v>
      </c>
      <c r="Q45" s="291">
        <v>2060</v>
      </c>
      <c r="S45" s="290">
        <v>0</v>
      </c>
      <c r="U45" s="290">
        <v>0</v>
      </c>
      <c r="W45" s="290">
        <f t="shared" si="2"/>
        <v>0</v>
      </c>
      <c r="Y45" s="291">
        <v>2060</v>
      </c>
      <c r="AA45" s="290">
        <v>9500</v>
      </c>
      <c r="AC45" s="290">
        <v>155</v>
      </c>
      <c r="AE45" s="290">
        <f t="shared" si="4"/>
        <v>9655</v>
      </c>
      <c r="AG45" s="291">
        <v>2060</v>
      </c>
      <c r="AI45" s="290">
        <v>0</v>
      </c>
      <c r="AK45" s="290">
        <v>0</v>
      </c>
      <c r="AM45" s="290">
        <f t="shared" si="3"/>
        <v>0</v>
      </c>
    </row>
    <row r="46" spans="1:39" x14ac:dyDescent="0.35">
      <c r="A46" s="291">
        <v>2061</v>
      </c>
      <c r="C46" s="290">
        <v>0</v>
      </c>
      <c r="E46" s="290">
        <v>0</v>
      </c>
      <c r="G46" s="290">
        <f t="shared" si="5"/>
        <v>0</v>
      </c>
      <c r="I46" s="291">
        <v>2061</v>
      </c>
      <c r="K46" s="290">
        <v>0</v>
      </c>
      <c r="M46" s="290">
        <v>0</v>
      </c>
      <c r="O46" s="290">
        <f t="shared" si="6"/>
        <v>0</v>
      </c>
      <c r="Q46" s="291">
        <v>2061</v>
      </c>
      <c r="S46" s="290">
        <v>0</v>
      </c>
      <c r="U46" s="290">
        <v>0</v>
      </c>
      <c r="W46" s="290">
        <f t="shared" si="2"/>
        <v>0</v>
      </c>
      <c r="Y46" s="291">
        <v>2061</v>
      </c>
      <c r="AA46" s="290">
        <v>9000</v>
      </c>
      <c r="AC46" s="290">
        <v>51</v>
      </c>
      <c r="AE46" s="290">
        <f t="shared" si="4"/>
        <v>9051</v>
      </c>
      <c r="AG46" s="291">
        <v>2061</v>
      </c>
      <c r="AI46" s="290">
        <v>0</v>
      </c>
      <c r="AK46" s="290">
        <v>0</v>
      </c>
      <c r="AM46" s="290">
        <f t="shared" si="3"/>
        <v>0</v>
      </c>
    </row>
    <row r="47" spans="1:39" ht="16" thickBot="1" x14ac:dyDescent="0.4">
      <c r="C47" s="295">
        <f>SUM(C8:C25)</f>
        <v>206500</v>
      </c>
      <c r="E47" s="295">
        <f>SUM(E8:E25)</f>
        <v>69485</v>
      </c>
      <c r="G47" s="295">
        <f>SUM(G8:G25)</f>
        <v>275985</v>
      </c>
      <c r="K47" s="295">
        <f>SUM(K8:K30)</f>
        <v>772000</v>
      </c>
      <c r="M47" s="295">
        <f>SUM(M8:M30)</f>
        <v>439810</v>
      </c>
      <c r="O47" s="295">
        <f>SUM(O8:O30)</f>
        <v>1211810</v>
      </c>
      <c r="S47" s="295">
        <f>SUM(S8:S33)</f>
        <v>1198290</v>
      </c>
      <c r="U47" s="295">
        <f>SUM(U8:U33)</f>
        <v>777363</v>
      </c>
      <c r="W47" s="295">
        <f>SUM(W8:W33)</f>
        <v>1975653</v>
      </c>
      <c r="AA47" s="295">
        <f>SUM(AA8:AA46)</f>
        <v>308500</v>
      </c>
      <c r="AC47" s="295">
        <f>SUM(AC8:AC46)</f>
        <v>72408</v>
      </c>
      <c r="AE47" s="295">
        <f>SUM(AE8:AE46)</f>
        <v>380908</v>
      </c>
      <c r="AI47" s="295">
        <f>SUM(AI8:AI27)</f>
        <v>1100000</v>
      </c>
      <c r="AK47" s="295">
        <f>SUM(AK8:AK27)</f>
        <v>399793</v>
      </c>
      <c r="AM47" s="295">
        <f>SUM(AM8:AM27)</f>
        <v>1499793</v>
      </c>
    </row>
    <row r="48" spans="1:39" ht="16" thickTop="1" x14ac:dyDescent="0.35"/>
  </sheetData>
  <mergeCells count="7">
    <mergeCell ref="A1:AM1"/>
    <mergeCell ref="A2:AM2"/>
    <mergeCell ref="A5:G5"/>
    <mergeCell ref="I5:O5"/>
    <mergeCell ref="Q5:W5"/>
    <mergeCell ref="Y5:AE5"/>
    <mergeCell ref="AG5:A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935D-A502-4F39-897D-7D75AB83F23F}">
  <dimension ref="B2:H28"/>
  <sheetViews>
    <sheetView showGridLines="0" workbookViewId="0">
      <selection activeCell="F15" sqref="F15"/>
    </sheetView>
  </sheetViews>
  <sheetFormatPr defaultColWidth="14.765625" defaultRowHeight="15.5" x14ac:dyDescent="0.35"/>
  <cols>
    <col min="2" max="2" width="2.765625" customWidth="1"/>
    <col min="3" max="5" width="10.765625" customWidth="1"/>
    <col min="8" max="8" width="2.765625" customWidth="1"/>
  </cols>
  <sheetData>
    <row r="2" spans="2:8" x14ac:dyDescent="0.35">
      <c r="B2" s="5"/>
      <c r="C2" s="12"/>
      <c r="D2" s="12"/>
      <c r="E2" s="12"/>
      <c r="F2" s="12"/>
      <c r="G2" s="19"/>
      <c r="H2" s="13"/>
    </row>
    <row r="3" spans="2:8" ht="18.5" x14ac:dyDescent="0.45">
      <c r="B3" s="389" t="s">
        <v>323</v>
      </c>
      <c r="C3" s="390"/>
      <c r="D3" s="390"/>
      <c r="E3" s="390"/>
      <c r="F3" s="390"/>
      <c r="G3" s="390"/>
      <c r="H3" s="391"/>
    </row>
    <row r="4" spans="2:8" ht="18.5" x14ac:dyDescent="0.35">
      <c r="B4" s="392" t="str">
        <f>Adjustments!B1</f>
        <v>Morgan County Water District</v>
      </c>
      <c r="C4" s="393"/>
      <c r="D4" s="393"/>
      <c r="E4" s="393"/>
      <c r="F4" s="393"/>
      <c r="G4" s="393"/>
      <c r="H4" s="394"/>
    </row>
    <row r="5" spans="2:8" x14ac:dyDescent="0.35">
      <c r="B5" s="6"/>
      <c r="C5" s="3"/>
      <c r="D5" s="3"/>
      <c r="E5" s="3"/>
      <c r="F5" s="3"/>
      <c r="G5" s="20"/>
      <c r="H5" s="14"/>
    </row>
    <row r="6" spans="2:8" x14ac:dyDescent="0.35">
      <c r="B6" s="245"/>
      <c r="C6" s="246" t="s">
        <v>322</v>
      </c>
      <c r="D6" s="247"/>
      <c r="E6" s="247"/>
      <c r="F6" s="247"/>
      <c r="G6" s="247"/>
      <c r="H6" s="248"/>
    </row>
    <row r="7" spans="2:8" x14ac:dyDescent="0.35">
      <c r="B7" s="22"/>
      <c r="C7" s="45" t="s">
        <v>53</v>
      </c>
      <c r="D7" s="51">
        <v>2000</v>
      </c>
      <c r="E7" s="253" t="s">
        <v>148</v>
      </c>
      <c r="F7" s="147">
        <v>31.89</v>
      </c>
      <c r="G7" t="s">
        <v>186</v>
      </c>
      <c r="H7" s="146"/>
    </row>
    <row r="8" spans="2:8" x14ac:dyDescent="0.35">
      <c r="B8" s="22"/>
      <c r="C8" s="45" t="s">
        <v>54</v>
      </c>
      <c r="D8" s="51">
        <v>3000</v>
      </c>
      <c r="E8" s="253" t="s">
        <v>148</v>
      </c>
      <c r="F8" s="249">
        <v>1.1860000000000001E-2</v>
      </c>
      <c r="G8" t="s">
        <v>187</v>
      </c>
      <c r="H8" s="146"/>
    </row>
    <row r="9" spans="2:8" x14ac:dyDescent="0.35">
      <c r="B9" s="22"/>
      <c r="C9" s="45" t="s">
        <v>54</v>
      </c>
      <c r="D9" s="51">
        <v>5000</v>
      </c>
      <c r="E9" s="253" t="s">
        <v>148</v>
      </c>
      <c r="F9" s="249">
        <v>1.0999999999999999E-2</v>
      </c>
      <c r="G9" t="s">
        <v>187</v>
      </c>
      <c r="H9" s="146"/>
    </row>
    <row r="10" spans="2:8" x14ac:dyDescent="0.35">
      <c r="B10" s="22"/>
      <c r="C10" s="45" t="s">
        <v>54</v>
      </c>
      <c r="D10" s="51">
        <v>15000</v>
      </c>
      <c r="E10" s="253" t="s">
        <v>148</v>
      </c>
      <c r="F10" s="249">
        <v>1.0149999999999999E-2</v>
      </c>
      <c r="G10" t="s">
        <v>187</v>
      </c>
      <c r="H10" s="146"/>
    </row>
    <row r="11" spans="2:8" x14ac:dyDescent="0.35">
      <c r="B11" s="22"/>
      <c r="C11" s="45" t="s">
        <v>98</v>
      </c>
      <c r="D11" s="51">
        <v>15000</v>
      </c>
      <c r="E11" s="253" t="s">
        <v>148</v>
      </c>
      <c r="F11" s="249">
        <v>9.2899999999999996E-3</v>
      </c>
      <c r="G11" t="s">
        <v>187</v>
      </c>
      <c r="H11" s="146"/>
    </row>
    <row r="12" spans="2:8" x14ac:dyDescent="0.35">
      <c r="B12" s="22"/>
      <c r="E12" s="253"/>
      <c r="H12" s="146"/>
    </row>
    <row r="13" spans="2:8" x14ac:dyDescent="0.35">
      <c r="B13" s="22"/>
      <c r="C13" s="73" t="s">
        <v>177</v>
      </c>
      <c r="E13" s="253"/>
      <c r="H13" s="146"/>
    </row>
    <row r="14" spans="2:8" x14ac:dyDescent="0.35">
      <c r="B14" s="22"/>
      <c r="C14" s="45" t="s">
        <v>53</v>
      </c>
      <c r="D14" s="51">
        <v>5000</v>
      </c>
      <c r="E14" s="253" t="s">
        <v>148</v>
      </c>
      <c r="F14" s="147">
        <v>67.62</v>
      </c>
      <c r="G14" t="s">
        <v>186</v>
      </c>
      <c r="H14" s="146"/>
    </row>
    <row r="15" spans="2:8" x14ac:dyDescent="0.35">
      <c r="B15" s="22"/>
      <c r="C15" s="45" t="s">
        <v>54</v>
      </c>
      <c r="D15" s="51">
        <v>5000</v>
      </c>
      <c r="E15" s="253" t="s">
        <v>148</v>
      </c>
      <c r="F15" s="249">
        <v>1.0999999999999999E-2</v>
      </c>
      <c r="G15" t="s">
        <v>187</v>
      </c>
      <c r="H15" s="146"/>
    </row>
    <row r="16" spans="2:8" x14ac:dyDescent="0.35">
      <c r="B16" s="22"/>
      <c r="C16" s="45" t="s">
        <v>54</v>
      </c>
      <c r="D16" s="51">
        <v>5000</v>
      </c>
      <c r="E16" s="253" t="s">
        <v>148</v>
      </c>
      <c r="F16" s="249">
        <v>1.0149999999999999E-2</v>
      </c>
      <c r="G16" t="s">
        <v>187</v>
      </c>
      <c r="H16" s="146"/>
    </row>
    <row r="17" spans="2:8" x14ac:dyDescent="0.35">
      <c r="B17" s="22"/>
      <c r="C17" s="45" t="s">
        <v>98</v>
      </c>
      <c r="D17" s="51">
        <v>15000</v>
      </c>
      <c r="E17" s="253" t="s">
        <v>148</v>
      </c>
      <c r="F17" s="249">
        <v>9.2899999999999996E-3</v>
      </c>
      <c r="G17" t="s">
        <v>187</v>
      </c>
      <c r="H17" s="146"/>
    </row>
    <row r="18" spans="2:8" x14ac:dyDescent="0.35">
      <c r="B18" s="22"/>
      <c r="C18" s="45"/>
      <c r="D18" s="51"/>
      <c r="E18" s="253"/>
      <c r="F18" s="249"/>
      <c r="H18" s="146"/>
    </row>
    <row r="19" spans="2:8" x14ac:dyDescent="0.35">
      <c r="B19" s="22"/>
      <c r="C19" s="73" t="s">
        <v>178</v>
      </c>
      <c r="E19" s="253"/>
      <c r="H19" s="146"/>
    </row>
    <row r="20" spans="2:8" x14ac:dyDescent="0.35">
      <c r="B20" s="22"/>
      <c r="C20" s="45" t="s">
        <v>53</v>
      </c>
      <c r="D20" s="51">
        <v>15000</v>
      </c>
      <c r="E20" s="253" t="s">
        <v>148</v>
      </c>
      <c r="F20" s="147">
        <v>171.93</v>
      </c>
      <c r="G20" t="s">
        <v>186</v>
      </c>
      <c r="H20" s="146"/>
    </row>
    <row r="21" spans="2:8" x14ac:dyDescent="0.35">
      <c r="B21" s="22"/>
      <c r="C21" s="45" t="s">
        <v>98</v>
      </c>
      <c r="D21" s="51">
        <v>15000</v>
      </c>
      <c r="E21" s="253" t="s">
        <v>148</v>
      </c>
      <c r="F21" s="249">
        <v>9.2899999999999996E-3</v>
      </c>
      <c r="G21" t="s">
        <v>187</v>
      </c>
      <c r="H21" s="146"/>
    </row>
    <row r="22" spans="2:8" x14ac:dyDescent="0.35">
      <c r="B22" s="22"/>
      <c r="E22" s="253"/>
      <c r="H22" s="146"/>
    </row>
    <row r="23" spans="2:8" x14ac:dyDescent="0.35">
      <c r="B23" s="22"/>
      <c r="C23" s="73" t="s">
        <v>179</v>
      </c>
      <c r="E23" s="253"/>
      <c r="H23" s="146"/>
    </row>
    <row r="24" spans="2:8" x14ac:dyDescent="0.35">
      <c r="B24" s="22"/>
      <c r="C24" s="45" t="s">
        <v>53</v>
      </c>
      <c r="D24" s="51">
        <v>100000</v>
      </c>
      <c r="E24" s="253" t="s">
        <v>148</v>
      </c>
      <c r="F24" s="147">
        <v>963.03</v>
      </c>
      <c r="G24" t="s">
        <v>186</v>
      </c>
      <c r="H24" s="146"/>
    </row>
    <row r="25" spans="2:8" x14ac:dyDescent="0.35">
      <c r="B25" s="22"/>
      <c r="C25" s="45" t="s">
        <v>98</v>
      </c>
      <c r="D25" s="51">
        <v>100000</v>
      </c>
      <c r="E25" s="253" t="s">
        <v>148</v>
      </c>
      <c r="F25" s="249">
        <v>9.2899999999999996E-3</v>
      </c>
      <c r="G25" t="s">
        <v>187</v>
      </c>
      <c r="H25" s="146"/>
    </row>
    <row r="26" spans="2:8" x14ac:dyDescent="0.35">
      <c r="B26" s="22"/>
      <c r="H26" s="146"/>
    </row>
    <row r="27" spans="2:8" x14ac:dyDescent="0.35">
      <c r="B27" s="22"/>
      <c r="C27" s="73" t="s">
        <v>188</v>
      </c>
      <c r="H27" s="146"/>
    </row>
    <row r="28" spans="2:8" x14ac:dyDescent="0.35">
      <c r="B28" s="250"/>
      <c r="C28" s="47"/>
      <c r="D28" s="48"/>
      <c r="E28" s="48"/>
      <c r="F28" s="251">
        <v>4.5199999999999997E-3</v>
      </c>
      <c r="G28" s="56" t="s">
        <v>187</v>
      </c>
      <c r="H28" s="252"/>
    </row>
  </sheetData>
  <mergeCells count="2"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2"/>
  <sheetViews>
    <sheetView showGridLines="0" topLeftCell="A10" zoomScaleNormal="100" workbookViewId="0">
      <selection activeCell="A62" sqref="A62:K102"/>
    </sheetView>
  </sheetViews>
  <sheetFormatPr defaultColWidth="14.765625" defaultRowHeight="15.5" x14ac:dyDescent="0.35"/>
  <cols>
    <col min="2" max="7" width="14.765625" customWidth="1"/>
    <col min="8" max="9" width="14.765625" style="55" customWidth="1"/>
    <col min="10" max="11" width="14.765625" customWidth="1"/>
  </cols>
  <sheetData>
    <row r="1" spans="1:14" ht="18.5" x14ac:dyDescent="0.45">
      <c r="A1" s="390" t="s">
        <v>168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150"/>
      <c r="M1" s="150"/>
      <c r="N1" s="150"/>
    </row>
    <row r="2" spans="1:14" ht="18.5" x14ac:dyDescent="0.35">
      <c r="A2" s="393" t="str">
        <f>'SAO - DSC'!C4</f>
        <v>Morgan County Water District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149"/>
      <c r="M2" s="149"/>
      <c r="N2" s="149"/>
    </row>
    <row r="3" spans="1:14" x14ac:dyDescent="0.35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1"/>
      <c r="M3" s="1"/>
      <c r="N3" s="1"/>
    </row>
    <row r="4" spans="1:14" ht="18.5" x14ac:dyDescent="0.45">
      <c r="A4" s="399" t="s">
        <v>95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150"/>
      <c r="M4" s="150"/>
      <c r="N4" s="150"/>
    </row>
    <row r="6" spans="1:14" x14ac:dyDescent="0.35">
      <c r="B6" s="73"/>
      <c r="C6" s="400" t="s">
        <v>174</v>
      </c>
      <c r="D6" s="400"/>
      <c r="F6" s="47" t="s">
        <v>175</v>
      </c>
      <c r="G6" s="47" t="s">
        <v>36</v>
      </c>
      <c r="H6" s="49" t="s">
        <v>34</v>
      </c>
    </row>
    <row r="7" spans="1:14" x14ac:dyDescent="0.35">
      <c r="B7" s="73"/>
      <c r="C7" s="396" t="s">
        <v>176</v>
      </c>
      <c r="D7" s="396"/>
      <c r="F7" s="51">
        <f>D36</f>
        <v>35191</v>
      </c>
      <c r="G7" s="51">
        <f>E41</f>
        <v>106282790</v>
      </c>
      <c r="H7" s="151">
        <f>H41</f>
        <v>1707560.0699999998</v>
      </c>
    </row>
    <row r="8" spans="1:14" x14ac:dyDescent="0.35">
      <c r="B8" s="73"/>
      <c r="C8" s="397" t="s">
        <v>177</v>
      </c>
      <c r="D8" s="397"/>
      <c r="F8" s="51">
        <f>D56</f>
        <v>200</v>
      </c>
      <c r="G8" s="51">
        <f>E60</f>
        <v>1076140</v>
      </c>
      <c r="H8" s="153">
        <f>H60</f>
        <v>19754.23</v>
      </c>
    </row>
    <row r="9" spans="1:14" x14ac:dyDescent="0.35">
      <c r="B9" s="73"/>
      <c r="C9" s="152" t="s">
        <v>178</v>
      </c>
      <c r="D9" s="152"/>
      <c r="F9" s="51">
        <f>D72</f>
        <v>96</v>
      </c>
      <c r="G9" s="51">
        <f>E74</f>
        <v>12676300</v>
      </c>
      <c r="H9" s="153">
        <f>H74</f>
        <v>122881.08</v>
      </c>
    </row>
    <row r="10" spans="1:14" x14ac:dyDescent="0.35">
      <c r="B10" s="73"/>
      <c r="C10" s="152" t="s">
        <v>179</v>
      </c>
      <c r="D10" s="152"/>
      <c r="F10" s="51">
        <f>D86</f>
        <v>12</v>
      </c>
      <c r="G10" s="51">
        <f>E88</f>
        <v>1136710</v>
      </c>
      <c r="H10" s="153">
        <f>H88</f>
        <v>14848.09</v>
      </c>
    </row>
    <row r="11" spans="1:14" x14ac:dyDescent="0.35">
      <c r="B11" s="73"/>
      <c r="C11" s="152" t="s">
        <v>180</v>
      </c>
      <c r="D11" s="152"/>
      <c r="F11" s="48">
        <f>D100</f>
        <v>12</v>
      </c>
      <c r="G11" s="48">
        <f>E101</f>
        <v>6280000</v>
      </c>
      <c r="H11" s="154">
        <f>H101</f>
        <v>28385.599999999999</v>
      </c>
    </row>
    <row r="12" spans="1:14" x14ac:dyDescent="0.35">
      <c r="B12" s="73"/>
      <c r="C12" s="152" t="s">
        <v>181</v>
      </c>
      <c r="D12" s="152"/>
      <c r="F12" s="51">
        <f>SUM(F7:F11)</f>
        <v>35511</v>
      </c>
      <c r="G12" s="51">
        <f>SUM(G7:G11)</f>
        <v>127451940</v>
      </c>
      <c r="H12" s="153">
        <f>SUM(H7:H11)</f>
        <v>1893429.07</v>
      </c>
    </row>
    <row r="13" spans="1:14" x14ac:dyDescent="0.35">
      <c r="B13" s="73"/>
      <c r="C13" s="152" t="s">
        <v>182</v>
      </c>
      <c r="D13" s="152"/>
      <c r="F13" s="45"/>
      <c r="G13" s="45"/>
      <c r="H13" s="154">
        <f>-ROUND('BA Adj'!B5,0)</f>
        <v>-12088</v>
      </c>
    </row>
    <row r="14" spans="1:14" x14ac:dyDescent="0.35">
      <c r="B14" s="73"/>
      <c r="C14" s="152" t="s">
        <v>183</v>
      </c>
      <c r="D14" s="152"/>
      <c r="F14" s="45"/>
      <c r="G14" s="45"/>
      <c r="H14" s="153">
        <f>SUM(H12:H13)</f>
        <v>1881341.07</v>
      </c>
    </row>
    <row r="15" spans="1:14" x14ac:dyDescent="0.35">
      <c r="B15" s="73"/>
      <c r="C15" s="256" t="s">
        <v>326</v>
      </c>
      <c r="D15" s="152"/>
      <c r="F15" s="45"/>
      <c r="G15" s="45"/>
      <c r="H15" s="154">
        <f>-H20</f>
        <v>-1890143</v>
      </c>
    </row>
    <row r="16" spans="1:14" ht="16" thickBot="1" x14ac:dyDescent="0.4">
      <c r="B16" s="73"/>
      <c r="C16" s="155" t="s">
        <v>184</v>
      </c>
      <c r="D16" s="155"/>
      <c r="H16" s="156">
        <f>SUM(H14:H15)</f>
        <v>-8801.9299999999348</v>
      </c>
    </row>
    <row r="17" spans="1:16" ht="16" thickTop="1" x14ac:dyDescent="0.35">
      <c r="B17" s="73"/>
      <c r="C17" s="155"/>
      <c r="D17" s="155"/>
      <c r="H17" s="257"/>
    </row>
    <row r="18" spans="1:16" x14ac:dyDescent="0.35">
      <c r="B18" s="73"/>
      <c r="C18" s="258" t="s">
        <v>327</v>
      </c>
      <c r="D18" s="155"/>
      <c r="H18" s="257">
        <f>'SAO - DSC'!F9</f>
        <v>1922574</v>
      </c>
    </row>
    <row r="19" spans="1:16" x14ac:dyDescent="0.35">
      <c r="B19" s="73"/>
      <c r="C19" s="258" t="s">
        <v>328</v>
      </c>
      <c r="D19" s="155"/>
      <c r="H19" s="154">
        <f>'SAO - DSC'!H9</f>
        <v>-32431</v>
      </c>
    </row>
    <row r="20" spans="1:16" ht="16" thickBot="1" x14ac:dyDescent="0.4">
      <c r="B20" s="73"/>
      <c r="C20" s="258" t="s">
        <v>329</v>
      </c>
      <c r="D20" s="155"/>
      <c r="H20" s="156">
        <f>SUM(H18:H19)</f>
        <v>1890143</v>
      </c>
    </row>
    <row r="21" spans="1:16" ht="16" thickTop="1" x14ac:dyDescent="0.35">
      <c r="B21" s="73"/>
    </row>
    <row r="22" spans="1:16" x14ac:dyDescent="0.35">
      <c r="B22" s="73"/>
    </row>
    <row r="23" spans="1:16" x14ac:dyDescent="0.35">
      <c r="A23" t="s">
        <v>185</v>
      </c>
      <c r="B23" s="62" t="s">
        <v>322</v>
      </c>
    </row>
    <row r="24" spans="1:16" x14ac:dyDescent="0.35">
      <c r="B24" s="45"/>
      <c r="C24" s="45"/>
      <c r="D24" s="45"/>
      <c r="E24" s="45"/>
      <c r="F24" s="45" t="s">
        <v>53</v>
      </c>
      <c r="G24" s="45" t="s">
        <v>54</v>
      </c>
      <c r="H24" s="46" t="s">
        <v>54</v>
      </c>
      <c r="I24" s="46" t="s">
        <v>54</v>
      </c>
      <c r="J24" s="45" t="s">
        <v>98</v>
      </c>
      <c r="K24" s="45" t="s">
        <v>59</v>
      </c>
      <c r="L24" s="45"/>
      <c r="M24" s="45"/>
      <c r="N24" s="45"/>
    </row>
    <row r="25" spans="1:16" x14ac:dyDescent="0.35">
      <c r="B25" s="45"/>
      <c r="C25" s="47" t="s">
        <v>146</v>
      </c>
      <c r="D25" s="47" t="s">
        <v>147</v>
      </c>
      <c r="E25" s="47" t="s">
        <v>148</v>
      </c>
      <c r="F25" s="157">
        <f>C26</f>
        <v>2000</v>
      </c>
      <c r="G25" s="48">
        <f>C27</f>
        <v>3000</v>
      </c>
      <c r="H25" s="49">
        <f>C29</f>
        <v>5000</v>
      </c>
      <c r="I25" s="49">
        <f>C29</f>
        <v>5000</v>
      </c>
      <c r="J25" s="50">
        <f>SUM(F25:H25)</f>
        <v>10000</v>
      </c>
      <c r="K25" s="47"/>
      <c r="L25" s="45"/>
      <c r="M25" s="45"/>
      <c r="N25" s="45"/>
    </row>
    <row r="26" spans="1:16" x14ac:dyDescent="0.35">
      <c r="B26" s="45" t="s">
        <v>53</v>
      </c>
      <c r="C26" s="46">
        <v>2000</v>
      </c>
      <c r="D26" s="51">
        <v>14898</v>
      </c>
      <c r="E26" s="51">
        <v>14083390</v>
      </c>
      <c r="F26" s="51">
        <f>E26</f>
        <v>14083390</v>
      </c>
      <c r="G26" s="51">
        <v>0</v>
      </c>
      <c r="H26" s="52">
        <v>0</v>
      </c>
      <c r="I26" s="52"/>
      <c r="J26" s="51">
        <v>0</v>
      </c>
      <c r="K26" s="51">
        <f>SUM(F26:J26)</f>
        <v>14083390</v>
      </c>
      <c r="L26" s="51"/>
      <c r="M26" s="51"/>
      <c r="N26" s="51"/>
    </row>
    <row r="27" spans="1:16" x14ac:dyDescent="0.35">
      <c r="B27" s="45" t="s">
        <v>54</v>
      </c>
      <c r="C27" s="46">
        <v>3000</v>
      </c>
      <c r="D27" s="51">
        <v>15472</v>
      </c>
      <c r="E27" s="51">
        <v>49891280</v>
      </c>
      <c r="F27" s="51">
        <f>$D27*F$25</f>
        <v>30944000</v>
      </c>
      <c r="G27" s="51">
        <f>E27-F27</f>
        <v>18947280</v>
      </c>
      <c r="H27" s="52">
        <v>0</v>
      </c>
      <c r="I27" s="52"/>
      <c r="J27" s="51">
        <v>0</v>
      </c>
      <c r="K27" s="51">
        <f t="shared" ref="K27:K30" si="0">SUM(F27:J27)</f>
        <v>49891280</v>
      </c>
      <c r="L27" s="51"/>
      <c r="M27" s="51"/>
      <c r="N27" s="51"/>
      <c r="O27" s="51">
        <f>SUM(G27:K27)</f>
        <v>68838560</v>
      </c>
      <c r="P27" s="51">
        <f>SUM(H27:O27)</f>
        <v>118729840</v>
      </c>
    </row>
    <row r="28" spans="1:16" x14ac:dyDescent="0.35">
      <c r="B28" s="45" t="s">
        <v>54</v>
      </c>
      <c r="C28" s="46">
        <v>5000</v>
      </c>
      <c r="D28" s="51">
        <v>3998</v>
      </c>
      <c r="E28" s="51">
        <v>26273360</v>
      </c>
      <c r="F28" s="51">
        <f>$D28*F$25</f>
        <v>7996000</v>
      </c>
      <c r="G28" s="51">
        <f>$D28*G$25</f>
        <v>11994000</v>
      </c>
      <c r="H28" s="52">
        <f>E28-F28-G28</f>
        <v>6283360</v>
      </c>
      <c r="I28" s="52"/>
      <c r="J28" s="51"/>
      <c r="K28" s="51">
        <f t="shared" si="0"/>
        <v>26273360</v>
      </c>
      <c r="L28" s="51"/>
      <c r="M28" s="51"/>
      <c r="N28" s="51"/>
    </row>
    <row r="29" spans="1:16" x14ac:dyDescent="0.35">
      <c r="B29" s="45" t="s">
        <v>54</v>
      </c>
      <c r="C29" s="46">
        <v>5000</v>
      </c>
      <c r="D29" s="51">
        <v>504</v>
      </c>
      <c r="E29" s="51">
        <v>5985670</v>
      </c>
      <c r="F29" s="51">
        <f t="shared" ref="F29:I30" si="1">$D29*F$25</f>
        <v>1008000</v>
      </c>
      <c r="G29" s="51">
        <f t="shared" si="1"/>
        <v>1512000</v>
      </c>
      <c r="H29" s="51">
        <f t="shared" si="1"/>
        <v>2520000</v>
      </c>
      <c r="I29" s="51">
        <f>E29-F29-G29-H29</f>
        <v>945670</v>
      </c>
      <c r="J29" s="51">
        <v>0</v>
      </c>
      <c r="K29" s="51">
        <f t="shared" si="0"/>
        <v>5985670</v>
      </c>
      <c r="L29" s="51"/>
      <c r="M29" s="51"/>
      <c r="N29" s="51"/>
    </row>
    <row r="30" spans="1:16" x14ac:dyDescent="0.35">
      <c r="B30" s="45" t="s">
        <v>98</v>
      </c>
      <c r="C30" s="46">
        <f>SUM(C26:C29)</f>
        <v>15000</v>
      </c>
      <c r="D30" s="51">
        <v>319</v>
      </c>
      <c r="E30" s="51">
        <v>10049090</v>
      </c>
      <c r="F30" s="51">
        <f t="shared" si="1"/>
        <v>638000</v>
      </c>
      <c r="G30" s="51">
        <f t="shared" si="1"/>
        <v>957000</v>
      </c>
      <c r="H30" s="51">
        <f t="shared" si="1"/>
        <v>1595000</v>
      </c>
      <c r="I30" s="51">
        <f t="shared" si="1"/>
        <v>1595000</v>
      </c>
      <c r="J30" s="51">
        <f>E30-F30-G30-H30-I30</f>
        <v>5264090</v>
      </c>
      <c r="K30" s="51">
        <f t="shared" si="0"/>
        <v>10049090</v>
      </c>
      <c r="L30" s="51"/>
      <c r="M30" s="51"/>
      <c r="N30" s="51"/>
    </row>
    <row r="31" spans="1:16" ht="16" thickBot="1" x14ac:dyDescent="0.4">
      <c r="B31" s="45"/>
      <c r="C31" t="s">
        <v>0</v>
      </c>
      <c r="D31" s="53">
        <f t="shared" ref="D31:K31" si="2">SUM(D26:D30)</f>
        <v>35191</v>
      </c>
      <c r="E31" s="53">
        <f t="shared" si="2"/>
        <v>106282790</v>
      </c>
      <c r="F31" s="53">
        <f t="shared" si="2"/>
        <v>54669390</v>
      </c>
      <c r="G31" s="53">
        <f t="shared" si="2"/>
        <v>33410280</v>
      </c>
      <c r="H31" s="54">
        <f t="shared" si="2"/>
        <v>10398360</v>
      </c>
      <c r="I31" s="54">
        <f t="shared" si="2"/>
        <v>2540670</v>
      </c>
      <c r="J31" s="53">
        <f t="shared" si="2"/>
        <v>5264090</v>
      </c>
      <c r="K31" s="53">
        <f t="shared" si="2"/>
        <v>106282790</v>
      </c>
      <c r="L31" s="57"/>
      <c r="M31" s="57"/>
      <c r="N31" s="57"/>
    </row>
    <row r="32" spans="1:16" ht="16" thickTop="1" x14ac:dyDescent="0.35"/>
    <row r="34" spans="1:16" x14ac:dyDescent="0.35">
      <c r="B34" s="395" t="s">
        <v>149</v>
      </c>
      <c r="C34" s="395"/>
      <c r="D34" s="395"/>
      <c r="E34" s="395"/>
      <c r="F34" s="395"/>
      <c r="G34" s="395"/>
      <c r="H34" s="395"/>
    </row>
    <row r="35" spans="1:16" x14ac:dyDescent="0.35">
      <c r="C35" s="56"/>
      <c r="D35" s="158" t="s">
        <v>147</v>
      </c>
      <c r="E35" s="158" t="s">
        <v>148</v>
      </c>
      <c r="F35" s="395" t="s">
        <v>150</v>
      </c>
      <c r="G35" s="395"/>
      <c r="H35" s="158" t="s">
        <v>34</v>
      </c>
    </row>
    <row r="36" spans="1:16" x14ac:dyDescent="0.35">
      <c r="B36" s="45" t="s">
        <v>53</v>
      </c>
      <c r="C36" s="51">
        <f>C26</f>
        <v>2000</v>
      </c>
      <c r="D36" s="57">
        <f>D31</f>
        <v>35191</v>
      </c>
      <c r="E36" s="57">
        <f>F31</f>
        <v>54669390</v>
      </c>
      <c r="F36" s="58">
        <v>31.89</v>
      </c>
      <c r="G36" t="s">
        <v>186</v>
      </c>
      <c r="H36" s="58">
        <f>F36*D36</f>
        <v>1122240.99</v>
      </c>
    </row>
    <row r="37" spans="1:16" x14ac:dyDescent="0.35">
      <c r="B37" s="45" t="s">
        <v>54</v>
      </c>
      <c r="C37" s="51">
        <f>C27</f>
        <v>3000</v>
      </c>
      <c r="E37" s="57">
        <f>G31</f>
        <v>33410280</v>
      </c>
      <c r="F37" s="159">
        <f>ROUND(P37/1000,6)</f>
        <v>1.1860000000000001E-2</v>
      </c>
      <c r="G37" t="s">
        <v>187</v>
      </c>
      <c r="H37" s="160">
        <f>ROUND(E37*F37,2)</f>
        <v>396245.92</v>
      </c>
      <c r="P37" s="161">
        <v>11.86</v>
      </c>
    </row>
    <row r="38" spans="1:16" x14ac:dyDescent="0.35">
      <c r="B38" s="45" t="s">
        <v>54</v>
      </c>
      <c r="C38" s="51">
        <f>C29</f>
        <v>5000</v>
      </c>
      <c r="E38" s="57">
        <f>H31</f>
        <v>10398360</v>
      </c>
      <c r="F38" s="159">
        <f t="shared" ref="F38:F40" si="3">ROUND(P38/1000,6)</f>
        <v>1.0999999999999999E-2</v>
      </c>
      <c r="G38" t="s">
        <v>187</v>
      </c>
      <c r="H38" s="160">
        <f>ROUND(E38*F38,2)</f>
        <v>114381.96</v>
      </c>
      <c r="P38" s="161">
        <v>11</v>
      </c>
    </row>
    <row r="39" spans="1:16" x14ac:dyDescent="0.35">
      <c r="B39" s="45" t="s">
        <v>54</v>
      </c>
      <c r="C39" s="51">
        <v>5000</v>
      </c>
      <c r="E39" s="57">
        <f>I31</f>
        <v>2540670</v>
      </c>
      <c r="F39" s="159">
        <f t="shared" si="3"/>
        <v>1.0149999999999999E-2</v>
      </c>
      <c r="G39" t="s">
        <v>187</v>
      </c>
      <c r="H39" s="160">
        <f>ROUND(E39*F39,2)</f>
        <v>25787.8</v>
      </c>
      <c r="P39" s="161">
        <v>10.15</v>
      </c>
    </row>
    <row r="40" spans="1:16" x14ac:dyDescent="0.35">
      <c r="B40" s="45" t="s">
        <v>98</v>
      </c>
      <c r="C40" s="51">
        <f>C30</f>
        <v>15000</v>
      </c>
      <c r="D40" s="56"/>
      <c r="E40" s="59">
        <f>J30</f>
        <v>5264090</v>
      </c>
      <c r="F40" s="159">
        <f t="shared" si="3"/>
        <v>9.2899999999999996E-3</v>
      </c>
      <c r="G40" t="s">
        <v>187</v>
      </c>
      <c r="H40" s="160">
        <f>ROUND(E40*F40,2)</f>
        <v>48903.4</v>
      </c>
      <c r="P40" s="161">
        <v>9.2899999999999991</v>
      </c>
    </row>
    <row r="41" spans="1:16" ht="16" thickBot="1" x14ac:dyDescent="0.4">
      <c r="C41" t="s">
        <v>37</v>
      </c>
      <c r="E41" s="53">
        <f>SUM(E36:E40)</f>
        <v>106282790</v>
      </c>
      <c r="H41" s="162">
        <f>SUM(H36:H40)</f>
        <v>1707560.0699999998</v>
      </c>
      <c r="K41" t="s">
        <v>151</v>
      </c>
    </row>
    <row r="42" spans="1:16" ht="16" thickTop="1" x14ac:dyDescent="0.35"/>
    <row r="44" spans="1:16" x14ac:dyDescent="0.35">
      <c r="A44" t="s">
        <v>185</v>
      </c>
      <c r="B44" s="73" t="s">
        <v>177</v>
      </c>
      <c r="I44"/>
    </row>
    <row r="45" spans="1:16" x14ac:dyDescent="0.35">
      <c r="B45" s="45"/>
      <c r="C45" s="45"/>
      <c r="D45" s="45"/>
      <c r="E45" s="45"/>
      <c r="F45" s="45" t="s">
        <v>53</v>
      </c>
      <c r="G45" s="45" t="s">
        <v>54</v>
      </c>
      <c r="H45" s="46" t="s">
        <v>54</v>
      </c>
      <c r="I45" s="45" t="s">
        <v>98</v>
      </c>
      <c r="J45" s="45" t="s">
        <v>59</v>
      </c>
    </row>
    <row r="46" spans="1:16" x14ac:dyDescent="0.35">
      <c r="B46" s="45"/>
      <c r="C46" s="47" t="s">
        <v>146</v>
      </c>
      <c r="D46" s="47" t="s">
        <v>147</v>
      </c>
      <c r="E46" s="47" t="s">
        <v>148</v>
      </c>
      <c r="F46" s="48">
        <f>C47</f>
        <v>5000</v>
      </c>
      <c r="G46" s="48">
        <f>C48</f>
        <v>5000</v>
      </c>
      <c r="H46" s="49">
        <f>C48</f>
        <v>5000</v>
      </c>
      <c r="I46" s="50">
        <f>SUM(F46:H46)</f>
        <v>15000</v>
      </c>
      <c r="J46" s="47"/>
    </row>
    <row r="47" spans="1:16" x14ac:dyDescent="0.35">
      <c r="B47" s="45" t="s">
        <v>53</v>
      </c>
      <c r="C47" s="46">
        <v>5000</v>
      </c>
      <c r="D47" s="51">
        <v>173</v>
      </c>
      <c r="E47" s="51">
        <v>291950</v>
      </c>
      <c r="F47" s="51">
        <f>E47</f>
        <v>291950</v>
      </c>
      <c r="G47" s="51">
        <v>0</v>
      </c>
      <c r="H47" s="52">
        <v>0</v>
      </c>
      <c r="I47" s="51">
        <v>0</v>
      </c>
      <c r="J47" s="51">
        <f>SUM(F47:I47)</f>
        <v>291950</v>
      </c>
    </row>
    <row r="48" spans="1:16" x14ac:dyDescent="0.35">
      <c r="B48" s="45" t="s">
        <v>54</v>
      </c>
      <c r="C48" s="46">
        <v>5000</v>
      </c>
      <c r="D48" s="51">
        <v>15</v>
      </c>
      <c r="E48" s="51">
        <v>103990</v>
      </c>
      <c r="F48" s="51">
        <f>$D48*F$46</f>
        <v>75000</v>
      </c>
      <c r="G48" s="51">
        <f>E48-F48</f>
        <v>28990</v>
      </c>
      <c r="H48" s="52">
        <v>0</v>
      </c>
      <c r="I48" s="51">
        <v>0</v>
      </c>
      <c r="J48" s="51">
        <f>SUM(F48:I48)</f>
        <v>103990</v>
      </c>
      <c r="K48" s="51"/>
      <c r="L48" s="51"/>
      <c r="M48" s="51"/>
      <c r="N48" s="51"/>
      <c r="O48" s="51"/>
    </row>
    <row r="49" spans="1:16" x14ac:dyDescent="0.35">
      <c r="B49" s="45" t="s">
        <v>54</v>
      </c>
      <c r="C49" s="46">
        <v>5000</v>
      </c>
      <c r="D49" s="51">
        <v>2</v>
      </c>
      <c r="E49" s="51">
        <v>24750</v>
      </c>
      <c r="F49" s="51">
        <f t="shared" ref="F49:F50" si="4">$D49*F$46</f>
        <v>10000</v>
      </c>
      <c r="G49" s="51">
        <f>$D49*G$46</f>
        <v>10000</v>
      </c>
      <c r="H49" s="52">
        <f>E49-F49-G49</f>
        <v>4750</v>
      </c>
      <c r="I49" s="51"/>
      <c r="J49" s="51">
        <f>SUM(F49:I49)</f>
        <v>24750</v>
      </c>
    </row>
    <row r="50" spans="1:16" x14ac:dyDescent="0.35">
      <c r="B50" s="45" t="s">
        <v>98</v>
      </c>
      <c r="C50" s="46">
        <f>SUM(C47:C49)</f>
        <v>15000</v>
      </c>
      <c r="D50" s="51">
        <v>10</v>
      </c>
      <c r="E50" s="51">
        <v>655450</v>
      </c>
      <c r="F50" s="51">
        <f t="shared" si="4"/>
        <v>50000</v>
      </c>
      <c r="G50" s="51">
        <f>$D50*G$46</f>
        <v>50000</v>
      </c>
      <c r="H50" s="51">
        <f>$D50*H$46</f>
        <v>50000</v>
      </c>
      <c r="I50" s="51">
        <f>E50-F50-G50-H50</f>
        <v>505450</v>
      </c>
      <c r="J50" s="51">
        <f>SUM(F50:I50)</f>
        <v>655450</v>
      </c>
    </row>
    <row r="51" spans="1:16" ht="16" thickBot="1" x14ac:dyDescent="0.4">
      <c r="B51" s="45"/>
      <c r="C51" t="s">
        <v>0</v>
      </c>
      <c r="D51" s="53">
        <f t="shared" ref="D51:J51" si="5">SUM(D47:D50)</f>
        <v>200</v>
      </c>
      <c r="E51" s="53">
        <f t="shared" si="5"/>
        <v>1076140</v>
      </c>
      <c r="F51" s="53">
        <f t="shared" si="5"/>
        <v>426950</v>
      </c>
      <c r="G51" s="53">
        <f t="shared" si="5"/>
        <v>88990</v>
      </c>
      <c r="H51" s="54">
        <f t="shared" si="5"/>
        <v>54750</v>
      </c>
      <c r="I51" s="53">
        <f t="shared" si="5"/>
        <v>505450</v>
      </c>
      <c r="J51" s="53">
        <f t="shared" si="5"/>
        <v>1076140</v>
      </c>
    </row>
    <row r="52" spans="1:16" ht="16" thickTop="1" x14ac:dyDescent="0.35">
      <c r="I52"/>
    </row>
    <row r="53" spans="1:16" x14ac:dyDescent="0.35">
      <c r="I53"/>
    </row>
    <row r="54" spans="1:16" x14ac:dyDescent="0.35">
      <c r="B54" s="395" t="s">
        <v>149</v>
      </c>
      <c r="C54" s="395"/>
      <c r="D54" s="395"/>
      <c r="E54" s="395"/>
      <c r="F54" s="395"/>
      <c r="G54" s="395"/>
      <c r="H54" s="395"/>
      <c r="I54"/>
    </row>
    <row r="55" spans="1:16" x14ac:dyDescent="0.35">
      <c r="C55" s="56"/>
      <c r="D55" s="158" t="s">
        <v>147</v>
      </c>
      <c r="E55" s="158" t="s">
        <v>148</v>
      </c>
      <c r="F55" s="395" t="s">
        <v>150</v>
      </c>
      <c r="G55" s="395"/>
      <c r="H55" s="158" t="s">
        <v>34</v>
      </c>
      <c r="I55"/>
    </row>
    <row r="56" spans="1:16" x14ac:dyDescent="0.35">
      <c r="B56" s="45" t="s">
        <v>53</v>
      </c>
      <c r="C56" s="51">
        <f>C47</f>
        <v>5000</v>
      </c>
      <c r="D56" s="57">
        <f>D51</f>
        <v>200</v>
      </c>
      <c r="E56" s="57">
        <f>F51</f>
        <v>426950</v>
      </c>
      <c r="F56" s="58">
        <f>'Cur Rates'!F14</f>
        <v>67.62</v>
      </c>
      <c r="G56" t="s">
        <v>186</v>
      </c>
      <c r="H56" s="58">
        <f>F56*D56</f>
        <v>13524</v>
      </c>
      <c r="I56"/>
    </row>
    <row r="57" spans="1:16" x14ac:dyDescent="0.35">
      <c r="B57" s="45" t="s">
        <v>54</v>
      </c>
      <c r="C57" s="51">
        <f>C48</f>
        <v>5000</v>
      </c>
      <c r="E57" s="57">
        <f>G51</f>
        <v>88990</v>
      </c>
      <c r="F57" s="159">
        <f>'Cur Rates'!F15</f>
        <v>1.0999999999999999E-2</v>
      </c>
      <c r="G57" t="s">
        <v>187</v>
      </c>
      <c r="H57" s="160">
        <f>ROUND(E57*F57,2)</f>
        <v>978.89</v>
      </c>
      <c r="I57"/>
      <c r="P57" s="161">
        <v>11</v>
      </c>
    </row>
    <row r="58" spans="1:16" x14ac:dyDescent="0.35">
      <c r="B58" s="45" t="s">
        <v>54</v>
      </c>
      <c r="C58" s="51">
        <f>C49</f>
        <v>5000</v>
      </c>
      <c r="E58" s="57">
        <f>H51</f>
        <v>54750</v>
      </c>
      <c r="F58" s="159">
        <f>'Cur Rates'!F16</f>
        <v>1.0149999999999999E-2</v>
      </c>
      <c r="G58" t="s">
        <v>187</v>
      </c>
      <c r="H58" s="160">
        <f>ROUND(E58*F58,2)</f>
        <v>555.71</v>
      </c>
      <c r="I58"/>
      <c r="P58" s="161">
        <v>10.15</v>
      </c>
    </row>
    <row r="59" spans="1:16" x14ac:dyDescent="0.35">
      <c r="B59" s="45" t="s">
        <v>98</v>
      </c>
      <c r="C59" s="51">
        <f>C50</f>
        <v>15000</v>
      </c>
      <c r="D59" s="56"/>
      <c r="E59" s="59">
        <f>I50</f>
        <v>505450</v>
      </c>
      <c r="F59" s="159">
        <f>'Cur Rates'!F17</f>
        <v>9.2899999999999996E-3</v>
      </c>
      <c r="G59" t="s">
        <v>187</v>
      </c>
      <c r="H59" s="160">
        <f>ROUND(E59*F59,2)</f>
        <v>4695.63</v>
      </c>
      <c r="I59"/>
      <c r="P59" s="161">
        <v>9.2899999999999991</v>
      </c>
    </row>
    <row r="60" spans="1:16" ht="16" thickBot="1" x14ac:dyDescent="0.4">
      <c r="C60" t="s">
        <v>37</v>
      </c>
      <c r="E60" s="53">
        <f>SUM(E56:E59)</f>
        <v>1076140</v>
      </c>
      <c r="H60" s="162">
        <f>SUM(H56:H59)</f>
        <v>19754.23</v>
      </c>
      <c r="I60"/>
      <c r="J60" t="s">
        <v>151</v>
      </c>
    </row>
    <row r="61" spans="1:16" ht="16" thickTop="1" x14ac:dyDescent="0.35"/>
    <row r="62" spans="1:16" x14ac:dyDescent="0.35">
      <c r="A62" t="s">
        <v>185</v>
      </c>
      <c r="B62" s="73" t="s">
        <v>178</v>
      </c>
      <c r="H62"/>
      <c r="I62"/>
    </row>
    <row r="63" spans="1:16" x14ac:dyDescent="0.35">
      <c r="B63" s="45"/>
      <c r="C63" s="45"/>
      <c r="D63" s="45"/>
      <c r="E63" s="45"/>
      <c r="F63" s="45" t="s">
        <v>53</v>
      </c>
      <c r="G63" s="45" t="s">
        <v>98</v>
      </c>
      <c r="H63" s="45" t="s">
        <v>59</v>
      </c>
      <c r="I63"/>
    </row>
    <row r="64" spans="1:16" x14ac:dyDescent="0.35">
      <c r="B64" s="45"/>
      <c r="C64" s="47" t="s">
        <v>146</v>
      </c>
      <c r="D64" s="47" t="s">
        <v>147</v>
      </c>
      <c r="E64" s="47" t="s">
        <v>148</v>
      </c>
      <c r="F64" s="48">
        <f>C65</f>
        <v>15000</v>
      </c>
      <c r="G64" s="50">
        <f>SUM(F64:F64)</f>
        <v>15000</v>
      </c>
      <c r="H64" s="47"/>
      <c r="I64"/>
    </row>
    <row r="65" spans="1:16" x14ac:dyDescent="0.35">
      <c r="B65" s="45" t="s">
        <v>53</v>
      </c>
      <c r="C65" s="46">
        <v>15000</v>
      </c>
      <c r="D65" s="51">
        <v>24</v>
      </c>
      <c r="E65" s="51">
        <v>145730</v>
      </c>
      <c r="F65" s="51">
        <f>E65</f>
        <v>145730</v>
      </c>
      <c r="G65" s="51">
        <v>0</v>
      </c>
      <c r="H65" s="51">
        <f>SUM(F65:G65)</f>
        <v>145730</v>
      </c>
      <c r="I65"/>
    </row>
    <row r="66" spans="1:16" x14ac:dyDescent="0.35">
      <c r="B66" s="45" t="s">
        <v>98</v>
      </c>
      <c r="C66" s="46">
        <f>SUM(C65:C65)</f>
        <v>15000</v>
      </c>
      <c r="D66" s="51">
        <v>72</v>
      </c>
      <c r="E66" s="51">
        <v>12530570</v>
      </c>
      <c r="F66" s="51">
        <f>$D66*F$64</f>
        <v>1080000</v>
      </c>
      <c r="G66" s="51">
        <f>E66-F66</f>
        <v>11450570</v>
      </c>
      <c r="H66" s="51">
        <f>SUM(F66:G66)</f>
        <v>12530570</v>
      </c>
      <c r="I66"/>
    </row>
    <row r="67" spans="1:16" ht="16" thickBot="1" x14ac:dyDescent="0.4">
      <c r="B67" s="45"/>
      <c r="C67" t="s">
        <v>0</v>
      </c>
      <c r="D67" s="53">
        <f>SUM(D65:D66)</f>
        <v>96</v>
      </c>
      <c r="E67" s="53">
        <f>SUM(E65:E66)</f>
        <v>12676300</v>
      </c>
      <c r="F67" s="53">
        <f>SUM(F65:F66)</f>
        <v>1225730</v>
      </c>
      <c r="G67" s="53">
        <f>SUM(G65:G66)</f>
        <v>11450570</v>
      </c>
      <c r="H67" s="53">
        <f>SUM(H65:H66)</f>
        <v>12676300</v>
      </c>
      <c r="I67"/>
    </row>
    <row r="68" spans="1:16" ht="16" thickTop="1" x14ac:dyDescent="0.35">
      <c r="H68"/>
      <c r="I68"/>
    </row>
    <row r="69" spans="1:16" x14ac:dyDescent="0.35">
      <c r="H69"/>
      <c r="I69"/>
    </row>
    <row r="70" spans="1:16" x14ac:dyDescent="0.35">
      <c r="B70" s="395" t="s">
        <v>149</v>
      </c>
      <c r="C70" s="395"/>
      <c r="D70" s="395"/>
      <c r="E70" s="395"/>
      <c r="F70" s="395"/>
      <c r="G70" s="395"/>
      <c r="H70" s="395"/>
      <c r="I70"/>
    </row>
    <row r="71" spans="1:16" x14ac:dyDescent="0.35">
      <c r="C71" s="56"/>
      <c r="D71" s="158" t="s">
        <v>147</v>
      </c>
      <c r="E71" s="158" t="s">
        <v>148</v>
      </c>
      <c r="F71" s="395" t="s">
        <v>150</v>
      </c>
      <c r="G71" s="395"/>
      <c r="H71" s="158" t="s">
        <v>34</v>
      </c>
      <c r="I71"/>
    </row>
    <row r="72" spans="1:16" x14ac:dyDescent="0.35">
      <c r="B72" s="45" t="s">
        <v>53</v>
      </c>
      <c r="C72" s="51">
        <f>C65</f>
        <v>15000</v>
      </c>
      <c r="D72" s="57">
        <f>D67</f>
        <v>96</v>
      </c>
      <c r="E72" s="57">
        <f>F67</f>
        <v>1225730</v>
      </c>
      <c r="F72" s="58">
        <v>171.93</v>
      </c>
      <c r="G72" t="s">
        <v>186</v>
      </c>
      <c r="H72" s="58">
        <f>F72*D72</f>
        <v>16505.28</v>
      </c>
      <c r="I72"/>
    </row>
    <row r="73" spans="1:16" x14ac:dyDescent="0.35">
      <c r="B73" s="45" t="s">
        <v>98</v>
      </c>
      <c r="C73" s="51">
        <f>C66</f>
        <v>15000</v>
      </c>
      <c r="D73" s="56"/>
      <c r="E73" s="59">
        <f>G66</f>
        <v>11450570</v>
      </c>
      <c r="F73" s="159">
        <f>F59</f>
        <v>9.2899999999999996E-3</v>
      </c>
      <c r="G73" t="s">
        <v>187</v>
      </c>
      <c r="H73" s="160">
        <f>ROUND(E73*F73,2)</f>
        <v>106375.8</v>
      </c>
      <c r="I73"/>
      <c r="P73" s="161">
        <v>9.2899999999999991</v>
      </c>
    </row>
    <row r="74" spans="1:16" ht="16" thickBot="1" x14ac:dyDescent="0.4">
      <c r="C74" t="s">
        <v>37</v>
      </c>
      <c r="E74" s="53">
        <f>SUM(E72:E73)</f>
        <v>12676300</v>
      </c>
      <c r="H74" s="162">
        <f>SUM(H72:H73)</f>
        <v>122881.08</v>
      </c>
      <c r="I74"/>
    </row>
    <row r="75" spans="1:16" ht="16" thickTop="1" x14ac:dyDescent="0.35"/>
    <row r="76" spans="1:16" x14ac:dyDescent="0.35">
      <c r="A76" t="s">
        <v>185</v>
      </c>
      <c r="B76" s="73" t="s">
        <v>179</v>
      </c>
      <c r="H76"/>
      <c r="I76"/>
    </row>
    <row r="77" spans="1:16" x14ac:dyDescent="0.35">
      <c r="B77" s="45"/>
      <c r="C77" s="45"/>
      <c r="D77" s="45"/>
      <c r="E77" s="45"/>
      <c r="F77" s="45" t="s">
        <v>53</v>
      </c>
      <c r="G77" s="45" t="s">
        <v>98</v>
      </c>
      <c r="H77" s="45" t="s">
        <v>59</v>
      </c>
      <c r="I77"/>
    </row>
    <row r="78" spans="1:16" x14ac:dyDescent="0.35">
      <c r="B78" s="45"/>
      <c r="C78" s="47" t="s">
        <v>146</v>
      </c>
      <c r="D78" s="47" t="s">
        <v>147</v>
      </c>
      <c r="E78" s="47" t="s">
        <v>148</v>
      </c>
      <c r="F78" s="48">
        <f>C79</f>
        <v>100000</v>
      </c>
      <c r="G78" s="50">
        <f>SUM(F78:F78)</f>
        <v>100000</v>
      </c>
      <c r="H78" s="47"/>
      <c r="I78"/>
    </row>
    <row r="79" spans="1:16" x14ac:dyDescent="0.35">
      <c r="B79" s="45" t="s">
        <v>53</v>
      </c>
      <c r="C79" s="46">
        <v>100000</v>
      </c>
      <c r="D79" s="51">
        <v>8</v>
      </c>
      <c r="E79" s="51">
        <v>382380</v>
      </c>
      <c r="F79" s="51">
        <f>E79</f>
        <v>382380</v>
      </c>
      <c r="G79" s="51">
        <v>0</v>
      </c>
      <c r="H79" s="51">
        <f>SUM(F79:G79)</f>
        <v>382380</v>
      </c>
      <c r="I79"/>
    </row>
    <row r="80" spans="1:16" x14ac:dyDescent="0.35">
      <c r="B80" s="45" t="s">
        <v>98</v>
      </c>
      <c r="C80" s="46">
        <f>SUM(C79:C79)</f>
        <v>100000</v>
      </c>
      <c r="D80" s="51">
        <v>4</v>
      </c>
      <c r="E80" s="51">
        <v>754330</v>
      </c>
      <c r="F80" s="51">
        <f>$D80*F$78</f>
        <v>400000</v>
      </c>
      <c r="G80" s="51">
        <f>E80-F80</f>
        <v>354330</v>
      </c>
      <c r="H80" s="51">
        <f>SUM(F80:G80)</f>
        <v>754330</v>
      </c>
      <c r="I80"/>
    </row>
    <row r="81" spans="1:16" ht="16" thickBot="1" x14ac:dyDescent="0.4">
      <c r="B81" s="45"/>
      <c r="C81" t="s">
        <v>0</v>
      </c>
      <c r="D81" s="53">
        <f>SUM(D79:D80)</f>
        <v>12</v>
      </c>
      <c r="E81" s="53">
        <f>SUM(E79:E80)</f>
        <v>1136710</v>
      </c>
      <c r="F81" s="53">
        <f>SUM(F79:F80)</f>
        <v>782380</v>
      </c>
      <c r="G81" s="53">
        <f>SUM(G79:G80)</f>
        <v>354330</v>
      </c>
      <c r="H81" s="53">
        <f>SUM(H79:H80)</f>
        <v>1136710</v>
      </c>
      <c r="I81"/>
    </row>
    <row r="82" spans="1:16" ht="16" thickTop="1" x14ac:dyDescent="0.35">
      <c r="H82"/>
      <c r="I82"/>
    </row>
    <row r="83" spans="1:16" x14ac:dyDescent="0.35">
      <c r="H83"/>
      <c r="I83"/>
    </row>
    <row r="84" spans="1:16" x14ac:dyDescent="0.35">
      <c r="B84" s="395" t="s">
        <v>149</v>
      </c>
      <c r="C84" s="395"/>
      <c r="D84" s="395"/>
      <c r="E84" s="395"/>
      <c r="F84" s="395"/>
      <c r="G84" s="395"/>
      <c r="H84" s="395"/>
      <c r="I84"/>
    </row>
    <row r="85" spans="1:16" x14ac:dyDescent="0.35">
      <c r="C85" s="56"/>
      <c r="D85" s="158" t="s">
        <v>147</v>
      </c>
      <c r="E85" s="158" t="s">
        <v>148</v>
      </c>
      <c r="F85" s="395" t="s">
        <v>150</v>
      </c>
      <c r="G85" s="395"/>
      <c r="H85" s="158" t="s">
        <v>34</v>
      </c>
      <c r="I85"/>
    </row>
    <row r="86" spans="1:16" x14ac:dyDescent="0.35">
      <c r="B86" s="45" t="s">
        <v>53</v>
      </c>
      <c r="C86" s="51">
        <f>C79</f>
        <v>100000</v>
      </c>
      <c r="D86" s="57">
        <f>D81</f>
        <v>12</v>
      </c>
      <c r="E86" s="57">
        <f>F81</f>
        <v>782380</v>
      </c>
      <c r="F86" s="58">
        <v>963.03</v>
      </c>
      <c r="G86" t="s">
        <v>186</v>
      </c>
      <c r="H86" s="58">
        <f>F86*D86</f>
        <v>11556.36</v>
      </c>
      <c r="I86"/>
    </row>
    <row r="87" spans="1:16" x14ac:dyDescent="0.35">
      <c r="B87" s="45" t="s">
        <v>98</v>
      </c>
      <c r="C87" s="51">
        <f>C80</f>
        <v>100000</v>
      </c>
      <c r="D87" s="56"/>
      <c r="E87" s="59">
        <f>G80</f>
        <v>354330</v>
      </c>
      <c r="F87" s="159">
        <f>F73</f>
        <v>9.2899999999999996E-3</v>
      </c>
      <c r="G87" t="s">
        <v>187</v>
      </c>
      <c r="H87" s="160">
        <f>ROUND(E87*F87,2)</f>
        <v>3291.73</v>
      </c>
      <c r="I87"/>
      <c r="P87" s="161">
        <v>9.2899999999999991</v>
      </c>
    </row>
    <row r="88" spans="1:16" ht="16" thickBot="1" x14ac:dyDescent="0.4">
      <c r="C88" t="s">
        <v>37</v>
      </c>
      <c r="E88" s="53">
        <f>SUM(E86:E87)</f>
        <v>1136710</v>
      </c>
      <c r="H88" s="162">
        <f>SUM(H86:H87)</f>
        <v>14848.09</v>
      </c>
      <c r="I88"/>
    </row>
    <row r="89" spans="1:16" ht="16" thickTop="1" x14ac:dyDescent="0.35"/>
    <row r="90" spans="1:16" x14ac:dyDescent="0.35">
      <c r="A90" t="s">
        <v>185</v>
      </c>
      <c r="B90" s="73" t="s">
        <v>188</v>
      </c>
      <c r="H90"/>
      <c r="I90"/>
    </row>
    <row r="91" spans="1:16" x14ac:dyDescent="0.35">
      <c r="H91"/>
      <c r="I91"/>
    </row>
    <row r="92" spans="1:16" x14ac:dyDescent="0.35">
      <c r="B92" s="45"/>
      <c r="C92" s="45"/>
      <c r="D92" s="45"/>
      <c r="E92" s="45"/>
      <c r="H92"/>
      <c r="I92"/>
    </row>
    <row r="93" spans="1:16" x14ac:dyDescent="0.35">
      <c r="B93" s="45"/>
      <c r="C93" s="47" t="s">
        <v>146</v>
      </c>
      <c r="D93" s="47" t="s">
        <v>147</v>
      </c>
      <c r="E93" s="47" t="s">
        <v>148</v>
      </c>
      <c r="H93"/>
      <c r="I93"/>
    </row>
    <row r="94" spans="1:16" x14ac:dyDescent="0.35">
      <c r="B94" s="45" t="s">
        <v>98</v>
      </c>
      <c r="C94" s="46">
        <v>6280000</v>
      </c>
      <c r="D94" s="51">
        <v>12</v>
      </c>
      <c r="E94" s="51">
        <v>6280000</v>
      </c>
      <c r="H94"/>
      <c r="I94"/>
    </row>
    <row r="95" spans="1:16" ht="16" thickBot="1" x14ac:dyDescent="0.4">
      <c r="B95" s="45"/>
      <c r="C95" t="s">
        <v>0</v>
      </c>
      <c r="D95" s="53">
        <f>SUM(D94:D94)</f>
        <v>12</v>
      </c>
      <c r="E95" s="53">
        <f>SUM(E94:E94)</f>
        <v>6280000</v>
      </c>
      <c r="H95"/>
      <c r="I95"/>
    </row>
    <row r="96" spans="1:16" ht="16" thickTop="1" x14ac:dyDescent="0.35">
      <c r="H96"/>
      <c r="I96"/>
    </row>
    <row r="97" spans="2:16" x14ac:dyDescent="0.35">
      <c r="H97"/>
      <c r="I97"/>
    </row>
    <row r="98" spans="2:16" x14ac:dyDescent="0.35">
      <c r="B98" s="395" t="s">
        <v>149</v>
      </c>
      <c r="C98" s="395"/>
      <c r="D98" s="395"/>
      <c r="E98" s="395"/>
      <c r="F98" s="395"/>
      <c r="G98" s="395"/>
      <c r="H98" s="395"/>
      <c r="I98"/>
    </row>
    <row r="99" spans="2:16" x14ac:dyDescent="0.35">
      <c r="C99" s="56"/>
      <c r="D99" s="158" t="s">
        <v>147</v>
      </c>
      <c r="E99" s="158" t="s">
        <v>148</v>
      </c>
      <c r="F99" s="395" t="s">
        <v>150</v>
      </c>
      <c r="G99" s="395"/>
      <c r="H99" s="158" t="s">
        <v>34</v>
      </c>
      <c r="I99"/>
    </row>
    <row r="100" spans="2:16" x14ac:dyDescent="0.35">
      <c r="B100" s="45" t="s">
        <v>148</v>
      </c>
      <c r="C100" s="51"/>
      <c r="D100" s="59">
        <f>D95</f>
        <v>12</v>
      </c>
      <c r="E100" s="59">
        <f>E95</f>
        <v>6280000</v>
      </c>
      <c r="F100" s="159">
        <f>ROUND(P100/1000,6)</f>
        <v>4.5199999999999997E-3</v>
      </c>
      <c r="G100" t="s">
        <v>187</v>
      </c>
      <c r="H100" s="160">
        <f>ROUND(E100*F100,2)</f>
        <v>28385.599999999999</v>
      </c>
      <c r="I100"/>
      <c r="P100" s="161">
        <v>4.5199999999999996</v>
      </c>
    </row>
    <row r="101" spans="2:16" ht="16" thickBot="1" x14ac:dyDescent="0.4">
      <c r="C101" t="s">
        <v>37</v>
      </c>
      <c r="E101" s="53">
        <f>SUM(E100:E100)</f>
        <v>6280000</v>
      </c>
      <c r="H101" s="162">
        <f>SUM(H100:H100)</f>
        <v>28385.599999999999</v>
      </c>
      <c r="I101"/>
    </row>
    <row r="102" spans="2:16" ht="16" thickTop="1" x14ac:dyDescent="0.35"/>
  </sheetData>
  <mergeCells count="17">
    <mergeCell ref="A1:K1"/>
    <mergeCell ref="A2:K2"/>
    <mergeCell ref="A3:K3"/>
    <mergeCell ref="A4:K4"/>
    <mergeCell ref="C6:D6"/>
    <mergeCell ref="C7:D7"/>
    <mergeCell ref="C8:D8"/>
    <mergeCell ref="B34:H34"/>
    <mergeCell ref="F35:G35"/>
    <mergeCell ref="F85:G85"/>
    <mergeCell ref="B98:H98"/>
    <mergeCell ref="F99:G99"/>
    <mergeCell ref="B54:H54"/>
    <mergeCell ref="F55:G55"/>
    <mergeCell ref="B70:H70"/>
    <mergeCell ref="F71:G71"/>
    <mergeCell ref="B84:H84"/>
  </mergeCells>
  <printOptions horizontalCentered="1"/>
  <pageMargins left="0.7" right="0.6" top="1.1499999999999999" bottom="0.85" header="0.3" footer="0.3"/>
  <pageSetup scale="89" fitToHeight="2" orientation="portrait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33"/>
  <sheetViews>
    <sheetView workbookViewId="0">
      <selection activeCell="L12" sqref="L12"/>
    </sheetView>
  </sheetViews>
  <sheetFormatPr defaultColWidth="8.84375" defaultRowHeight="15.5" x14ac:dyDescent="0.35"/>
  <cols>
    <col min="1" max="1" width="9.691406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9.691406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6"/>
      <c r="D2" s="76"/>
      <c r="E2" s="76"/>
      <c r="F2" s="77"/>
      <c r="G2" s="76"/>
      <c r="H2" s="76"/>
      <c r="I2" s="76"/>
      <c r="J2" s="76"/>
      <c r="K2" s="76"/>
      <c r="L2" s="77"/>
      <c r="M2" s="78"/>
    </row>
    <row r="3" spans="2:20" x14ac:dyDescent="0.35">
      <c r="B3" s="8"/>
      <c r="C3" s="403" t="s">
        <v>87</v>
      </c>
      <c r="D3" s="403"/>
      <c r="E3" s="403"/>
      <c r="F3" s="403"/>
      <c r="G3" s="403"/>
      <c r="H3" s="403"/>
      <c r="I3" s="403"/>
      <c r="J3" s="403"/>
      <c r="K3" s="403"/>
      <c r="L3" s="403"/>
      <c r="M3" s="404"/>
    </row>
    <row r="4" spans="2:20" x14ac:dyDescent="0.35">
      <c r="B4" s="8"/>
      <c r="C4" s="403" t="s">
        <v>55</v>
      </c>
      <c r="D4" s="403"/>
      <c r="E4" s="403"/>
      <c r="F4" s="403"/>
      <c r="G4" s="403"/>
      <c r="H4" s="403"/>
      <c r="I4" s="403"/>
      <c r="J4" s="403"/>
      <c r="K4" s="403"/>
      <c r="L4" s="403"/>
      <c r="M4" s="404"/>
      <c r="O4" s="4" t="s">
        <v>165</v>
      </c>
      <c r="R4" s="4" t="s">
        <v>166</v>
      </c>
    </row>
    <row r="5" spans="2:20" x14ac:dyDescent="0.35">
      <c r="B5" s="8"/>
      <c r="C5" s="405" t="str">
        <f>Adjustments!B1</f>
        <v>Morgan County Water District</v>
      </c>
      <c r="D5" s="405"/>
      <c r="E5" s="405"/>
      <c r="F5" s="405"/>
      <c r="G5" s="405"/>
      <c r="H5" s="405"/>
      <c r="I5" s="405"/>
      <c r="J5" s="405"/>
      <c r="K5" s="405"/>
      <c r="L5" s="405"/>
      <c r="M5" s="406"/>
      <c r="N5" s="71"/>
      <c r="O5" s="71"/>
      <c r="P5" s="71"/>
      <c r="Q5" s="71"/>
      <c r="R5" s="71"/>
      <c r="S5" s="71"/>
    </row>
    <row r="6" spans="2:20" x14ac:dyDescent="0.35">
      <c r="B6" s="8"/>
      <c r="M6" s="79"/>
    </row>
    <row r="7" spans="2:20" x14ac:dyDescent="0.35">
      <c r="B7" s="9"/>
      <c r="C7" s="76"/>
      <c r="D7" s="76"/>
      <c r="E7" s="76"/>
      <c r="F7" s="77"/>
      <c r="G7" s="78"/>
      <c r="H7" s="9"/>
      <c r="I7" s="76"/>
      <c r="J7" s="76"/>
      <c r="K7" s="76"/>
      <c r="L7" s="77"/>
      <c r="M7" s="78"/>
    </row>
    <row r="8" spans="2:20" x14ac:dyDescent="0.35">
      <c r="B8" s="8"/>
      <c r="C8" s="401" t="s">
        <v>324</v>
      </c>
      <c r="D8" s="401"/>
      <c r="E8" s="401"/>
      <c r="F8" s="401"/>
      <c r="G8" s="402"/>
      <c r="I8" s="401" t="s">
        <v>96</v>
      </c>
      <c r="J8" s="401"/>
      <c r="K8" s="401"/>
      <c r="L8" s="401"/>
      <c r="M8" s="402"/>
      <c r="O8" s="17">
        <f>IF(R4="DSC",'SAO - DSC'!L51,IF('Rates Comp'!R4="Op Ratio",'SAO - Op Ratio'!L52,"Error"))</f>
        <v>0.40799999999999997</v>
      </c>
      <c r="P8" s="17" t="s">
        <v>97</v>
      </c>
      <c r="Q8" s="17"/>
      <c r="R8" s="17"/>
      <c r="S8" s="17"/>
    </row>
    <row r="9" spans="2:20" x14ac:dyDescent="0.35">
      <c r="B9" s="8"/>
      <c r="G9" s="79"/>
      <c r="M9" s="79"/>
    </row>
    <row r="10" spans="2:20" x14ac:dyDescent="0.35">
      <c r="B10" s="8"/>
      <c r="C10" s="16"/>
      <c r="G10" s="79"/>
      <c r="I10" s="16"/>
      <c r="L10" s="80"/>
      <c r="M10" s="79"/>
    </row>
    <row r="11" spans="2:20" x14ac:dyDescent="0.35">
      <c r="B11" s="9"/>
      <c r="C11" s="246" t="s">
        <v>322</v>
      </c>
      <c r="D11" s="247"/>
      <c r="E11" s="247"/>
      <c r="F11" s="247"/>
      <c r="G11" s="248"/>
      <c r="H11" s="9"/>
      <c r="I11" s="246" t="s">
        <v>322</v>
      </c>
      <c r="J11" s="247"/>
      <c r="K11" s="247"/>
      <c r="L11" s="77"/>
      <c r="M11" s="78"/>
      <c r="T11" s="82"/>
    </row>
    <row r="12" spans="2:20" x14ac:dyDescent="0.35">
      <c r="B12" s="8"/>
      <c r="C12" s="45" t="s">
        <v>53</v>
      </c>
      <c r="D12" s="51">
        <v>2000</v>
      </c>
      <c r="E12" s="253" t="s">
        <v>148</v>
      </c>
      <c r="F12" s="147">
        <f>'Cur Rates'!F7</f>
        <v>31.89</v>
      </c>
      <c r="G12" s="146" t="s">
        <v>186</v>
      </c>
      <c r="H12" s="8"/>
      <c r="I12" s="45" t="s">
        <v>53</v>
      </c>
      <c r="J12" s="51">
        <v>2000</v>
      </c>
      <c r="K12" s="253" t="s">
        <v>148</v>
      </c>
      <c r="L12" s="147">
        <f>R12</f>
        <v>44.93</v>
      </c>
      <c r="M12" s="146" t="s">
        <v>186</v>
      </c>
      <c r="O12" s="147">
        <f>F12</f>
        <v>31.89</v>
      </c>
      <c r="P12" s="147">
        <f>ROUND(O$8*O12,2)</f>
        <v>13.01</v>
      </c>
      <c r="Q12" s="61">
        <v>0.03</v>
      </c>
      <c r="R12" s="147">
        <f>SUM(O12:Q12)</f>
        <v>44.93</v>
      </c>
      <c r="S12" s="147"/>
      <c r="T12" s="82"/>
    </row>
    <row r="13" spans="2:20" x14ac:dyDescent="0.35">
      <c r="B13" s="8"/>
      <c r="C13" s="45" t="s">
        <v>54</v>
      </c>
      <c r="D13" s="51">
        <v>3000</v>
      </c>
      <c r="E13" s="253" t="s">
        <v>148</v>
      </c>
      <c r="F13" s="61">
        <f>'Cur Rates'!F8</f>
        <v>1.1860000000000001E-2</v>
      </c>
      <c r="G13" s="146" t="s">
        <v>187</v>
      </c>
      <c r="H13" s="8"/>
      <c r="I13" s="45" t="s">
        <v>54</v>
      </c>
      <c r="J13" s="51">
        <v>3000</v>
      </c>
      <c r="K13" s="253" t="s">
        <v>148</v>
      </c>
      <c r="L13" s="61">
        <f>R13</f>
        <v>1.6660000000000001E-2</v>
      </c>
      <c r="M13" s="146" t="s">
        <v>187</v>
      </c>
      <c r="N13" s="18"/>
      <c r="O13" s="61">
        <f t="shared" ref="O13:O33" si="0">F13</f>
        <v>1.1860000000000001E-2</v>
      </c>
      <c r="P13" s="61">
        <f>ROUND(O$8*O13,5)</f>
        <v>4.8399999999999997E-3</v>
      </c>
      <c r="Q13" s="61">
        <v>-4.0000000000000003E-5</v>
      </c>
      <c r="R13" s="61">
        <f>SUM(O13:Q13)</f>
        <v>1.6660000000000001E-2</v>
      </c>
      <c r="S13" s="61"/>
      <c r="T13" s="82"/>
    </row>
    <row r="14" spans="2:20" x14ac:dyDescent="0.35">
      <c r="B14" s="8"/>
      <c r="C14" s="45" t="s">
        <v>54</v>
      </c>
      <c r="D14" s="51">
        <v>5000</v>
      </c>
      <c r="E14" s="253" t="s">
        <v>148</v>
      </c>
      <c r="F14" s="61">
        <f>'Cur Rates'!F9</f>
        <v>1.0999999999999999E-2</v>
      </c>
      <c r="G14" s="146" t="s">
        <v>187</v>
      </c>
      <c r="H14" s="8"/>
      <c r="I14" s="45" t="s">
        <v>54</v>
      </c>
      <c r="J14" s="51">
        <v>5000</v>
      </c>
      <c r="K14" s="253" t="s">
        <v>148</v>
      </c>
      <c r="L14" s="61">
        <f t="shared" ref="L14:L16" si="1">R14</f>
        <v>1.545E-2</v>
      </c>
      <c r="M14" s="146" t="s">
        <v>187</v>
      </c>
      <c r="O14" s="61">
        <f t="shared" si="0"/>
        <v>1.0999999999999999E-2</v>
      </c>
      <c r="P14" s="61">
        <f t="shared" ref="P14:P16" si="2">ROUND(O$8*O14,5)</f>
        <v>4.4900000000000001E-3</v>
      </c>
      <c r="Q14" s="61">
        <f>Q13</f>
        <v>-4.0000000000000003E-5</v>
      </c>
      <c r="R14" s="61">
        <f t="shared" ref="R14:R16" si="3">SUM(O14:Q14)</f>
        <v>1.545E-2</v>
      </c>
      <c r="S14" s="61">
        <v>-1.0000000000000001E-5</v>
      </c>
    </row>
    <row r="15" spans="2:20" x14ac:dyDescent="0.35">
      <c r="B15" s="8"/>
      <c r="C15" s="45" t="s">
        <v>54</v>
      </c>
      <c r="D15" s="51">
        <v>15000</v>
      </c>
      <c r="E15" s="253" t="s">
        <v>148</v>
      </c>
      <c r="F15" s="61">
        <f>'Cur Rates'!F10</f>
        <v>1.0149999999999999E-2</v>
      </c>
      <c r="G15" s="146" t="s">
        <v>187</v>
      </c>
      <c r="H15" s="8"/>
      <c r="I15" s="45" t="s">
        <v>54</v>
      </c>
      <c r="J15" s="51">
        <v>15000</v>
      </c>
      <c r="K15" s="253" t="s">
        <v>148</v>
      </c>
      <c r="L15" s="61">
        <f t="shared" si="1"/>
        <v>1.4249999999999999E-2</v>
      </c>
      <c r="M15" s="146" t="s">
        <v>187</v>
      </c>
      <c r="O15" s="61">
        <f t="shared" si="0"/>
        <v>1.0149999999999999E-2</v>
      </c>
      <c r="P15" s="61">
        <f t="shared" si="2"/>
        <v>4.1399999999999996E-3</v>
      </c>
      <c r="Q15" s="61">
        <f>Q13</f>
        <v>-4.0000000000000003E-5</v>
      </c>
      <c r="R15" s="61">
        <f t="shared" si="3"/>
        <v>1.4249999999999999E-2</v>
      </c>
      <c r="S15" s="61"/>
    </row>
    <row r="16" spans="2:20" x14ac:dyDescent="0.35">
      <c r="B16" s="8"/>
      <c r="C16" s="45" t="s">
        <v>98</v>
      </c>
      <c r="D16" s="51">
        <v>15000</v>
      </c>
      <c r="E16" s="253" t="s">
        <v>148</v>
      </c>
      <c r="F16" s="61">
        <f>'Cur Rates'!F11</f>
        <v>9.2899999999999996E-3</v>
      </c>
      <c r="G16" s="146" t="s">
        <v>187</v>
      </c>
      <c r="H16" s="8"/>
      <c r="I16" s="45" t="s">
        <v>98</v>
      </c>
      <c r="J16" s="51">
        <v>15000</v>
      </c>
      <c r="K16" s="253" t="s">
        <v>148</v>
      </c>
      <c r="L16" s="61">
        <f t="shared" si="1"/>
        <v>1.304E-2</v>
      </c>
      <c r="M16" s="146" t="s">
        <v>187</v>
      </c>
      <c r="O16" s="61">
        <f t="shared" si="0"/>
        <v>9.2899999999999996E-3</v>
      </c>
      <c r="P16" s="61">
        <f t="shared" si="2"/>
        <v>3.79E-3</v>
      </c>
      <c r="Q16" s="61">
        <f>Q13</f>
        <v>-4.0000000000000003E-5</v>
      </c>
      <c r="R16" s="61">
        <f t="shared" si="3"/>
        <v>1.304E-2</v>
      </c>
      <c r="S16" s="61"/>
    </row>
    <row r="17" spans="2:19" x14ac:dyDescent="0.35">
      <c r="B17" s="8"/>
      <c r="C17"/>
      <c r="D17"/>
      <c r="E17" s="253"/>
      <c r="F17"/>
      <c r="G17" s="146"/>
      <c r="H17" s="8"/>
      <c r="I17"/>
      <c r="J17"/>
      <c r="K17" s="253"/>
      <c r="M17" s="146"/>
      <c r="O17"/>
      <c r="P17"/>
      <c r="Q17"/>
      <c r="R17"/>
      <c r="S17"/>
    </row>
    <row r="18" spans="2:19" x14ac:dyDescent="0.35">
      <c r="B18" s="8"/>
      <c r="C18" s="73" t="s">
        <v>177</v>
      </c>
      <c r="D18"/>
      <c r="E18" s="253"/>
      <c r="F18"/>
      <c r="G18" s="146"/>
      <c r="H18" s="8"/>
      <c r="I18" s="73" t="s">
        <v>177</v>
      </c>
      <c r="J18"/>
      <c r="K18" s="253"/>
      <c r="M18" s="146"/>
      <c r="O18"/>
      <c r="P18"/>
      <c r="Q18"/>
      <c r="R18"/>
      <c r="S18"/>
    </row>
    <row r="19" spans="2:19" x14ac:dyDescent="0.35">
      <c r="B19" s="8"/>
      <c r="C19" s="45" t="s">
        <v>53</v>
      </c>
      <c r="D19" s="51">
        <v>5000</v>
      </c>
      <c r="E19" s="253" t="s">
        <v>148</v>
      </c>
      <c r="F19" s="147">
        <f>'ExBA - Beg. Rates'!F56</f>
        <v>67.62</v>
      </c>
      <c r="G19" s="146" t="s">
        <v>186</v>
      </c>
      <c r="H19" s="8"/>
      <c r="I19" s="45" t="s">
        <v>53</v>
      </c>
      <c r="J19" s="51">
        <v>5000</v>
      </c>
      <c r="K19" s="253" t="s">
        <v>148</v>
      </c>
      <c r="L19" s="147">
        <f>R19</f>
        <v>95.240000000000009</v>
      </c>
      <c r="M19" s="146" t="s">
        <v>186</v>
      </c>
      <c r="O19" s="147">
        <f t="shared" si="0"/>
        <v>67.62</v>
      </c>
      <c r="P19" s="147">
        <f>ROUND(O$8*O19,2)</f>
        <v>27.59</v>
      </c>
      <c r="Q19" s="61">
        <f>Q12</f>
        <v>0.03</v>
      </c>
      <c r="R19" s="147">
        <f>SUM(O19:Q19)</f>
        <v>95.240000000000009</v>
      </c>
      <c r="S19" s="147"/>
    </row>
    <row r="20" spans="2:19" x14ac:dyDescent="0.35">
      <c r="B20" s="8"/>
      <c r="C20" s="45" t="s">
        <v>54</v>
      </c>
      <c r="D20" s="51">
        <v>5000</v>
      </c>
      <c r="E20" s="253" t="s">
        <v>148</v>
      </c>
      <c r="F20" s="61">
        <f>'ExBA - Beg. Rates'!F57</f>
        <v>1.0999999999999999E-2</v>
      </c>
      <c r="G20" s="146" t="s">
        <v>187</v>
      </c>
      <c r="H20" s="8"/>
      <c r="I20" s="45" t="s">
        <v>54</v>
      </c>
      <c r="J20" s="51">
        <v>5000</v>
      </c>
      <c r="K20" s="253" t="s">
        <v>148</v>
      </c>
      <c r="L20" s="61">
        <f t="shared" ref="L20:L22" si="4">R20</f>
        <v>1.545E-2</v>
      </c>
      <c r="M20" s="146" t="s">
        <v>187</v>
      </c>
      <c r="O20" s="61">
        <f t="shared" si="0"/>
        <v>1.0999999999999999E-2</v>
      </c>
      <c r="P20" s="61">
        <f>P14</f>
        <v>4.4900000000000001E-3</v>
      </c>
      <c r="Q20" s="61">
        <f>Q13</f>
        <v>-4.0000000000000003E-5</v>
      </c>
      <c r="R20" s="61">
        <f t="shared" ref="R20:R22" si="5">SUM(O20:Q20)</f>
        <v>1.545E-2</v>
      </c>
      <c r="S20" s="61"/>
    </row>
    <row r="21" spans="2:19" x14ac:dyDescent="0.35">
      <c r="B21" s="8"/>
      <c r="C21" s="45" t="s">
        <v>54</v>
      </c>
      <c r="D21" s="51">
        <v>5000</v>
      </c>
      <c r="E21" s="253" t="s">
        <v>148</v>
      </c>
      <c r="F21" s="61">
        <f>'ExBA - Beg. Rates'!F58</f>
        <v>1.0149999999999999E-2</v>
      </c>
      <c r="G21" s="146" t="s">
        <v>187</v>
      </c>
      <c r="H21" s="8"/>
      <c r="I21" s="45" t="s">
        <v>54</v>
      </c>
      <c r="J21" s="51">
        <v>5000</v>
      </c>
      <c r="K21" s="253" t="s">
        <v>148</v>
      </c>
      <c r="L21" s="61">
        <f t="shared" si="4"/>
        <v>1.4249999999999999E-2</v>
      </c>
      <c r="M21" s="146" t="s">
        <v>187</v>
      </c>
      <c r="O21" s="61">
        <f t="shared" si="0"/>
        <v>1.0149999999999999E-2</v>
      </c>
      <c r="P21" s="61">
        <f t="shared" ref="P21:P22" si="6">P15</f>
        <v>4.1399999999999996E-3</v>
      </c>
      <c r="Q21" s="61">
        <f>Q20</f>
        <v>-4.0000000000000003E-5</v>
      </c>
      <c r="R21" s="61">
        <f t="shared" si="5"/>
        <v>1.4249999999999999E-2</v>
      </c>
      <c r="S21" s="61"/>
    </row>
    <row r="22" spans="2:19" x14ac:dyDescent="0.35">
      <c r="B22" s="8"/>
      <c r="C22" s="45" t="s">
        <v>98</v>
      </c>
      <c r="D22" s="51">
        <v>15000</v>
      </c>
      <c r="E22" s="253" t="s">
        <v>148</v>
      </c>
      <c r="F22" s="61">
        <f>'ExBA - Beg. Rates'!F59</f>
        <v>9.2899999999999996E-3</v>
      </c>
      <c r="G22" s="146" t="s">
        <v>187</v>
      </c>
      <c r="H22" s="8"/>
      <c r="I22" s="45" t="s">
        <v>98</v>
      </c>
      <c r="J22" s="51">
        <v>15000</v>
      </c>
      <c r="K22" s="253" t="s">
        <v>148</v>
      </c>
      <c r="L22" s="61">
        <f t="shared" si="4"/>
        <v>1.304E-2</v>
      </c>
      <c r="M22" s="146" t="s">
        <v>187</v>
      </c>
      <c r="O22" s="61">
        <f t="shared" si="0"/>
        <v>9.2899999999999996E-3</v>
      </c>
      <c r="P22" s="61">
        <f t="shared" si="6"/>
        <v>3.79E-3</v>
      </c>
      <c r="Q22" s="61">
        <f>Q21</f>
        <v>-4.0000000000000003E-5</v>
      </c>
      <c r="R22" s="61">
        <f t="shared" si="5"/>
        <v>1.304E-2</v>
      </c>
      <c r="S22" s="61"/>
    </row>
    <row r="23" spans="2:19" x14ac:dyDescent="0.35">
      <c r="B23" s="8"/>
      <c r="C23" s="45"/>
      <c r="D23" s="51"/>
      <c r="E23" s="253"/>
      <c r="F23" s="249"/>
      <c r="G23" s="146"/>
      <c r="H23" s="8"/>
      <c r="I23" s="45"/>
      <c r="J23" s="51"/>
      <c r="K23" s="253"/>
      <c r="M23" s="146"/>
      <c r="O23" s="249"/>
      <c r="P23" s="249"/>
      <c r="Q23" s="249"/>
      <c r="R23" s="249"/>
      <c r="S23" s="249"/>
    </row>
    <row r="24" spans="2:19" x14ac:dyDescent="0.35">
      <c r="B24" s="8"/>
      <c r="C24" s="73" t="s">
        <v>178</v>
      </c>
      <c r="D24"/>
      <c r="E24" s="253"/>
      <c r="F24"/>
      <c r="G24" s="146"/>
      <c r="H24" s="8"/>
      <c r="I24" s="73" t="s">
        <v>178</v>
      </c>
      <c r="J24"/>
      <c r="K24" s="253"/>
      <c r="M24" s="146"/>
      <c r="O24"/>
      <c r="P24"/>
      <c r="Q24"/>
      <c r="R24"/>
      <c r="S24"/>
    </row>
    <row r="25" spans="2:19" x14ac:dyDescent="0.35">
      <c r="B25" s="8"/>
      <c r="C25" s="45" t="s">
        <v>53</v>
      </c>
      <c r="D25" s="51">
        <v>15000</v>
      </c>
      <c r="E25" s="253" t="s">
        <v>148</v>
      </c>
      <c r="F25" s="147">
        <f>'Cur Rates'!F20</f>
        <v>171.93</v>
      </c>
      <c r="G25" s="146" t="s">
        <v>186</v>
      </c>
      <c r="H25" s="8"/>
      <c r="I25" s="45" t="s">
        <v>53</v>
      </c>
      <c r="J25" s="51">
        <v>15000</v>
      </c>
      <c r="K25" s="253" t="s">
        <v>148</v>
      </c>
      <c r="L25" s="147">
        <f>R25</f>
        <v>242.11</v>
      </c>
      <c r="M25" s="146" t="s">
        <v>186</v>
      </c>
      <c r="O25" s="147">
        <f t="shared" si="0"/>
        <v>171.93</v>
      </c>
      <c r="P25" s="147">
        <f>ROUND(O$8*O25,2)</f>
        <v>70.150000000000006</v>
      </c>
      <c r="Q25" s="61">
        <f>Q12</f>
        <v>0.03</v>
      </c>
      <c r="R25" s="147">
        <f>SUM(O25:Q25)</f>
        <v>242.11</v>
      </c>
      <c r="S25" s="147"/>
    </row>
    <row r="26" spans="2:19" x14ac:dyDescent="0.35">
      <c r="B26" s="8"/>
      <c r="C26" s="45" t="s">
        <v>98</v>
      </c>
      <c r="D26" s="51">
        <v>15000</v>
      </c>
      <c r="E26" s="253" t="s">
        <v>148</v>
      </c>
      <c r="F26" s="61">
        <f>'Cur Rates'!F21</f>
        <v>9.2899999999999996E-3</v>
      </c>
      <c r="G26" s="146" t="s">
        <v>187</v>
      </c>
      <c r="H26" s="8"/>
      <c r="I26" s="45" t="s">
        <v>98</v>
      </c>
      <c r="J26" s="51">
        <v>15000</v>
      </c>
      <c r="K26" s="253" t="s">
        <v>148</v>
      </c>
      <c r="L26" s="61">
        <f>R26</f>
        <v>1.304E-2</v>
      </c>
      <c r="M26" s="146" t="s">
        <v>187</v>
      </c>
      <c r="O26" s="61">
        <f t="shared" si="0"/>
        <v>9.2899999999999996E-3</v>
      </c>
      <c r="P26" s="61">
        <f>P22</f>
        <v>3.79E-3</v>
      </c>
      <c r="Q26" s="61">
        <f>Q22</f>
        <v>-4.0000000000000003E-5</v>
      </c>
      <c r="R26" s="61">
        <f>SUM(O26:Q26)</f>
        <v>1.304E-2</v>
      </c>
      <c r="S26" s="61"/>
    </row>
    <row r="27" spans="2:19" x14ac:dyDescent="0.35">
      <c r="B27" s="8"/>
      <c r="C27"/>
      <c r="D27"/>
      <c r="E27" s="253"/>
      <c r="F27" s="61"/>
      <c r="G27" s="146"/>
      <c r="H27" s="8"/>
      <c r="I27"/>
      <c r="J27"/>
      <c r="K27" s="253"/>
      <c r="M27" s="146"/>
      <c r="O27" s="61"/>
      <c r="P27" s="61"/>
      <c r="Q27" s="61"/>
      <c r="R27" s="61"/>
      <c r="S27" s="61"/>
    </row>
    <row r="28" spans="2:19" x14ac:dyDescent="0.35">
      <c r="B28" s="8"/>
      <c r="C28" s="73" t="s">
        <v>179</v>
      </c>
      <c r="D28"/>
      <c r="E28" s="253"/>
      <c r="F28" s="61"/>
      <c r="G28" s="146"/>
      <c r="H28" s="8"/>
      <c r="I28" s="73" t="s">
        <v>179</v>
      </c>
      <c r="J28"/>
      <c r="K28" s="253"/>
      <c r="M28" s="146"/>
      <c r="O28" s="61"/>
      <c r="P28" s="61"/>
      <c r="Q28" s="61"/>
      <c r="R28" s="61"/>
      <c r="S28" s="61"/>
    </row>
    <row r="29" spans="2:19" x14ac:dyDescent="0.35">
      <c r="B29" s="8"/>
      <c r="C29" s="45" t="s">
        <v>53</v>
      </c>
      <c r="D29" s="51">
        <v>100000</v>
      </c>
      <c r="E29" s="253" t="s">
        <v>148</v>
      </c>
      <c r="F29" s="147">
        <f>'Cur Rates'!F24</f>
        <v>963.03</v>
      </c>
      <c r="G29" s="146" t="s">
        <v>186</v>
      </c>
      <c r="H29" s="8"/>
      <c r="I29" s="45" t="s">
        <v>53</v>
      </c>
      <c r="J29" s="51">
        <v>100000</v>
      </c>
      <c r="K29" s="253" t="s">
        <v>148</v>
      </c>
      <c r="L29" s="147">
        <f>R29</f>
        <v>1355.98</v>
      </c>
      <c r="M29" s="146" t="s">
        <v>186</v>
      </c>
      <c r="O29" s="147">
        <f t="shared" si="0"/>
        <v>963.03</v>
      </c>
      <c r="P29" s="147">
        <f>ROUND(O$8*O29,2)</f>
        <v>392.92</v>
      </c>
      <c r="Q29" s="61">
        <f>Q12</f>
        <v>0.03</v>
      </c>
      <c r="R29" s="147">
        <f>SUM(O29:Q29)</f>
        <v>1355.98</v>
      </c>
      <c r="S29" s="147"/>
    </row>
    <row r="30" spans="2:19" x14ac:dyDescent="0.35">
      <c r="B30" s="8"/>
      <c r="C30" s="45" t="s">
        <v>98</v>
      </c>
      <c r="D30" s="51">
        <v>100000</v>
      </c>
      <c r="E30" s="253" t="s">
        <v>148</v>
      </c>
      <c r="F30" s="61">
        <f>'Cur Rates'!F25</f>
        <v>9.2899999999999996E-3</v>
      </c>
      <c r="G30" s="146" t="s">
        <v>187</v>
      </c>
      <c r="H30" s="8"/>
      <c r="I30" s="45" t="s">
        <v>98</v>
      </c>
      <c r="J30" s="51">
        <v>100000</v>
      </c>
      <c r="K30" s="253" t="s">
        <v>148</v>
      </c>
      <c r="L30" s="61">
        <f>R30</f>
        <v>1.304E-2</v>
      </c>
      <c r="M30" s="146" t="s">
        <v>187</v>
      </c>
      <c r="O30" s="61">
        <f t="shared" si="0"/>
        <v>9.2899999999999996E-3</v>
      </c>
      <c r="P30" s="61">
        <f>P22</f>
        <v>3.79E-3</v>
      </c>
      <c r="Q30" s="61">
        <f>Q26</f>
        <v>-4.0000000000000003E-5</v>
      </c>
      <c r="R30" s="61">
        <f>SUM(O30:Q30)</f>
        <v>1.304E-2</v>
      </c>
      <c r="S30" s="61"/>
    </row>
    <row r="31" spans="2:19" x14ac:dyDescent="0.35">
      <c r="B31" s="8"/>
      <c r="C31"/>
      <c r="D31"/>
      <c r="E31"/>
      <c r="F31" s="61"/>
      <c r="G31" s="146"/>
      <c r="H31" s="8"/>
      <c r="I31"/>
      <c r="J31"/>
      <c r="K31"/>
      <c r="M31" s="146"/>
      <c r="O31" s="61"/>
      <c r="P31" s="61"/>
      <c r="Q31" s="61"/>
      <c r="R31" s="61"/>
      <c r="S31" s="61"/>
    </row>
    <row r="32" spans="2:19" x14ac:dyDescent="0.35">
      <c r="B32" s="8"/>
      <c r="C32" s="73" t="s">
        <v>188</v>
      </c>
      <c r="D32"/>
      <c r="E32"/>
      <c r="F32" s="61"/>
      <c r="G32" s="146"/>
      <c r="H32" s="8"/>
      <c r="I32" s="73" t="s">
        <v>188</v>
      </c>
      <c r="J32"/>
      <c r="K32"/>
      <c r="M32" s="146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54">
        <f>'Cur Rates'!F28</f>
        <v>4.5199999999999997E-3</v>
      </c>
      <c r="G33" s="252" t="s">
        <v>187</v>
      </c>
      <c r="H33" s="10"/>
      <c r="I33" s="81"/>
      <c r="J33" s="81"/>
      <c r="K33" s="81"/>
      <c r="L33" s="254">
        <f>R33</f>
        <v>6.3599999999999993E-3</v>
      </c>
      <c r="M33" s="252" t="s">
        <v>187</v>
      </c>
      <c r="O33" s="254">
        <f t="shared" si="0"/>
        <v>4.5199999999999997E-3</v>
      </c>
      <c r="P33" s="254">
        <f t="shared" ref="P33" si="7">ROUND(O$8*O33,5)</f>
        <v>1.8400000000000001E-3</v>
      </c>
      <c r="Q33" s="61">
        <v>0</v>
      </c>
      <c r="R33" s="61">
        <f>SUM(O33:Q33)</f>
        <v>6.3599999999999993E-3</v>
      </c>
      <c r="S33" s="254"/>
    </row>
  </sheetData>
  <mergeCells count="5">
    <mergeCell ref="C8:G8"/>
    <mergeCell ref="I8:M8"/>
    <mergeCell ref="C3:M3"/>
    <mergeCell ref="C4:M4"/>
    <mergeCell ref="C5:M5"/>
  </mergeCells>
  <printOptions horizontalCentered="1"/>
  <pageMargins left="0.8" right="0.55000000000000004" top="1.2" bottom="0.5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98"/>
  <sheetViews>
    <sheetView showGridLines="0" workbookViewId="0">
      <selection sqref="A1:K57"/>
    </sheetView>
  </sheetViews>
  <sheetFormatPr defaultColWidth="14.765625" defaultRowHeight="15.5" x14ac:dyDescent="0.35"/>
  <cols>
    <col min="2" max="3" width="10.765625" customWidth="1"/>
    <col min="8" max="9" width="14.765625" style="55"/>
  </cols>
  <sheetData>
    <row r="1" spans="1:14" ht="18.5" x14ac:dyDescent="0.45">
      <c r="A1" s="389" t="s">
        <v>425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150"/>
      <c r="M1" s="150"/>
      <c r="N1" s="150"/>
    </row>
    <row r="2" spans="1:14" ht="18.5" x14ac:dyDescent="0.35">
      <c r="A2" s="392" t="str">
        <f>'SAO - DSC'!C4</f>
        <v>Morgan County Water District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149"/>
      <c r="M2" s="149"/>
      <c r="N2" s="149"/>
    </row>
    <row r="3" spans="1:14" x14ac:dyDescent="0.35">
      <c r="A3" s="407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1"/>
      <c r="M3" s="1"/>
      <c r="N3" s="1"/>
    </row>
    <row r="4" spans="1:14" ht="18.5" x14ac:dyDescent="0.45">
      <c r="A4" s="399" t="s">
        <v>95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150"/>
      <c r="M4" s="150"/>
      <c r="N4" s="150"/>
    </row>
    <row r="6" spans="1:14" x14ac:dyDescent="0.35">
      <c r="B6" s="73"/>
      <c r="C6" s="400" t="s">
        <v>174</v>
      </c>
      <c r="D6" s="400"/>
      <c r="F6" s="47" t="s">
        <v>175</v>
      </c>
      <c r="G6" s="47" t="s">
        <v>36</v>
      </c>
      <c r="H6" s="49" t="s">
        <v>34</v>
      </c>
    </row>
    <row r="7" spans="1:14" x14ac:dyDescent="0.35">
      <c r="B7" s="73"/>
      <c r="C7" s="396" t="s">
        <v>176</v>
      </c>
      <c r="D7" s="396"/>
      <c r="F7" s="51">
        <f>D32</f>
        <v>35191</v>
      </c>
      <c r="G7" s="51">
        <f>E37</f>
        <v>106282790</v>
      </c>
      <c r="H7" s="151">
        <f>H37</f>
        <v>2403249.8299999996</v>
      </c>
    </row>
    <row r="8" spans="1:14" x14ac:dyDescent="0.35">
      <c r="B8" s="73"/>
      <c r="C8" s="397" t="s">
        <v>177</v>
      </c>
      <c r="D8" s="397"/>
      <c r="F8" s="51">
        <f>D52</f>
        <v>200</v>
      </c>
      <c r="G8" s="51">
        <f>E56</f>
        <v>1076140</v>
      </c>
      <c r="H8" s="153">
        <f>H56</f>
        <v>27794.16</v>
      </c>
    </row>
    <row r="9" spans="1:14" x14ac:dyDescent="0.35">
      <c r="B9" s="73"/>
      <c r="C9" s="152" t="s">
        <v>178</v>
      </c>
      <c r="D9" s="152"/>
      <c r="F9" s="51">
        <f>D68</f>
        <v>96</v>
      </c>
      <c r="G9" s="51">
        <f>E70</f>
        <v>12676300</v>
      </c>
      <c r="H9" s="153">
        <f>H70</f>
        <v>172557.99</v>
      </c>
    </row>
    <row r="10" spans="1:14" x14ac:dyDescent="0.35">
      <c r="B10" s="73"/>
      <c r="C10" s="152" t="s">
        <v>179</v>
      </c>
      <c r="D10" s="152"/>
      <c r="F10" s="51">
        <f>D82</f>
        <v>12</v>
      </c>
      <c r="G10" s="51">
        <f>E84</f>
        <v>1136710</v>
      </c>
      <c r="H10" s="153">
        <f>H84</f>
        <v>20892.22</v>
      </c>
    </row>
    <row r="11" spans="1:14" x14ac:dyDescent="0.35">
      <c r="B11" s="73"/>
      <c r="C11" s="152" t="s">
        <v>180</v>
      </c>
      <c r="D11" s="152"/>
      <c r="F11" s="48">
        <f>D96</f>
        <v>12</v>
      </c>
      <c r="G11" s="48">
        <f>E97</f>
        <v>6280000</v>
      </c>
      <c r="H11" s="154">
        <f>H97</f>
        <v>39940.800000000003</v>
      </c>
    </row>
    <row r="12" spans="1:14" x14ac:dyDescent="0.35">
      <c r="B12" s="73"/>
      <c r="C12" s="152" t="s">
        <v>181</v>
      </c>
      <c r="D12" s="152"/>
      <c r="F12" s="51">
        <f>SUM(F7:F11)</f>
        <v>35511</v>
      </c>
      <c r="G12" s="51">
        <f>SUM(G7:G11)</f>
        <v>127451940</v>
      </c>
      <c r="H12" s="153">
        <f>SUM(H7:H11)</f>
        <v>2664434.9999999995</v>
      </c>
    </row>
    <row r="13" spans="1:14" x14ac:dyDescent="0.35">
      <c r="B13" s="73"/>
      <c r="C13" s="152" t="s">
        <v>182</v>
      </c>
      <c r="D13" s="152"/>
      <c r="F13" s="45"/>
      <c r="G13" s="45"/>
      <c r="H13" s="154">
        <f>'ExBA - Beg. Rates'!H13</f>
        <v>-12088</v>
      </c>
    </row>
    <row r="14" spans="1:14" x14ac:dyDescent="0.35">
      <c r="B14" s="73"/>
      <c r="C14" s="152" t="s">
        <v>183</v>
      </c>
      <c r="D14" s="152"/>
      <c r="F14" s="45"/>
      <c r="G14" s="45"/>
      <c r="H14" s="153">
        <f>SUM(H12:H13)</f>
        <v>2652346.9999999995</v>
      </c>
      <c r="M14" s="153"/>
    </row>
    <row r="15" spans="1:14" x14ac:dyDescent="0.35">
      <c r="B15" s="73"/>
      <c r="C15" s="256" t="s">
        <v>339</v>
      </c>
      <c r="D15" s="152"/>
      <c r="F15" s="45"/>
      <c r="G15" s="45"/>
      <c r="H15" s="154">
        <f>-'ExBA - Beg. Rates'!H14</f>
        <v>-1881341.07</v>
      </c>
      <c r="M15" s="153"/>
    </row>
    <row r="16" spans="1:14" ht="16" thickBot="1" x14ac:dyDescent="0.4">
      <c r="B16" s="73"/>
      <c r="C16" s="155" t="s">
        <v>184</v>
      </c>
      <c r="D16" s="155"/>
      <c r="H16" s="156">
        <f>SUM(H14:H15)</f>
        <v>771005.92999999947</v>
      </c>
      <c r="L16" s="27" t="s">
        <v>390</v>
      </c>
      <c r="M16" s="153">
        <f>-'SAO - DSC'!L50</f>
        <v>-767513.1399999999</v>
      </c>
    </row>
    <row r="17" spans="1:18" ht="16" thickTop="1" x14ac:dyDescent="0.35">
      <c r="B17" s="73"/>
      <c r="L17" s="27" t="s">
        <v>391</v>
      </c>
      <c r="M17" s="73">
        <f>H16</f>
        <v>771005.92999999947</v>
      </c>
    </row>
    <row r="18" spans="1:18" x14ac:dyDescent="0.35">
      <c r="B18" s="73"/>
      <c r="L18" s="27" t="s">
        <v>114</v>
      </c>
      <c r="M18" s="73">
        <f>SUM(M16:M17)</f>
        <v>3492.7899999995716</v>
      </c>
    </row>
    <row r="19" spans="1:18" x14ac:dyDescent="0.35">
      <c r="A19" t="s">
        <v>185</v>
      </c>
      <c r="B19" s="62" t="s">
        <v>322</v>
      </c>
      <c r="M19" s="255">
        <f>M18/H14</f>
        <v>1.3168676647510949E-3</v>
      </c>
    </row>
    <row r="20" spans="1:18" x14ac:dyDescent="0.35">
      <c r="B20" s="45"/>
      <c r="C20" s="45"/>
      <c r="D20" s="45"/>
      <c r="E20" s="45"/>
      <c r="F20" s="45" t="s">
        <v>53</v>
      </c>
      <c r="G20" s="45" t="s">
        <v>54</v>
      </c>
      <c r="H20" s="46" t="s">
        <v>54</v>
      </c>
      <c r="I20" s="46" t="s">
        <v>54</v>
      </c>
      <c r="J20" s="45" t="s">
        <v>98</v>
      </c>
      <c r="K20" s="45" t="s">
        <v>59</v>
      </c>
      <c r="L20" s="45"/>
      <c r="M20" s="45"/>
      <c r="N20" s="45"/>
    </row>
    <row r="21" spans="1:18" x14ac:dyDescent="0.35">
      <c r="B21" s="45"/>
      <c r="C21" s="47" t="s">
        <v>146</v>
      </c>
      <c r="D21" s="47" t="s">
        <v>147</v>
      </c>
      <c r="E21" s="47" t="s">
        <v>148</v>
      </c>
      <c r="F21" s="157">
        <f>C22</f>
        <v>2000</v>
      </c>
      <c r="G21" s="48">
        <f>C23</f>
        <v>3000</v>
      </c>
      <c r="H21" s="49">
        <f>C25</f>
        <v>5000</v>
      </c>
      <c r="I21" s="49">
        <f>C25</f>
        <v>5000</v>
      </c>
      <c r="J21" s="50">
        <f>SUM(F21:H21)</f>
        <v>10000</v>
      </c>
      <c r="K21" s="47"/>
      <c r="L21" s="45"/>
      <c r="M21" s="45"/>
      <c r="N21" s="45"/>
    </row>
    <row r="22" spans="1:18" x14ac:dyDescent="0.35">
      <c r="B22" s="45" t="s">
        <v>53</v>
      </c>
      <c r="C22" s="46">
        <v>2000</v>
      </c>
      <c r="D22" s="51">
        <v>14898</v>
      </c>
      <c r="E22" s="51">
        <v>14083390</v>
      </c>
      <c r="F22" s="51">
        <f>E22</f>
        <v>14083390</v>
      </c>
      <c r="G22" s="51">
        <v>0</v>
      </c>
      <c r="H22" s="52">
        <v>0</v>
      </c>
      <c r="I22" s="52"/>
      <c r="J22" s="51">
        <v>0</v>
      </c>
      <c r="K22" s="51">
        <f>SUM(F22:J22)</f>
        <v>14083390</v>
      </c>
      <c r="L22" s="51"/>
      <c r="M22" s="51"/>
      <c r="N22" s="51"/>
    </row>
    <row r="23" spans="1:18" x14ac:dyDescent="0.35">
      <c r="B23" s="45" t="s">
        <v>54</v>
      </c>
      <c r="C23" s="46">
        <v>3000</v>
      </c>
      <c r="D23" s="51">
        <v>15472</v>
      </c>
      <c r="E23" s="51">
        <v>49891280</v>
      </c>
      <c r="F23" s="51">
        <f>$D23*F$21</f>
        <v>30944000</v>
      </c>
      <c r="G23" s="51">
        <f>E23-F23</f>
        <v>18947280</v>
      </c>
      <c r="H23" s="52">
        <v>0</v>
      </c>
      <c r="I23" s="52"/>
      <c r="J23" s="51">
        <v>0</v>
      </c>
      <c r="K23" s="51">
        <f t="shared" ref="K23:K26" si="0">SUM(F23:J23)</f>
        <v>49891280</v>
      </c>
      <c r="L23" s="51"/>
      <c r="M23" s="51"/>
      <c r="N23" s="51"/>
      <c r="O23" s="51">
        <f>SUM(G23:K23)</f>
        <v>68838560</v>
      </c>
      <c r="P23" s="51">
        <f>SUM(H23:O23)</f>
        <v>118729840</v>
      </c>
    </row>
    <row r="24" spans="1:18" x14ac:dyDescent="0.35">
      <c r="B24" s="45" t="s">
        <v>54</v>
      </c>
      <c r="C24" s="46">
        <v>5000</v>
      </c>
      <c r="D24" s="51">
        <v>3998</v>
      </c>
      <c r="E24" s="51">
        <v>26273360</v>
      </c>
      <c r="F24" s="51">
        <f>$D24*F$21</f>
        <v>7996000</v>
      </c>
      <c r="G24" s="51">
        <f>$D24*G$21</f>
        <v>11994000</v>
      </c>
      <c r="H24" s="52">
        <f>E24-F24-G24</f>
        <v>6283360</v>
      </c>
      <c r="I24" s="52"/>
      <c r="J24" s="51"/>
      <c r="K24" s="51">
        <f t="shared" si="0"/>
        <v>26273360</v>
      </c>
      <c r="L24" s="51"/>
      <c r="M24" s="51"/>
      <c r="N24" s="51"/>
    </row>
    <row r="25" spans="1:18" x14ac:dyDescent="0.35">
      <c r="B25" s="45" t="s">
        <v>54</v>
      </c>
      <c r="C25" s="46">
        <v>5000</v>
      </c>
      <c r="D25" s="51">
        <v>504</v>
      </c>
      <c r="E25" s="51">
        <v>5985670</v>
      </c>
      <c r="F25" s="51">
        <f t="shared" ref="F25:I26" si="1">$D25*F$21</f>
        <v>1008000</v>
      </c>
      <c r="G25" s="51">
        <f t="shared" si="1"/>
        <v>1512000</v>
      </c>
      <c r="H25" s="51">
        <f t="shared" si="1"/>
        <v>2520000</v>
      </c>
      <c r="I25" s="51">
        <f>E25-F25-G25-H25</f>
        <v>945670</v>
      </c>
      <c r="J25" s="51">
        <v>0</v>
      </c>
      <c r="K25" s="51">
        <f t="shared" si="0"/>
        <v>5985670</v>
      </c>
      <c r="L25" s="51"/>
      <c r="M25" s="51"/>
      <c r="N25" s="51"/>
    </row>
    <row r="26" spans="1:18" x14ac:dyDescent="0.35">
      <c r="B26" s="45" t="s">
        <v>98</v>
      </c>
      <c r="C26" s="46">
        <f>SUM(C22:C25)</f>
        <v>15000</v>
      </c>
      <c r="D26" s="51">
        <v>319</v>
      </c>
      <c r="E26" s="51">
        <v>10049090</v>
      </c>
      <c r="F26" s="51">
        <f t="shared" si="1"/>
        <v>638000</v>
      </c>
      <c r="G26" s="51">
        <f t="shared" si="1"/>
        <v>957000</v>
      </c>
      <c r="H26" s="51">
        <f t="shared" si="1"/>
        <v>1595000</v>
      </c>
      <c r="I26" s="51">
        <f t="shared" si="1"/>
        <v>1595000</v>
      </c>
      <c r="J26" s="51">
        <f>E26-F26-G26-H26-I26</f>
        <v>5264090</v>
      </c>
      <c r="K26" s="51">
        <f t="shared" si="0"/>
        <v>10049090</v>
      </c>
      <c r="L26" s="51"/>
      <c r="M26" s="51"/>
      <c r="N26" s="51"/>
    </row>
    <row r="27" spans="1:18" ht="16" thickBot="1" x14ac:dyDescent="0.4">
      <c r="B27" s="45"/>
      <c r="C27" t="s">
        <v>0</v>
      </c>
      <c r="D27" s="53">
        <f t="shared" ref="D27:K27" si="2">SUM(D22:D26)</f>
        <v>35191</v>
      </c>
      <c r="E27" s="53">
        <f t="shared" si="2"/>
        <v>106282790</v>
      </c>
      <c r="F27" s="53">
        <f t="shared" si="2"/>
        <v>54669390</v>
      </c>
      <c r="G27" s="53">
        <f t="shared" si="2"/>
        <v>33410280</v>
      </c>
      <c r="H27" s="54">
        <f t="shared" si="2"/>
        <v>10398360</v>
      </c>
      <c r="I27" s="54">
        <f t="shared" si="2"/>
        <v>2540670</v>
      </c>
      <c r="J27" s="53">
        <f t="shared" si="2"/>
        <v>5264090</v>
      </c>
      <c r="K27" s="53">
        <f t="shared" si="2"/>
        <v>106282790</v>
      </c>
      <c r="L27" s="57"/>
      <c r="M27" s="57"/>
      <c r="N27" s="57"/>
    </row>
    <row r="28" spans="1:18" ht="16" thickTop="1" x14ac:dyDescent="0.35"/>
    <row r="30" spans="1:18" x14ac:dyDescent="0.35">
      <c r="B30" s="395" t="s">
        <v>149</v>
      </c>
      <c r="C30" s="395"/>
      <c r="D30" s="395"/>
      <c r="E30" s="395"/>
      <c r="F30" s="395"/>
      <c r="G30" s="395"/>
      <c r="H30" s="395"/>
    </row>
    <row r="31" spans="1:18" x14ac:dyDescent="0.35">
      <c r="C31" s="56"/>
      <c r="D31" s="158" t="s">
        <v>147</v>
      </c>
      <c r="E31" s="158" t="s">
        <v>148</v>
      </c>
      <c r="F31" s="395" t="s">
        <v>150</v>
      </c>
      <c r="G31" s="395"/>
      <c r="H31" s="158" t="s">
        <v>34</v>
      </c>
      <c r="N31" t="s">
        <v>322</v>
      </c>
    </row>
    <row r="32" spans="1:18" x14ac:dyDescent="0.35">
      <c r="B32" s="45" t="s">
        <v>53</v>
      </c>
      <c r="C32" s="51">
        <f>C22</f>
        <v>2000</v>
      </c>
      <c r="D32" s="57">
        <f>D27</f>
        <v>35191</v>
      </c>
      <c r="E32" s="57">
        <f>F27</f>
        <v>54669390</v>
      </c>
      <c r="F32" s="58">
        <f>'Rates Comp'!L12</f>
        <v>44.93</v>
      </c>
      <c r="G32" t="s">
        <v>186</v>
      </c>
      <c r="H32" s="58">
        <f>F32*D32</f>
        <v>1581131.63</v>
      </c>
      <c r="N32" t="s">
        <v>53</v>
      </c>
      <c r="O32">
        <v>2000</v>
      </c>
      <c r="P32" t="s">
        <v>148</v>
      </c>
      <c r="Q32">
        <v>45.28</v>
      </c>
      <c r="R32" t="s">
        <v>186</v>
      </c>
    </row>
    <row r="33" spans="1:18" x14ac:dyDescent="0.35">
      <c r="B33" s="45" t="s">
        <v>54</v>
      </c>
      <c r="C33" s="51">
        <f>C23</f>
        <v>3000</v>
      </c>
      <c r="E33" s="57">
        <f>G27</f>
        <v>33410280</v>
      </c>
      <c r="F33" s="159">
        <f>'Rates Comp'!L13</f>
        <v>1.6660000000000001E-2</v>
      </c>
      <c r="G33" t="s">
        <v>187</v>
      </c>
      <c r="H33" s="160">
        <f>ROUND(E33*F33,2)</f>
        <v>556615.26</v>
      </c>
      <c r="N33" t="s">
        <v>54</v>
      </c>
      <c r="O33">
        <v>3000</v>
      </c>
      <c r="P33" s="161" t="s">
        <v>148</v>
      </c>
      <c r="Q33">
        <v>1.6830000000000001E-2</v>
      </c>
      <c r="R33" t="s">
        <v>187</v>
      </c>
    </row>
    <row r="34" spans="1:18" x14ac:dyDescent="0.35">
      <c r="B34" s="45" t="s">
        <v>54</v>
      </c>
      <c r="C34" s="51">
        <f>C25</f>
        <v>5000</v>
      </c>
      <c r="E34" s="57">
        <f>H27</f>
        <v>10398360</v>
      </c>
      <c r="F34" s="159">
        <f>'Rates Comp'!L14</f>
        <v>1.545E-2</v>
      </c>
      <c r="G34" t="s">
        <v>187</v>
      </c>
      <c r="H34" s="160">
        <f>ROUND(E34*F34,2)</f>
        <v>160654.66</v>
      </c>
      <c r="N34" t="s">
        <v>54</v>
      </c>
      <c r="O34">
        <v>5000</v>
      </c>
      <c r="P34" s="161" t="s">
        <v>148</v>
      </c>
      <c r="Q34">
        <v>1.5609999999999999E-2</v>
      </c>
      <c r="R34" t="s">
        <v>187</v>
      </c>
    </row>
    <row r="35" spans="1:18" x14ac:dyDescent="0.35">
      <c r="B35" s="45" t="s">
        <v>54</v>
      </c>
      <c r="C35" s="51">
        <f>C26</f>
        <v>15000</v>
      </c>
      <c r="E35" s="57">
        <f>I27</f>
        <v>2540670</v>
      </c>
      <c r="F35" s="159">
        <f>'Rates Comp'!L15</f>
        <v>1.4249999999999999E-2</v>
      </c>
      <c r="G35" t="s">
        <v>187</v>
      </c>
      <c r="H35" s="160">
        <f>ROUND(E35*F35,2)</f>
        <v>36204.550000000003</v>
      </c>
      <c r="N35" t="s">
        <v>54</v>
      </c>
      <c r="O35">
        <v>15000</v>
      </c>
      <c r="P35" s="161" t="s">
        <v>148</v>
      </c>
      <c r="Q35">
        <v>1.4409999999999999E-2</v>
      </c>
      <c r="R35" t="s">
        <v>187</v>
      </c>
    </row>
    <row r="36" spans="1:18" x14ac:dyDescent="0.35">
      <c r="B36" s="45" t="s">
        <v>98</v>
      </c>
      <c r="C36" s="51">
        <f>C26</f>
        <v>15000</v>
      </c>
      <c r="D36" s="56"/>
      <c r="E36" s="59">
        <f>J26</f>
        <v>5264090</v>
      </c>
      <c r="F36" s="159">
        <f>'Rates Comp'!L16</f>
        <v>1.304E-2</v>
      </c>
      <c r="G36" t="s">
        <v>187</v>
      </c>
      <c r="H36" s="160">
        <f>ROUND(E36*F36,2)</f>
        <v>68643.73</v>
      </c>
      <c r="N36" t="s">
        <v>98</v>
      </c>
      <c r="O36">
        <v>15000</v>
      </c>
      <c r="P36" s="161" t="s">
        <v>148</v>
      </c>
      <c r="Q36">
        <v>1.319E-2</v>
      </c>
      <c r="R36" t="s">
        <v>187</v>
      </c>
    </row>
    <row r="37" spans="1:18" ht="16" thickBot="1" x14ac:dyDescent="0.4">
      <c r="C37" t="s">
        <v>37</v>
      </c>
      <c r="E37" s="53">
        <f>SUM(E32:E36)</f>
        <v>106282790</v>
      </c>
      <c r="H37" s="162">
        <f>SUM(H32:H36)</f>
        <v>2403249.8299999996</v>
      </c>
      <c r="K37" t="s">
        <v>151</v>
      </c>
    </row>
    <row r="38" spans="1:18" ht="16" thickTop="1" x14ac:dyDescent="0.35">
      <c r="N38" t="s">
        <v>177</v>
      </c>
    </row>
    <row r="39" spans="1:18" x14ac:dyDescent="0.35">
      <c r="N39" t="s">
        <v>53</v>
      </c>
      <c r="O39">
        <v>5000</v>
      </c>
      <c r="P39" t="s">
        <v>148</v>
      </c>
      <c r="Q39">
        <v>45.28</v>
      </c>
      <c r="R39" t="s">
        <v>186</v>
      </c>
    </row>
    <row r="40" spans="1:18" x14ac:dyDescent="0.35">
      <c r="A40" t="s">
        <v>185</v>
      </c>
      <c r="B40" s="73" t="s">
        <v>177</v>
      </c>
      <c r="I40"/>
      <c r="N40" t="s">
        <v>54</v>
      </c>
      <c r="O40">
        <v>5000</v>
      </c>
      <c r="P40" t="s">
        <v>148</v>
      </c>
      <c r="Q40">
        <v>1.5609999999999999E-2</v>
      </c>
      <c r="R40" t="s">
        <v>187</v>
      </c>
    </row>
    <row r="41" spans="1:18" x14ac:dyDescent="0.35">
      <c r="B41" s="45"/>
      <c r="C41" s="45"/>
      <c r="D41" s="45"/>
      <c r="E41" s="45"/>
      <c r="F41" s="45" t="s">
        <v>53</v>
      </c>
      <c r="G41" s="45" t="s">
        <v>54</v>
      </c>
      <c r="H41" s="46" t="s">
        <v>54</v>
      </c>
      <c r="I41" s="45" t="s">
        <v>98</v>
      </c>
      <c r="J41" s="45" t="s">
        <v>59</v>
      </c>
      <c r="N41" t="s">
        <v>54</v>
      </c>
      <c r="O41">
        <v>5000</v>
      </c>
      <c r="P41" t="s">
        <v>148</v>
      </c>
      <c r="Q41">
        <v>1.44E-2</v>
      </c>
      <c r="R41" t="s">
        <v>187</v>
      </c>
    </row>
    <row r="42" spans="1:18" x14ac:dyDescent="0.35">
      <c r="B42" s="45"/>
      <c r="C42" s="47" t="s">
        <v>146</v>
      </c>
      <c r="D42" s="47" t="s">
        <v>147</v>
      </c>
      <c r="E42" s="47" t="s">
        <v>148</v>
      </c>
      <c r="F42" s="48">
        <f>C43</f>
        <v>5000</v>
      </c>
      <c r="G42" s="48">
        <f>C44</f>
        <v>5000</v>
      </c>
      <c r="H42" s="49">
        <f>C44</f>
        <v>5000</v>
      </c>
      <c r="I42" s="50">
        <f>SUM(F42:H42)</f>
        <v>15000</v>
      </c>
      <c r="J42" s="47"/>
      <c r="N42" t="s">
        <v>98</v>
      </c>
      <c r="O42">
        <v>15000</v>
      </c>
      <c r="P42" t="s">
        <v>148</v>
      </c>
      <c r="Q42">
        <v>1.3180000000000001E-2</v>
      </c>
      <c r="R42" t="s">
        <v>187</v>
      </c>
    </row>
    <row r="43" spans="1:18" x14ac:dyDescent="0.35">
      <c r="B43" s="45" t="s">
        <v>53</v>
      </c>
      <c r="C43" s="46">
        <v>5000</v>
      </c>
      <c r="D43" s="51">
        <v>173</v>
      </c>
      <c r="E43" s="51">
        <v>291950</v>
      </c>
      <c r="F43" s="51">
        <f>E43</f>
        <v>291950</v>
      </c>
      <c r="G43" s="51">
        <v>0</v>
      </c>
      <c r="H43" s="52">
        <v>0</v>
      </c>
      <c r="I43" s="51">
        <v>0</v>
      </c>
      <c r="J43" s="51">
        <f>SUM(F43:I43)</f>
        <v>291950</v>
      </c>
    </row>
    <row r="44" spans="1:18" x14ac:dyDescent="0.35">
      <c r="B44" s="45" t="s">
        <v>54</v>
      </c>
      <c r="C44" s="46">
        <v>5000</v>
      </c>
      <c r="D44" s="51">
        <v>15</v>
      </c>
      <c r="E44" s="51">
        <v>103990</v>
      </c>
      <c r="F44" s="51">
        <f>$D44*F$42</f>
        <v>75000</v>
      </c>
      <c r="G44" s="51">
        <f>E44-F44</f>
        <v>28990</v>
      </c>
      <c r="H44" s="52">
        <v>0</v>
      </c>
      <c r="I44" s="51">
        <v>0</v>
      </c>
      <c r="J44" s="51">
        <f>SUM(F44:I44)</f>
        <v>103990</v>
      </c>
      <c r="K44" s="51"/>
      <c r="L44" s="51"/>
      <c r="M44" s="51"/>
      <c r="N44" s="51" t="s">
        <v>178</v>
      </c>
      <c r="O44" s="51"/>
    </row>
    <row r="45" spans="1:18" x14ac:dyDescent="0.35">
      <c r="B45" s="45" t="s">
        <v>54</v>
      </c>
      <c r="C45" s="46">
        <v>5000</v>
      </c>
      <c r="D45" s="51">
        <v>2</v>
      </c>
      <c r="E45" s="51">
        <v>24750</v>
      </c>
      <c r="F45" s="51">
        <f t="shared" ref="F45:F46" si="3">$D45*F$42</f>
        <v>10000</v>
      </c>
      <c r="G45" s="51">
        <f>$D45*G$42</f>
        <v>10000</v>
      </c>
      <c r="H45" s="52">
        <f>E45-F45-G45</f>
        <v>4750</v>
      </c>
      <c r="I45" s="51"/>
      <c r="J45" s="51">
        <f>SUM(F45:I45)</f>
        <v>24750</v>
      </c>
      <c r="N45" t="s">
        <v>53</v>
      </c>
      <c r="O45">
        <v>15000</v>
      </c>
      <c r="P45" t="s">
        <v>148</v>
      </c>
      <c r="Q45">
        <v>244.14</v>
      </c>
      <c r="R45" t="s">
        <v>186</v>
      </c>
    </row>
    <row r="46" spans="1:18" x14ac:dyDescent="0.35">
      <c r="B46" s="45" t="s">
        <v>98</v>
      </c>
      <c r="C46" s="46">
        <f>SUM(C43:C45)</f>
        <v>15000</v>
      </c>
      <c r="D46" s="51">
        <v>10</v>
      </c>
      <c r="E46" s="51">
        <v>655450</v>
      </c>
      <c r="F46" s="51">
        <f t="shared" si="3"/>
        <v>50000</v>
      </c>
      <c r="G46" s="51">
        <f>$D46*G$42</f>
        <v>50000</v>
      </c>
      <c r="H46" s="51">
        <f>$D46*H$42</f>
        <v>50000</v>
      </c>
      <c r="I46" s="51">
        <f>E46-F46-G46-H46</f>
        <v>505450</v>
      </c>
      <c r="J46" s="51">
        <f>SUM(F46:I46)</f>
        <v>655450</v>
      </c>
      <c r="N46" t="s">
        <v>98</v>
      </c>
      <c r="O46">
        <v>15000</v>
      </c>
      <c r="P46" t="s">
        <v>148</v>
      </c>
      <c r="Q46">
        <v>1.3180000000000001E-2</v>
      </c>
      <c r="R46" t="s">
        <v>187</v>
      </c>
    </row>
    <row r="47" spans="1:18" ht="16" thickBot="1" x14ac:dyDescent="0.4">
      <c r="B47" s="45"/>
      <c r="C47" t="s">
        <v>0</v>
      </c>
      <c r="D47" s="53">
        <f t="shared" ref="D47:J47" si="4">SUM(D43:D46)</f>
        <v>200</v>
      </c>
      <c r="E47" s="53">
        <f t="shared" si="4"/>
        <v>1076140</v>
      </c>
      <c r="F47" s="53">
        <f t="shared" si="4"/>
        <v>426950</v>
      </c>
      <c r="G47" s="53">
        <f t="shared" si="4"/>
        <v>88990</v>
      </c>
      <c r="H47" s="54">
        <f t="shared" si="4"/>
        <v>54750</v>
      </c>
      <c r="I47" s="53">
        <f t="shared" si="4"/>
        <v>505450</v>
      </c>
      <c r="J47" s="53">
        <f t="shared" si="4"/>
        <v>1076140</v>
      </c>
    </row>
    <row r="48" spans="1:18" ht="16" thickTop="1" x14ac:dyDescent="0.35">
      <c r="I48"/>
      <c r="N48" t="s">
        <v>179</v>
      </c>
    </row>
    <row r="49" spans="1:18" x14ac:dyDescent="0.35">
      <c r="I49"/>
      <c r="N49" t="s">
        <v>53</v>
      </c>
      <c r="O49">
        <v>100000</v>
      </c>
      <c r="P49" t="s">
        <v>148</v>
      </c>
      <c r="Q49">
        <v>1367.5</v>
      </c>
      <c r="R49" t="s">
        <v>186</v>
      </c>
    </row>
    <row r="50" spans="1:18" x14ac:dyDescent="0.35">
      <c r="B50" s="395" t="s">
        <v>149</v>
      </c>
      <c r="C50" s="395"/>
      <c r="D50" s="395"/>
      <c r="E50" s="395"/>
      <c r="F50" s="395"/>
      <c r="G50" s="395"/>
      <c r="H50" s="395"/>
      <c r="I50"/>
      <c r="N50" t="s">
        <v>98</v>
      </c>
      <c r="O50">
        <v>100000</v>
      </c>
      <c r="P50" t="s">
        <v>148</v>
      </c>
      <c r="Q50">
        <v>1.3180000000000001E-2</v>
      </c>
      <c r="R50" t="s">
        <v>187</v>
      </c>
    </row>
    <row r="51" spans="1:18" x14ac:dyDescent="0.35">
      <c r="C51" s="56"/>
      <c r="D51" s="158" t="s">
        <v>147</v>
      </c>
      <c r="E51" s="158" t="s">
        <v>148</v>
      </c>
      <c r="F51" s="395" t="s">
        <v>150</v>
      </c>
      <c r="G51" s="395"/>
      <c r="H51" s="158" t="s">
        <v>34</v>
      </c>
      <c r="I51"/>
    </row>
    <row r="52" spans="1:18" x14ac:dyDescent="0.35">
      <c r="B52" s="45" t="s">
        <v>53</v>
      </c>
      <c r="C52" s="51">
        <f>C43</f>
        <v>5000</v>
      </c>
      <c r="D52" s="57">
        <f>D47</f>
        <v>200</v>
      </c>
      <c r="E52" s="57">
        <f>F47</f>
        <v>426950</v>
      </c>
      <c r="F52" s="58">
        <f>'Rates Comp'!L19</f>
        <v>95.240000000000009</v>
      </c>
      <c r="G52" t="s">
        <v>186</v>
      </c>
      <c r="H52" s="58">
        <f>F52*D52</f>
        <v>19048</v>
      </c>
      <c r="I52"/>
      <c r="N52" t="s">
        <v>188</v>
      </c>
    </row>
    <row r="53" spans="1:18" x14ac:dyDescent="0.35">
      <c r="B53" s="45" t="s">
        <v>54</v>
      </c>
      <c r="C53" s="51">
        <f>C44</f>
        <v>5000</v>
      </c>
      <c r="E53" s="57">
        <f>G47</f>
        <v>88990</v>
      </c>
      <c r="F53" s="159">
        <f>'Rates Comp'!L20</f>
        <v>1.545E-2</v>
      </c>
      <c r="G53" t="s">
        <v>187</v>
      </c>
      <c r="H53" s="160">
        <f>ROUND(E53*F53,2)</f>
        <v>1374.9</v>
      </c>
      <c r="I53"/>
      <c r="P53" s="161"/>
      <c r="Q53">
        <v>6.4199999999999995E-3</v>
      </c>
      <c r="R53" t="s">
        <v>187</v>
      </c>
    </row>
    <row r="54" spans="1:18" x14ac:dyDescent="0.35">
      <c r="B54" s="45" t="s">
        <v>54</v>
      </c>
      <c r="C54" s="51">
        <f>C45</f>
        <v>5000</v>
      </c>
      <c r="E54" s="57">
        <f>H47</f>
        <v>54750</v>
      </c>
      <c r="F54" s="159">
        <f>'Rates Comp'!L21</f>
        <v>1.4249999999999999E-2</v>
      </c>
      <c r="G54" t="s">
        <v>187</v>
      </c>
      <c r="H54" s="160">
        <f>ROUND(E54*F54,2)</f>
        <v>780.19</v>
      </c>
      <c r="I54"/>
      <c r="P54" s="161">
        <v>10.15</v>
      </c>
    </row>
    <row r="55" spans="1:18" x14ac:dyDescent="0.35">
      <c r="B55" s="45" t="s">
        <v>98</v>
      </c>
      <c r="C55" s="51">
        <f>C46</f>
        <v>15000</v>
      </c>
      <c r="D55" s="56"/>
      <c r="E55" s="59">
        <f>I46</f>
        <v>505450</v>
      </c>
      <c r="F55" s="159">
        <f>'Rates Comp'!L22</f>
        <v>1.304E-2</v>
      </c>
      <c r="G55" t="s">
        <v>187</v>
      </c>
      <c r="H55" s="160">
        <f>ROUND(E55*F55,2)</f>
        <v>6591.07</v>
      </c>
      <c r="I55"/>
      <c r="P55" s="161">
        <v>9.2899999999999991</v>
      </c>
    </row>
    <row r="56" spans="1:18" ht="16" thickBot="1" x14ac:dyDescent="0.4">
      <c r="C56" t="s">
        <v>37</v>
      </c>
      <c r="E56" s="53">
        <f>SUM(E52:E55)</f>
        <v>1076140</v>
      </c>
      <c r="H56" s="162">
        <f>SUM(H52:H55)</f>
        <v>27794.16</v>
      </c>
      <c r="I56"/>
      <c r="J56" t="s">
        <v>151</v>
      </c>
    </row>
    <row r="57" spans="1:18" ht="16" thickTop="1" x14ac:dyDescent="0.35"/>
    <row r="58" spans="1:18" x14ac:dyDescent="0.35">
      <c r="A58" t="s">
        <v>185</v>
      </c>
      <c r="B58" s="73" t="s">
        <v>178</v>
      </c>
      <c r="H58"/>
      <c r="I58"/>
    </row>
    <row r="59" spans="1:18" x14ac:dyDescent="0.35">
      <c r="B59" s="45"/>
      <c r="C59" s="45"/>
      <c r="D59" s="45"/>
      <c r="E59" s="45"/>
      <c r="F59" s="45" t="s">
        <v>53</v>
      </c>
      <c r="G59" s="45" t="s">
        <v>98</v>
      </c>
      <c r="H59" s="45" t="s">
        <v>59</v>
      </c>
      <c r="I59"/>
    </row>
    <row r="60" spans="1:18" x14ac:dyDescent="0.35">
      <c r="B60" s="45"/>
      <c r="C60" s="47" t="s">
        <v>146</v>
      </c>
      <c r="D60" s="47" t="s">
        <v>147</v>
      </c>
      <c r="E60" s="47" t="s">
        <v>148</v>
      </c>
      <c r="F60" s="48">
        <f>C61</f>
        <v>15000</v>
      </c>
      <c r="G60" s="50">
        <f>SUM(F60:F60)</f>
        <v>15000</v>
      </c>
      <c r="H60" s="47"/>
      <c r="I60"/>
    </row>
    <row r="61" spans="1:18" x14ac:dyDescent="0.35">
      <c r="B61" s="45" t="s">
        <v>53</v>
      </c>
      <c r="C61" s="46">
        <v>15000</v>
      </c>
      <c r="D61" s="51">
        <v>24</v>
      </c>
      <c r="E61" s="51">
        <v>145730</v>
      </c>
      <c r="F61" s="51">
        <f>E61</f>
        <v>145730</v>
      </c>
      <c r="G61" s="51">
        <v>0</v>
      </c>
      <c r="H61" s="51">
        <f>SUM(F61:G61)</f>
        <v>145730</v>
      </c>
      <c r="I61"/>
    </row>
    <row r="62" spans="1:18" x14ac:dyDescent="0.35">
      <c r="B62" s="45" t="s">
        <v>98</v>
      </c>
      <c r="C62" s="46">
        <f>SUM(C61:C61)</f>
        <v>15000</v>
      </c>
      <c r="D62" s="51">
        <v>72</v>
      </c>
      <c r="E62" s="51">
        <v>12530570</v>
      </c>
      <c r="F62" s="51">
        <f>$D62*F$60</f>
        <v>1080000</v>
      </c>
      <c r="G62" s="51">
        <f>E62-F62</f>
        <v>11450570</v>
      </c>
      <c r="H62" s="51">
        <f>SUM(F62:G62)</f>
        <v>12530570</v>
      </c>
      <c r="I62"/>
    </row>
    <row r="63" spans="1:18" ht="16" thickBot="1" x14ac:dyDescent="0.4">
      <c r="B63" s="45"/>
      <c r="C63" t="s">
        <v>0</v>
      </c>
      <c r="D63" s="53">
        <f>SUM(D61:D62)</f>
        <v>96</v>
      </c>
      <c r="E63" s="53">
        <f>SUM(E61:E62)</f>
        <v>12676300</v>
      </c>
      <c r="F63" s="53">
        <f>SUM(F61:F62)</f>
        <v>1225730</v>
      </c>
      <c r="G63" s="53">
        <f>SUM(G61:G62)</f>
        <v>11450570</v>
      </c>
      <c r="H63" s="53">
        <f>SUM(H61:H62)</f>
        <v>12676300</v>
      </c>
      <c r="I63"/>
    </row>
    <row r="64" spans="1:18" ht="16" thickTop="1" x14ac:dyDescent="0.35">
      <c r="H64"/>
      <c r="I64"/>
    </row>
    <row r="65" spans="1:16" x14ac:dyDescent="0.35">
      <c r="H65"/>
      <c r="I65"/>
    </row>
    <row r="66" spans="1:16" x14ac:dyDescent="0.35">
      <c r="B66" s="395" t="s">
        <v>149</v>
      </c>
      <c r="C66" s="395"/>
      <c r="D66" s="395"/>
      <c r="E66" s="395"/>
      <c r="F66" s="395"/>
      <c r="G66" s="395"/>
      <c r="H66" s="395"/>
      <c r="I66"/>
    </row>
    <row r="67" spans="1:16" x14ac:dyDescent="0.35">
      <c r="C67" s="56"/>
      <c r="D67" s="158" t="s">
        <v>147</v>
      </c>
      <c r="E67" s="158" t="s">
        <v>148</v>
      </c>
      <c r="F67" s="395" t="s">
        <v>150</v>
      </c>
      <c r="G67" s="395"/>
      <c r="H67" s="158" t="s">
        <v>34</v>
      </c>
      <c r="I67"/>
    </row>
    <row r="68" spans="1:16" x14ac:dyDescent="0.35">
      <c r="B68" s="45" t="s">
        <v>53</v>
      </c>
      <c r="C68" s="51">
        <f>C61</f>
        <v>15000</v>
      </c>
      <c r="D68" s="57">
        <f>D63</f>
        <v>96</v>
      </c>
      <c r="E68" s="57">
        <f>F63</f>
        <v>1225730</v>
      </c>
      <c r="F68" s="58">
        <f>'Rates Comp'!L25</f>
        <v>242.11</v>
      </c>
      <c r="G68" t="s">
        <v>186</v>
      </c>
      <c r="H68" s="58">
        <f>F68*D68</f>
        <v>23242.560000000001</v>
      </c>
      <c r="I68"/>
    </row>
    <row r="69" spans="1:16" x14ac:dyDescent="0.35">
      <c r="B69" s="45" t="s">
        <v>98</v>
      </c>
      <c r="C69" s="51">
        <f>C62</f>
        <v>15000</v>
      </c>
      <c r="D69" s="56"/>
      <c r="E69" s="59">
        <f>G62</f>
        <v>11450570</v>
      </c>
      <c r="F69" s="159">
        <f>'Rates Comp'!L26</f>
        <v>1.304E-2</v>
      </c>
      <c r="G69" t="s">
        <v>187</v>
      </c>
      <c r="H69" s="160">
        <f>ROUND(E69*F69,2)</f>
        <v>149315.43</v>
      </c>
      <c r="I69"/>
      <c r="P69" s="161">
        <v>9.2899999999999991</v>
      </c>
    </row>
    <row r="70" spans="1:16" ht="16" thickBot="1" x14ac:dyDescent="0.4">
      <c r="C70" t="s">
        <v>37</v>
      </c>
      <c r="E70" s="53">
        <f>SUM(E68:E69)</f>
        <v>12676300</v>
      </c>
      <c r="H70" s="162">
        <f>SUM(H68:H69)</f>
        <v>172557.99</v>
      </c>
      <c r="I70"/>
    </row>
    <row r="71" spans="1:16" ht="16" thickTop="1" x14ac:dyDescent="0.35"/>
    <row r="72" spans="1:16" x14ac:dyDescent="0.35">
      <c r="A72" t="s">
        <v>185</v>
      </c>
      <c r="B72" s="73" t="s">
        <v>179</v>
      </c>
      <c r="H72"/>
      <c r="I72"/>
    </row>
    <row r="73" spans="1:16" x14ac:dyDescent="0.35">
      <c r="B73" s="45"/>
      <c r="C73" s="45"/>
      <c r="D73" s="45"/>
      <c r="E73" s="45"/>
      <c r="F73" s="45" t="s">
        <v>53</v>
      </c>
      <c r="G73" s="45" t="s">
        <v>98</v>
      </c>
      <c r="H73" s="45" t="s">
        <v>59</v>
      </c>
      <c r="I73"/>
    </row>
    <row r="74" spans="1:16" x14ac:dyDescent="0.35">
      <c r="B74" s="45"/>
      <c r="C74" s="47" t="s">
        <v>146</v>
      </c>
      <c r="D74" s="47" t="s">
        <v>147</v>
      </c>
      <c r="E74" s="47" t="s">
        <v>148</v>
      </c>
      <c r="F74" s="48">
        <f>C75</f>
        <v>100000</v>
      </c>
      <c r="G74" s="50">
        <f>SUM(F74:F74)</f>
        <v>100000</v>
      </c>
      <c r="H74" s="47"/>
      <c r="I74"/>
    </row>
    <row r="75" spans="1:16" x14ac:dyDescent="0.35">
      <c r="B75" s="45" t="s">
        <v>53</v>
      </c>
      <c r="C75" s="46">
        <v>100000</v>
      </c>
      <c r="D75" s="51">
        <v>8</v>
      </c>
      <c r="E75" s="51">
        <v>382380</v>
      </c>
      <c r="F75" s="51">
        <f>E75</f>
        <v>382380</v>
      </c>
      <c r="G75" s="51">
        <v>0</v>
      </c>
      <c r="H75" s="51">
        <f>SUM(F75:G75)</f>
        <v>382380</v>
      </c>
      <c r="I75"/>
    </row>
    <row r="76" spans="1:16" x14ac:dyDescent="0.35">
      <c r="B76" s="45" t="s">
        <v>98</v>
      </c>
      <c r="C76" s="46">
        <f>SUM(C75:C75)</f>
        <v>100000</v>
      </c>
      <c r="D76" s="51">
        <v>4</v>
      </c>
      <c r="E76" s="51">
        <v>754330</v>
      </c>
      <c r="F76" s="51">
        <f>$D76*F$74</f>
        <v>400000</v>
      </c>
      <c r="G76" s="51">
        <f>E76-F76</f>
        <v>354330</v>
      </c>
      <c r="H76" s="51">
        <f>SUM(F76:G76)</f>
        <v>754330</v>
      </c>
      <c r="I76"/>
    </row>
    <row r="77" spans="1:16" ht="16" thickBot="1" x14ac:dyDescent="0.4">
      <c r="B77" s="45"/>
      <c r="C77" t="s">
        <v>0</v>
      </c>
      <c r="D77" s="53">
        <f>SUM(D75:D76)</f>
        <v>12</v>
      </c>
      <c r="E77" s="53">
        <f>SUM(E75:E76)</f>
        <v>1136710</v>
      </c>
      <c r="F77" s="53">
        <f>SUM(F75:F76)</f>
        <v>782380</v>
      </c>
      <c r="G77" s="53">
        <f>SUM(G75:G76)</f>
        <v>354330</v>
      </c>
      <c r="H77" s="53">
        <f>SUM(H75:H76)</f>
        <v>1136710</v>
      </c>
      <c r="I77"/>
    </row>
    <row r="78" spans="1:16" ht="16" thickTop="1" x14ac:dyDescent="0.35">
      <c r="H78"/>
      <c r="I78"/>
    </row>
    <row r="79" spans="1:16" x14ac:dyDescent="0.35">
      <c r="H79"/>
      <c r="I79"/>
    </row>
    <row r="80" spans="1:16" x14ac:dyDescent="0.35">
      <c r="B80" s="395" t="s">
        <v>149</v>
      </c>
      <c r="C80" s="395"/>
      <c r="D80" s="395"/>
      <c r="E80" s="395"/>
      <c r="F80" s="395"/>
      <c r="G80" s="395"/>
      <c r="H80" s="395"/>
      <c r="I80"/>
    </row>
    <row r="81" spans="1:16" x14ac:dyDescent="0.35">
      <c r="C81" s="56"/>
      <c r="D81" s="158" t="s">
        <v>147</v>
      </c>
      <c r="E81" s="158" t="s">
        <v>148</v>
      </c>
      <c r="F81" s="395" t="s">
        <v>150</v>
      </c>
      <c r="G81" s="395"/>
      <c r="H81" s="158" t="s">
        <v>34</v>
      </c>
      <c r="I81"/>
    </row>
    <row r="82" spans="1:16" x14ac:dyDescent="0.35">
      <c r="B82" s="45" t="s">
        <v>53</v>
      </c>
      <c r="C82" s="51">
        <f>C75</f>
        <v>100000</v>
      </c>
      <c r="D82" s="57">
        <f>D77</f>
        <v>12</v>
      </c>
      <c r="E82" s="57">
        <f>F77</f>
        <v>782380</v>
      </c>
      <c r="F82" s="58">
        <f>'Rates Comp'!L29</f>
        <v>1355.98</v>
      </c>
      <c r="G82" t="s">
        <v>186</v>
      </c>
      <c r="H82" s="58">
        <f>F82*D82</f>
        <v>16271.76</v>
      </c>
      <c r="I82"/>
    </row>
    <row r="83" spans="1:16" x14ac:dyDescent="0.35">
      <c r="B83" s="45" t="s">
        <v>98</v>
      </c>
      <c r="C83" s="51">
        <f>C76</f>
        <v>100000</v>
      </c>
      <c r="D83" s="56"/>
      <c r="E83" s="59">
        <f>G76</f>
        <v>354330</v>
      </c>
      <c r="F83" s="159">
        <f>'Rates Comp'!R30</f>
        <v>1.304E-2</v>
      </c>
      <c r="G83" t="s">
        <v>187</v>
      </c>
      <c r="H83" s="160">
        <f>ROUND(E83*F83,2)</f>
        <v>4620.46</v>
      </c>
      <c r="I83"/>
      <c r="P83" s="161">
        <v>9.2899999999999991</v>
      </c>
    </row>
    <row r="84" spans="1:16" ht="16" thickBot="1" x14ac:dyDescent="0.4">
      <c r="C84" t="s">
        <v>37</v>
      </c>
      <c r="E84" s="53">
        <f>SUM(E82:E83)</f>
        <v>1136710</v>
      </c>
      <c r="H84" s="162">
        <f>SUM(H82:H83)</f>
        <v>20892.22</v>
      </c>
      <c r="I84"/>
    </row>
    <row r="85" spans="1:16" ht="16" thickTop="1" x14ac:dyDescent="0.35"/>
    <row r="86" spans="1:16" x14ac:dyDescent="0.35">
      <c r="A86" t="s">
        <v>185</v>
      </c>
      <c r="B86" s="73" t="s">
        <v>188</v>
      </c>
      <c r="H86"/>
      <c r="I86"/>
    </row>
    <row r="87" spans="1:16" x14ac:dyDescent="0.35">
      <c r="E87" s="345">
        <f>E84/12</f>
        <v>94725.833333333328</v>
      </c>
      <c r="H87"/>
      <c r="I87"/>
    </row>
    <row r="88" spans="1:16" x14ac:dyDescent="0.35">
      <c r="B88" s="45"/>
      <c r="C88" s="45"/>
      <c r="D88" s="45"/>
      <c r="E88" s="45"/>
      <c r="H88"/>
      <c r="I88"/>
    </row>
    <row r="89" spans="1:16" x14ac:dyDescent="0.35">
      <c r="B89" s="45"/>
      <c r="C89" s="47" t="s">
        <v>146</v>
      </c>
      <c r="D89" s="47" t="s">
        <v>147</v>
      </c>
      <c r="E89" s="47" t="s">
        <v>148</v>
      </c>
      <c r="H89"/>
      <c r="I89"/>
    </row>
    <row r="90" spans="1:16" x14ac:dyDescent="0.35">
      <c r="B90" s="45" t="s">
        <v>98</v>
      </c>
      <c r="C90" s="46">
        <v>6280000</v>
      </c>
      <c r="D90" s="51">
        <v>12</v>
      </c>
      <c r="E90" s="51">
        <v>6280000</v>
      </c>
      <c r="H90"/>
      <c r="I90"/>
    </row>
    <row r="91" spans="1:16" ht="16" thickBot="1" x14ac:dyDescent="0.4">
      <c r="B91" s="45"/>
      <c r="C91" t="s">
        <v>0</v>
      </c>
      <c r="D91" s="53">
        <f>SUM(D90:D90)</f>
        <v>12</v>
      </c>
      <c r="E91" s="53">
        <f>SUM(E90:E90)</f>
        <v>6280000</v>
      </c>
      <c r="H91"/>
      <c r="I91"/>
    </row>
    <row r="92" spans="1:16" ht="16" thickTop="1" x14ac:dyDescent="0.35">
      <c r="H92"/>
      <c r="I92"/>
    </row>
    <row r="93" spans="1:16" x14ac:dyDescent="0.35">
      <c r="H93"/>
      <c r="I93"/>
    </row>
    <row r="94" spans="1:16" x14ac:dyDescent="0.35">
      <c r="B94" s="395" t="s">
        <v>149</v>
      </c>
      <c r="C94" s="395"/>
      <c r="D94" s="395"/>
      <c r="E94" s="395"/>
      <c r="F94" s="395"/>
      <c r="G94" s="395"/>
      <c r="H94" s="395"/>
      <c r="I94"/>
    </row>
    <row r="95" spans="1:16" x14ac:dyDescent="0.35">
      <c r="C95" s="56"/>
      <c r="D95" s="158" t="s">
        <v>147</v>
      </c>
      <c r="E95" s="158" t="s">
        <v>148</v>
      </c>
      <c r="F95" s="395" t="s">
        <v>150</v>
      </c>
      <c r="G95" s="395"/>
      <c r="H95" s="158" t="s">
        <v>34</v>
      </c>
      <c r="I95"/>
    </row>
    <row r="96" spans="1:16" x14ac:dyDescent="0.35">
      <c r="B96" s="45" t="s">
        <v>148</v>
      </c>
      <c r="C96" s="51"/>
      <c r="D96" s="59">
        <f>D91</f>
        <v>12</v>
      </c>
      <c r="E96" s="59">
        <f>E91</f>
        <v>6280000</v>
      </c>
      <c r="F96" s="159">
        <f>'Rates Comp'!L33</f>
        <v>6.3599999999999993E-3</v>
      </c>
      <c r="G96" t="s">
        <v>187</v>
      </c>
      <c r="H96" s="160">
        <f>ROUND(E96*F96,2)</f>
        <v>39940.800000000003</v>
      </c>
      <c r="I96"/>
      <c r="P96" s="161">
        <v>4.5199999999999996</v>
      </c>
    </row>
    <row r="97" spans="3:9" ht="16" thickBot="1" x14ac:dyDescent="0.4">
      <c r="C97" t="s">
        <v>37</v>
      </c>
      <c r="E97" s="53">
        <f>SUM(E96:E96)</f>
        <v>6280000</v>
      </c>
      <c r="H97" s="162">
        <f>SUM(H96:H96)</f>
        <v>39940.800000000003</v>
      </c>
      <c r="I97"/>
    </row>
    <row r="98" spans="3:9" ht="16" thickTop="1" x14ac:dyDescent="0.35"/>
  </sheetData>
  <mergeCells count="17">
    <mergeCell ref="B94:H94"/>
    <mergeCell ref="F95:G95"/>
    <mergeCell ref="F31:G31"/>
    <mergeCell ref="B50:H50"/>
    <mergeCell ref="F51:G51"/>
    <mergeCell ref="B66:H66"/>
    <mergeCell ref="F67:G67"/>
    <mergeCell ref="C7:D7"/>
    <mergeCell ref="C8:D8"/>
    <mergeCell ref="B30:H30"/>
    <mergeCell ref="B80:H80"/>
    <mergeCell ref="F81:G81"/>
    <mergeCell ref="A1:K1"/>
    <mergeCell ref="A2:K2"/>
    <mergeCell ref="A3:K3"/>
    <mergeCell ref="A4:K4"/>
    <mergeCell ref="C6:D6"/>
  </mergeCells>
  <printOptions horizontalCentered="1"/>
  <pageMargins left="0.6" right="0.6" top="1" bottom="1" header="0.3" footer="0.3"/>
  <pageSetup scale="97" fitToHeight="2" orientation="portrait" r:id="rId1"/>
  <headerFooter>
    <oddFooter>Page &amp;P of &amp;N</oddFooter>
  </headerFooter>
  <ignoredErrors>
    <ignoredError sqref="H1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EAC9-546B-4275-804A-7D8B20FBAA43}">
  <dimension ref="A1:B7"/>
  <sheetViews>
    <sheetView workbookViewId="0">
      <selection activeCell="B2" sqref="B2:B5"/>
    </sheetView>
  </sheetViews>
  <sheetFormatPr defaultColWidth="8.84375" defaultRowHeight="15.5" x14ac:dyDescent="0.35"/>
  <cols>
    <col min="1" max="1" width="19.4609375" style="27" customWidth="1"/>
    <col min="2" max="2" width="11.53515625" style="275" customWidth="1"/>
    <col min="3" max="3" width="14.3046875" style="27" customWidth="1"/>
    <col min="4" max="16384" width="8.84375" style="27"/>
  </cols>
  <sheetData>
    <row r="1" spans="1:2" x14ac:dyDescent="0.35">
      <c r="A1" s="270" t="s">
        <v>335</v>
      </c>
      <c r="B1" s="271" t="s">
        <v>31</v>
      </c>
    </row>
    <row r="2" spans="1:2" x14ac:dyDescent="0.35">
      <c r="A2" s="272" t="s">
        <v>336</v>
      </c>
      <c r="B2" s="276">
        <v>9228.59</v>
      </c>
    </row>
    <row r="3" spans="1:2" x14ac:dyDescent="0.35">
      <c r="A3" s="274" t="s">
        <v>337</v>
      </c>
      <c r="B3" s="277">
        <v>398.75</v>
      </c>
    </row>
    <row r="4" spans="1:2" x14ac:dyDescent="0.35">
      <c r="A4" s="274" t="s">
        <v>338</v>
      </c>
      <c r="B4" s="278">
        <v>2460.69</v>
      </c>
    </row>
    <row r="5" spans="1:2" ht="16" thickBot="1" x14ac:dyDescent="0.4">
      <c r="A5" s="274" t="s">
        <v>59</v>
      </c>
      <c r="B5" s="279">
        <f>SUM(B2:B4)</f>
        <v>12088.03</v>
      </c>
    </row>
    <row r="6" spans="1:2" ht="16" thickTop="1" x14ac:dyDescent="0.35">
      <c r="A6" s="274"/>
      <c r="B6" s="273"/>
    </row>
    <row r="7" spans="1:2" x14ac:dyDescent="0.35">
      <c r="A7" s="274"/>
      <c r="B7" s="273"/>
    </row>
  </sheetData>
  <sortState xmlns:xlrd2="http://schemas.microsoft.com/office/spreadsheetml/2017/richdata2" ref="A5:E22">
    <sortCondition ref="A5:A2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BB05-1922-4A09-9594-1144168203D1}">
  <dimension ref="B3:L27"/>
  <sheetViews>
    <sheetView showGridLines="0" topLeftCell="A6" workbookViewId="0">
      <selection activeCell="C1" sqref="C1:L1048576"/>
    </sheetView>
  </sheetViews>
  <sheetFormatPr defaultRowHeight="15.5" x14ac:dyDescent="0.35"/>
  <cols>
    <col min="3" max="3" width="7.3046875" customWidth="1"/>
    <col min="4" max="4" width="8.84375" customWidth="1"/>
    <col min="5" max="5" width="7.4609375" customWidth="1"/>
    <col min="6" max="7" width="10.765625" customWidth="1"/>
    <col min="8" max="8" width="1.765625" customWidth="1"/>
    <col min="9" max="10" width="10.765625" customWidth="1"/>
    <col min="11" max="11" width="1.765625" customWidth="1"/>
    <col min="12" max="12" width="12.765625" customWidth="1"/>
  </cols>
  <sheetData>
    <row r="3" spans="2:12" x14ac:dyDescent="0.35">
      <c r="B3" s="4"/>
      <c r="C3" s="4"/>
      <c r="D3" s="4"/>
      <c r="E3" s="4"/>
      <c r="F3" s="15"/>
      <c r="G3" s="4"/>
      <c r="H3" s="4"/>
      <c r="I3" s="15"/>
      <c r="J3" s="4"/>
      <c r="K3" s="4"/>
    </row>
    <row r="4" spans="2:12" ht="21" x14ac:dyDescent="0.5">
      <c r="B4" s="4"/>
      <c r="C4" s="408" t="s">
        <v>400</v>
      </c>
      <c r="D4" s="408"/>
      <c r="E4" s="408"/>
      <c r="F4" s="408"/>
      <c r="G4" s="408"/>
      <c r="H4" s="408"/>
      <c r="I4" s="408"/>
      <c r="J4" s="408"/>
      <c r="K4" s="408"/>
      <c r="L4" s="408"/>
    </row>
    <row r="5" spans="2:12" ht="21" x14ac:dyDescent="0.5">
      <c r="B5" s="4"/>
      <c r="C5" s="409" t="s">
        <v>401</v>
      </c>
      <c r="D5" s="409"/>
      <c r="E5" s="409"/>
      <c r="F5" s="409"/>
      <c r="G5" s="409"/>
      <c r="H5" s="409"/>
      <c r="I5" s="409"/>
      <c r="J5" s="409"/>
      <c r="K5" s="409"/>
      <c r="L5" s="409"/>
    </row>
    <row r="6" spans="2:12" ht="21" x14ac:dyDescent="0.5">
      <c r="B6" s="4"/>
      <c r="C6" s="408" t="s">
        <v>170</v>
      </c>
      <c r="D6" s="408"/>
      <c r="E6" s="408"/>
      <c r="F6" s="408"/>
      <c r="G6" s="408"/>
      <c r="H6" s="408"/>
      <c r="I6" s="408"/>
      <c r="J6" s="408"/>
      <c r="K6" s="408"/>
      <c r="L6" s="408"/>
    </row>
    <row r="7" spans="2:12" x14ac:dyDescent="0.35">
      <c r="B7" s="4"/>
      <c r="C7" s="16"/>
      <c r="D7" s="4"/>
      <c r="E7" s="4"/>
      <c r="F7" s="15"/>
      <c r="G7" s="4"/>
      <c r="H7" s="4"/>
      <c r="I7" s="80"/>
      <c r="J7" s="4"/>
      <c r="K7" s="4"/>
    </row>
    <row r="8" spans="2:12" x14ac:dyDescent="0.35">
      <c r="B8" s="4"/>
      <c r="F8" s="395" t="s">
        <v>374</v>
      </c>
      <c r="G8" s="395"/>
      <c r="H8" s="337"/>
      <c r="I8" s="395" t="s">
        <v>374</v>
      </c>
      <c r="J8" s="395"/>
      <c r="K8" s="337"/>
      <c r="L8" s="158" t="s">
        <v>375</v>
      </c>
    </row>
    <row r="9" spans="2:12" x14ac:dyDescent="0.35">
      <c r="B9" s="4"/>
      <c r="C9" s="62" t="s">
        <v>322</v>
      </c>
      <c r="F9" s="337"/>
      <c r="G9" s="337"/>
      <c r="H9" s="337"/>
      <c r="I9" s="337"/>
      <c r="J9" s="337"/>
      <c r="K9" s="337"/>
      <c r="L9" s="337"/>
    </row>
    <row r="10" spans="2:12" x14ac:dyDescent="0.35">
      <c r="B10" s="4"/>
      <c r="C10" s="45" t="s">
        <v>53</v>
      </c>
      <c r="D10" s="51">
        <v>2000</v>
      </c>
      <c r="E10" s="253" t="s">
        <v>148</v>
      </c>
      <c r="F10" s="147">
        <f>'Rates Comp'!F12</f>
        <v>31.89</v>
      </c>
      <c r="G10" t="s">
        <v>186</v>
      </c>
      <c r="I10" s="147">
        <f>'Rates Comp'!L12</f>
        <v>44.93</v>
      </c>
      <c r="J10" t="s">
        <v>186</v>
      </c>
      <c r="L10" s="161">
        <f>I10-F10</f>
        <v>13.04</v>
      </c>
    </row>
    <row r="11" spans="2:12" x14ac:dyDescent="0.35">
      <c r="B11" s="4"/>
      <c r="C11" s="45" t="s">
        <v>54</v>
      </c>
      <c r="D11" s="51">
        <v>3000</v>
      </c>
      <c r="E11" s="253" t="s">
        <v>148</v>
      </c>
      <c r="F11" s="61">
        <f>'Rates Comp'!F13</f>
        <v>1.1860000000000001E-2</v>
      </c>
      <c r="G11" t="s">
        <v>187</v>
      </c>
      <c r="I11" s="61">
        <f>'Rates Comp'!L13</f>
        <v>1.6660000000000001E-2</v>
      </c>
      <c r="J11" t="s">
        <v>187</v>
      </c>
      <c r="L11" s="61">
        <f t="shared" ref="L11:L14" si="0">I11-F11</f>
        <v>4.8000000000000004E-3</v>
      </c>
    </row>
    <row r="12" spans="2:12" x14ac:dyDescent="0.35">
      <c r="B12" s="4"/>
      <c r="C12" s="45" t="s">
        <v>54</v>
      </c>
      <c r="D12" s="51">
        <v>5000</v>
      </c>
      <c r="E12" s="253" t="s">
        <v>148</v>
      </c>
      <c r="F12" s="61">
        <f>'Rates Comp'!F14</f>
        <v>1.0999999999999999E-2</v>
      </c>
      <c r="G12" t="s">
        <v>187</v>
      </c>
      <c r="I12" s="61">
        <f>'Rates Comp'!L14</f>
        <v>1.545E-2</v>
      </c>
      <c r="J12" t="s">
        <v>187</v>
      </c>
      <c r="L12" s="61">
        <f t="shared" si="0"/>
        <v>4.4500000000000008E-3</v>
      </c>
    </row>
    <row r="13" spans="2:12" x14ac:dyDescent="0.35">
      <c r="B13" s="4"/>
      <c r="C13" s="45" t="s">
        <v>54</v>
      </c>
      <c r="D13" s="51">
        <v>15000</v>
      </c>
      <c r="E13" s="253" t="s">
        <v>148</v>
      </c>
      <c r="F13" s="61">
        <f>'Rates Comp'!F15</f>
        <v>1.0149999999999999E-2</v>
      </c>
      <c r="G13" t="s">
        <v>187</v>
      </c>
      <c r="I13" s="61">
        <f>'Rates Comp'!L15</f>
        <v>1.4249999999999999E-2</v>
      </c>
      <c r="J13" t="s">
        <v>187</v>
      </c>
      <c r="L13" s="61">
        <f t="shared" si="0"/>
        <v>4.0999999999999995E-3</v>
      </c>
    </row>
    <row r="14" spans="2:12" x14ac:dyDescent="0.35">
      <c r="B14" s="4"/>
      <c r="C14" s="45" t="s">
        <v>98</v>
      </c>
      <c r="D14" s="51">
        <v>15000</v>
      </c>
      <c r="E14" s="253" t="s">
        <v>148</v>
      </c>
      <c r="F14" s="61">
        <f>'Rates Comp'!F16</f>
        <v>9.2899999999999996E-3</v>
      </c>
      <c r="G14" t="s">
        <v>187</v>
      </c>
      <c r="I14" s="61">
        <f>'Rates Comp'!L16</f>
        <v>1.304E-2</v>
      </c>
      <c r="J14" t="s">
        <v>187</v>
      </c>
      <c r="L14" s="61">
        <f t="shared" si="0"/>
        <v>3.7499999999999999E-3</v>
      </c>
    </row>
    <row r="15" spans="2:12" x14ac:dyDescent="0.35">
      <c r="B15" s="4"/>
      <c r="C15" s="73" t="s">
        <v>177</v>
      </c>
      <c r="E15" s="253"/>
    </row>
    <row r="16" spans="2:12" x14ac:dyDescent="0.35">
      <c r="B16" s="4"/>
      <c r="C16" s="45" t="s">
        <v>53</v>
      </c>
      <c r="D16" s="51">
        <v>5000</v>
      </c>
      <c r="E16" s="253" t="s">
        <v>148</v>
      </c>
      <c r="F16" s="147">
        <f>'Rates Comp'!F19</f>
        <v>67.62</v>
      </c>
      <c r="G16" t="s">
        <v>186</v>
      </c>
      <c r="I16" s="147">
        <f>'Rates Comp'!L19</f>
        <v>95.240000000000009</v>
      </c>
      <c r="J16" t="s">
        <v>186</v>
      </c>
      <c r="L16" s="161">
        <f>I16-F16</f>
        <v>27.620000000000005</v>
      </c>
    </row>
    <row r="17" spans="2:12" x14ac:dyDescent="0.35">
      <c r="B17" s="4"/>
      <c r="C17" s="45" t="s">
        <v>54</v>
      </c>
      <c r="D17" s="51">
        <v>5000</v>
      </c>
      <c r="E17" s="253" t="s">
        <v>148</v>
      </c>
      <c r="F17" s="61">
        <f>'Rates Comp'!F20</f>
        <v>1.0999999999999999E-2</v>
      </c>
      <c r="G17" t="s">
        <v>187</v>
      </c>
      <c r="I17" s="61">
        <f>'Rates Comp'!L20</f>
        <v>1.545E-2</v>
      </c>
      <c r="J17" t="s">
        <v>187</v>
      </c>
      <c r="L17" s="61">
        <f t="shared" ref="L17:L19" si="1">I17-F17</f>
        <v>4.4500000000000008E-3</v>
      </c>
    </row>
    <row r="18" spans="2:12" x14ac:dyDescent="0.35">
      <c r="B18" s="4"/>
      <c r="C18" s="45" t="s">
        <v>54</v>
      </c>
      <c r="D18" s="51">
        <v>5000</v>
      </c>
      <c r="E18" s="253" t="s">
        <v>148</v>
      </c>
      <c r="F18" s="61">
        <f>'Rates Comp'!F21</f>
        <v>1.0149999999999999E-2</v>
      </c>
      <c r="G18" t="s">
        <v>187</v>
      </c>
      <c r="I18" s="61">
        <f>'Rates Comp'!L21</f>
        <v>1.4249999999999999E-2</v>
      </c>
      <c r="J18" t="s">
        <v>187</v>
      </c>
      <c r="L18" s="61">
        <f t="shared" si="1"/>
        <v>4.0999999999999995E-3</v>
      </c>
    </row>
    <row r="19" spans="2:12" x14ac:dyDescent="0.35">
      <c r="B19" s="4"/>
      <c r="C19" s="45" t="s">
        <v>98</v>
      </c>
      <c r="D19" s="51">
        <v>15000</v>
      </c>
      <c r="E19" s="253" t="s">
        <v>148</v>
      </c>
      <c r="F19" s="61">
        <f>'Rates Comp'!F22</f>
        <v>9.2899999999999996E-3</v>
      </c>
      <c r="G19" t="s">
        <v>187</v>
      </c>
      <c r="I19" s="61">
        <f>'Rates Comp'!L22</f>
        <v>1.304E-2</v>
      </c>
      <c r="J19" t="s">
        <v>187</v>
      </c>
      <c r="L19" s="61">
        <f t="shared" si="1"/>
        <v>3.7499999999999999E-3</v>
      </c>
    </row>
    <row r="20" spans="2:12" x14ac:dyDescent="0.35">
      <c r="B20" s="4"/>
      <c r="C20" s="73" t="s">
        <v>178</v>
      </c>
      <c r="E20" s="253"/>
    </row>
    <row r="21" spans="2:12" x14ac:dyDescent="0.35">
      <c r="B21" s="4"/>
      <c r="C21" s="45" t="s">
        <v>53</v>
      </c>
      <c r="D21" s="51">
        <v>15000</v>
      </c>
      <c r="E21" s="253" t="s">
        <v>148</v>
      </c>
      <c r="F21" s="147">
        <f>'Rates Comp'!F25</f>
        <v>171.93</v>
      </c>
      <c r="G21" t="s">
        <v>186</v>
      </c>
      <c r="I21" s="147">
        <f>'Rates Comp'!L25</f>
        <v>242.11</v>
      </c>
      <c r="J21" t="s">
        <v>186</v>
      </c>
      <c r="L21" s="161">
        <f>I21-F21</f>
        <v>70.180000000000007</v>
      </c>
    </row>
    <row r="22" spans="2:12" x14ac:dyDescent="0.35">
      <c r="B22" s="4"/>
      <c r="C22" s="45" t="s">
        <v>98</v>
      </c>
      <c r="D22" s="51">
        <v>15000</v>
      </c>
      <c r="E22" s="253" t="s">
        <v>148</v>
      </c>
      <c r="F22" s="61">
        <f>'Rates Comp'!F26</f>
        <v>9.2899999999999996E-3</v>
      </c>
      <c r="G22" t="s">
        <v>187</v>
      </c>
      <c r="I22" s="61">
        <f>'Rates Comp'!L26</f>
        <v>1.304E-2</v>
      </c>
      <c r="J22" t="s">
        <v>187</v>
      </c>
      <c r="L22" s="61">
        <f t="shared" ref="L22" si="2">I22-F22</f>
        <v>3.7499999999999999E-3</v>
      </c>
    </row>
    <row r="23" spans="2:12" x14ac:dyDescent="0.35">
      <c r="B23" s="4"/>
      <c r="C23" s="73" t="s">
        <v>179</v>
      </c>
      <c r="E23" s="253"/>
      <c r="F23" s="61"/>
      <c r="I23" s="61"/>
    </row>
    <row r="24" spans="2:12" x14ac:dyDescent="0.35">
      <c r="B24" s="4"/>
      <c r="C24" s="45" t="s">
        <v>53</v>
      </c>
      <c r="D24" s="51">
        <v>100000</v>
      </c>
      <c r="E24" s="253" t="s">
        <v>148</v>
      </c>
      <c r="F24" s="147">
        <f>'Rates Comp'!F29</f>
        <v>963.03</v>
      </c>
      <c r="G24" t="s">
        <v>186</v>
      </c>
      <c r="I24" s="147">
        <f>'Rates Comp'!L29</f>
        <v>1355.98</v>
      </c>
      <c r="J24" t="s">
        <v>186</v>
      </c>
      <c r="L24" s="161">
        <f>I24-F24</f>
        <v>392.95000000000005</v>
      </c>
    </row>
    <row r="25" spans="2:12" x14ac:dyDescent="0.35">
      <c r="B25" s="4"/>
      <c r="C25" s="45" t="s">
        <v>98</v>
      </c>
      <c r="D25" s="51">
        <v>100000</v>
      </c>
      <c r="E25" s="253" t="s">
        <v>148</v>
      </c>
      <c r="F25" s="61">
        <f>'Rates Comp'!F30</f>
        <v>9.2899999999999996E-3</v>
      </c>
      <c r="G25" t="s">
        <v>187</v>
      </c>
      <c r="I25" s="61">
        <f>'Rates Comp'!L30</f>
        <v>1.304E-2</v>
      </c>
      <c r="J25" t="s">
        <v>187</v>
      </c>
      <c r="L25" s="61">
        <f t="shared" ref="L25" si="3">I25-F25</f>
        <v>3.7499999999999999E-3</v>
      </c>
    </row>
    <row r="26" spans="2:12" x14ac:dyDescent="0.35">
      <c r="B26" s="4"/>
      <c r="C26" s="73" t="s">
        <v>188</v>
      </c>
      <c r="F26" s="61"/>
      <c r="I26" s="61"/>
    </row>
    <row r="27" spans="2:12" x14ac:dyDescent="0.35">
      <c r="B27" s="4"/>
      <c r="C27" s="45"/>
      <c r="D27" s="51"/>
      <c r="E27" s="51"/>
      <c r="F27" s="61">
        <f>'Rates Comp'!F33</f>
        <v>4.5199999999999997E-3</v>
      </c>
      <c r="G27" t="s">
        <v>187</v>
      </c>
      <c r="I27" s="61">
        <f>'Rates Comp'!L33</f>
        <v>6.3599999999999993E-3</v>
      </c>
      <c r="J27" t="s">
        <v>187</v>
      </c>
      <c r="L27" s="61">
        <f t="shared" ref="L27" si="4">I27-F27</f>
        <v>1.8399999999999996E-3</v>
      </c>
    </row>
  </sheetData>
  <mergeCells count="5">
    <mergeCell ref="F8:G8"/>
    <mergeCell ref="I8:J8"/>
    <mergeCell ref="C4:L4"/>
    <mergeCell ref="C5:L5"/>
    <mergeCell ref="C6:L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72FA-77AF-4E37-8F81-C934983153E2}">
  <dimension ref="A1:O85"/>
  <sheetViews>
    <sheetView showGridLines="0" workbookViewId="0">
      <selection sqref="A1:O81"/>
    </sheetView>
  </sheetViews>
  <sheetFormatPr defaultColWidth="14.53515625" defaultRowHeight="14" x14ac:dyDescent="0.3"/>
  <cols>
    <col min="1" max="1" width="1.3046875" style="24" customWidth="1"/>
    <col min="2" max="2" width="29.69140625" style="24" customWidth="1"/>
    <col min="3" max="3" width="1.4609375" style="24" customWidth="1"/>
    <col min="4" max="4" width="14.53515625" style="24"/>
    <col min="5" max="5" width="1.4609375" style="24" customWidth="1"/>
    <col min="6" max="6" width="14.53515625" style="24"/>
    <col min="7" max="7" width="1.4609375" style="24" customWidth="1"/>
    <col min="8" max="8" width="10.765625" style="24" customWidth="1"/>
    <col min="9" max="9" width="1.4609375" style="24" customWidth="1"/>
    <col min="10" max="10" width="10.765625" style="24" customWidth="1"/>
    <col min="11" max="11" width="1.4609375" style="24" customWidth="1"/>
    <col min="12" max="12" width="14.53515625" style="24"/>
    <col min="13" max="13" width="1.4609375" style="24" customWidth="1"/>
    <col min="14" max="14" width="14.53515625" style="24"/>
    <col min="15" max="15" width="1.4609375" style="24" customWidth="1"/>
    <col min="16" max="16384" width="14.53515625" style="24"/>
  </cols>
  <sheetData>
    <row r="1" spans="1:15" ht="22.5" x14ac:dyDescent="0.45">
      <c r="A1" s="410" t="s">
        <v>360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15" ht="22.5" x14ac:dyDescent="0.45">
      <c r="A2" s="413" t="s">
        <v>361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5"/>
    </row>
    <row r="3" spans="1:15" ht="22.5" x14ac:dyDescent="0.45">
      <c r="A3" s="417" t="str">
        <f>Adjustments!B1</f>
        <v>Morgan County Water District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9"/>
    </row>
    <row r="4" spans="1:15" x14ac:dyDescent="0.3">
      <c r="A4" s="306"/>
      <c r="O4" s="307"/>
    </row>
    <row r="5" spans="1:15" x14ac:dyDescent="0.3">
      <c r="A5" s="306"/>
      <c r="F5" s="145" t="s">
        <v>369</v>
      </c>
      <c r="H5" s="416" t="s">
        <v>371</v>
      </c>
      <c r="I5" s="416"/>
      <c r="J5" s="416"/>
      <c r="L5" s="145" t="s">
        <v>263</v>
      </c>
      <c r="N5" s="145" t="s">
        <v>56</v>
      </c>
      <c r="O5" s="307"/>
    </row>
    <row r="6" spans="1:15" x14ac:dyDescent="0.3">
      <c r="A6" s="306"/>
      <c r="B6" s="25" t="s">
        <v>267</v>
      </c>
      <c r="D6" s="26" t="s">
        <v>269</v>
      </c>
      <c r="F6" s="26" t="s">
        <v>370</v>
      </c>
      <c r="H6" s="303" t="s">
        <v>348</v>
      </c>
      <c r="I6" s="274"/>
      <c r="J6" s="303" t="s">
        <v>138</v>
      </c>
      <c r="L6" s="26" t="s">
        <v>265</v>
      </c>
      <c r="N6" s="26" t="s">
        <v>271</v>
      </c>
      <c r="O6" s="307"/>
    </row>
    <row r="7" spans="1:15" x14ac:dyDescent="0.3">
      <c r="A7" s="306"/>
      <c r="B7" s="170" t="s">
        <v>205</v>
      </c>
      <c r="O7" s="307"/>
    </row>
    <row r="8" spans="1:15" x14ac:dyDescent="0.3">
      <c r="A8" s="306"/>
      <c r="B8" s="305" t="s">
        <v>206</v>
      </c>
      <c r="D8" s="24">
        <f>'Dep Adj - NARUCNwe Meters'!G8</f>
        <v>16296</v>
      </c>
      <c r="F8" s="24">
        <f>'Dep Adj - NARUCNwe Meters'!K8</f>
        <v>814.8</v>
      </c>
      <c r="H8" s="24">
        <f>'Dep Adj - NARUCNwe Meters'!Q8</f>
        <v>20</v>
      </c>
      <c r="J8" s="24">
        <f>'Dep Adj - NARUCNwe Meters'!S8</f>
        <v>37.5</v>
      </c>
      <c r="L8" s="24">
        <f>'Dep Adj - NARUCNwe Meters'!M8</f>
        <v>434.56</v>
      </c>
      <c r="N8" s="24">
        <f>'Dep Adj - NARUCNwe Meters'!O8</f>
        <v>-380.23999999999995</v>
      </c>
      <c r="O8" s="307"/>
    </row>
    <row r="9" spans="1:15" x14ac:dyDescent="0.3">
      <c r="A9" s="306"/>
      <c r="D9" s="175">
        <f>SUM(D8)</f>
        <v>16296</v>
      </c>
      <c r="F9" s="175">
        <f>SUM(F8)</f>
        <v>814.8</v>
      </c>
      <c r="L9" s="175">
        <f>SUM(L8)</f>
        <v>434.56</v>
      </c>
      <c r="N9" s="175">
        <f>SUM(N8)</f>
        <v>-380.23999999999995</v>
      </c>
      <c r="O9" s="307"/>
    </row>
    <row r="10" spans="1:15" x14ac:dyDescent="0.3">
      <c r="A10" s="306"/>
      <c r="O10" s="307"/>
    </row>
    <row r="11" spans="1:15" x14ac:dyDescent="0.3">
      <c r="A11" s="306"/>
      <c r="B11" s="24" t="s">
        <v>207</v>
      </c>
      <c r="O11" s="307"/>
    </row>
    <row r="12" spans="1:15" x14ac:dyDescent="0.3">
      <c r="A12" s="306"/>
      <c r="B12" s="305" t="s">
        <v>208</v>
      </c>
      <c r="D12" s="24">
        <f>'Dep Adj - NARUCNwe Meters'!G12</f>
        <v>15600</v>
      </c>
      <c r="F12" s="24">
        <f>'Dep Adj - NARUCNwe Meters'!K12</f>
        <v>0</v>
      </c>
      <c r="H12" s="24">
        <f>'Dep Adj - NARUCNwe Meters'!Q12</f>
        <v>5</v>
      </c>
      <c r="J12" s="24">
        <f>'Dep Adj - NARUCNwe Meters'!S12</f>
        <v>10</v>
      </c>
      <c r="L12" s="24">
        <f>'Dep Adj - NARUCNwe Meters'!M12</f>
        <v>0</v>
      </c>
      <c r="N12" s="24">
        <f>'Dep Adj - NARUCNwe Meters'!O12</f>
        <v>0</v>
      </c>
      <c r="O12" s="307"/>
    </row>
    <row r="13" spans="1:15" x14ac:dyDescent="0.3">
      <c r="A13" s="306"/>
      <c r="B13" s="305" t="s">
        <v>208</v>
      </c>
      <c r="D13" s="24">
        <f>'Dep Adj - NARUCNwe Meters'!G13</f>
        <v>3900</v>
      </c>
      <c r="F13" s="24">
        <f>'Dep Adj - NARUCNwe Meters'!K13</f>
        <v>0</v>
      </c>
      <c r="H13" s="24">
        <f>'Dep Adj - NARUCNwe Meters'!Q13</f>
        <v>5</v>
      </c>
      <c r="J13" s="24">
        <f>'Dep Adj - NARUCNwe Meters'!S13</f>
        <v>10</v>
      </c>
      <c r="L13" s="24">
        <f>'Dep Adj - NARUCNwe Meters'!M13</f>
        <v>0</v>
      </c>
      <c r="N13" s="24">
        <f>'Dep Adj - NARUCNwe Meters'!O13</f>
        <v>0</v>
      </c>
      <c r="O13" s="307"/>
    </row>
    <row r="14" spans="1:15" x14ac:dyDescent="0.3">
      <c r="A14" s="306"/>
      <c r="B14" s="305" t="s">
        <v>209</v>
      </c>
      <c r="D14" s="24">
        <f>'Dep Adj - NARUCNwe Meters'!G14</f>
        <v>270375</v>
      </c>
      <c r="F14" s="24">
        <f>'Dep Adj - NARUCNwe Meters'!K14</f>
        <v>0</v>
      </c>
      <c r="H14" s="24">
        <f>'Dep Adj - NARUCNwe Meters'!Q14</f>
        <v>10</v>
      </c>
      <c r="J14" s="24">
        <f>'Dep Adj - NARUCNwe Meters'!S14</f>
        <v>10</v>
      </c>
      <c r="L14" s="24">
        <f>'Dep Adj - NARUCNwe Meters'!M14</f>
        <v>0</v>
      </c>
      <c r="N14" s="24">
        <f>'Dep Adj - NARUCNwe Meters'!O14</f>
        <v>0</v>
      </c>
      <c r="O14" s="307"/>
    </row>
    <row r="15" spans="1:15" x14ac:dyDescent="0.3">
      <c r="A15" s="306"/>
      <c r="B15" s="305" t="s">
        <v>210</v>
      </c>
      <c r="D15" s="24">
        <f>'Dep Adj - NARUCNwe Meters'!G15</f>
        <v>26500</v>
      </c>
      <c r="F15" s="24">
        <f>'Dep Adj - NARUCNwe Meters'!K15</f>
        <v>5300</v>
      </c>
      <c r="H15" s="24">
        <f>'Dep Adj - NARUCNwe Meters'!Q15</f>
        <v>5</v>
      </c>
      <c r="J15" s="24">
        <f>'Dep Adj - NARUCNwe Meters'!S15</f>
        <v>12.5</v>
      </c>
      <c r="L15" s="24">
        <f>'Dep Adj - NARUCNwe Meters'!M15</f>
        <v>2120</v>
      </c>
      <c r="N15" s="24">
        <f>'Dep Adj - NARUCNwe Meters'!O15</f>
        <v>-3180</v>
      </c>
      <c r="O15" s="307"/>
    </row>
    <row r="16" spans="1:15" x14ac:dyDescent="0.3">
      <c r="A16" s="306"/>
      <c r="B16" s="305" t="s">
        <v>211</v>
      </c>
      <c r="D16" s="24">
        <f>'Dep Adj - NARUCNwe Meters'!G16</f>
        <v>6967.35</v>
      </c>
      <c r="F16" s="24">
        <f>'Dep Adj - NARUCNwe Meters'!K16</f>
        <v>696.74</v>
      </c>
      <c r="H16" s="24">
        <f>'Dep Adj - NARUCNwe Meters'!Q16</f>
        <v>10</v>
      </c>
      <c r="J16" s="24">
        <f>'Dep Adj - NARUCNwe Meters'!S16</f>
        <v>12.5</v>
      </c>
      <c r="L16" s="24">
        <f>'Dep Adj - NARUCNwe Meters'!M16</f>
        <v>557.39</v>
      </c>
      <c r="N16" s="24">
        <f>'Dep Adj - NARUCNwe Meters'!O16</f>
        <v>-139.35000000000002</v>
      </c>
      <c r="O16" s="307"/>
    </row>
    <row r="17" spans="1:15" x14ac:dyDescent="0.3">
      <c r="A17" s="306"/>
      <c r="B17" s="305" t="s">
        <v>212</v>
      </c>
      <c r="D17" s="24">
        <f>'Dep Adj - NARUCNwe Meters'!G17</f>
        <v>5855</v>
      </c>
      <c r="F17" s="24">
        <f>'Dep Adj - NARUCNwe Meters'!K17</f>
        <v>585.5</v>
      </c>
      <c r="H17" s="24">
        <f>'Dep Adj - NARUCNwe Meters'!Q17</f>
        <v>10</v>
      </c>
      <c r="J17" s="24">
        <f>'Dep Adj - NARUCNwe Meters'!S17</f>
        <v>12.5</v>
      </c>
      <c r="L17" s="24">
        <f>'Dep Adj - NARUCNwe Meters'!M17</f>
        <v>468.4</v>
      </c>
      <c r="N17" s="24">
        <f>'Dep Adj - NARUCNwe Meters'!O17</f>
        <v>-117.10000000000002</v>
      </c>
      <c r="O17" s="307"/>
    </row>
    <row r="18" spans="1:15" x14ac:dyDescent="0.3">
      <c r="A18" s="306"/>
      <c r="B18" s="305" t="s">
        <v>213</v>
      </c>
      <c r="D18" s="24">
        <f>'Dep Adj - NARUCNwe Meters'!G18</f>
        <v>26995</v>
      </c>
      <c r="F18" s="24">
        <f>'Dep Adj - NARUCNwe Meters'!K18</f>
        <v>1349.75</v>
      </c>
      <c r="H18" s="24">
        <f>'Dep Adj - NARUCNwe Meters'!Q18</f>
        <v>20</v>
      </c>
      <c r="J18" s="24">
        <f>'Dep Adj - NARUCNwe Meters'!S18</f>
        <v>12.5</v>
      </c>
      <c r="L18" s="24">
        <f>'Dep Adj - NARUCNwe Meters'!M18</f>
        <v>2159.6</v>
      </c>
      <c r="N18" s="24">
        <f>'Dep Adj - NARUCNwe Meters'!O18</f>
        <v>809.84999999999991</v>
      </c>
      <c r="O18" s="307"/>
    </row>
    <row r="19" spans="1:15" x14ac:dyDescent="0.3">
      <c r="A19" s="306"/>
      <c r="B19" s="305" t="s">
        <v>214</v>
      </c>
      <c r="D19" s="24">
        <f>'Dep Adj - NARUCNwe Meters'!G19</f>
        <v>9277</v>
      </c>
      <c r="F19" s="24">
        <f>'Dep Adj - NARUCNwe Meters'!K19</f>
        <v>128.85</v>
      </c>
      <c r="H19" s="24">
        <f>'Dep Adj - NARUCNwe Meters'!Q19</f>
        <v>12</v>
      </c>
      <c r="J19" s="24">
        <f>'Dep Adj - NARUCNwe Meters'!S19</f>
        <v>12.5</v>
      </c>
      <c r="L19" s="24">
        <f>'Dep Adj - NARUCNwe Meters'!M19</f>
        <v>742.16</v>
      </c>
      <c r="N19" s="24">
        <f>'Dep Adj - NARUCNwe Meters'!O19</f>
        <v>613.30999999999995</v>
      </c>
      <c r="O19" s="307"/>
    </row>
    <row r="20" spans="1:15" x14ac:dyDescent="0.3">
      <c r="A20" s="306"/>
      <c r="B20" s="305" t="s">
        <v>215</v>
      </c>
      <c r="D20" s="24">
        <f>'Dep Adj - NARUCNwe Meters'!G20</f>
        <v>12430</v>
      </c>
      <c r="F20" s="24">
        <f>'Dep Adj - NARUCNwe Meters'!K20</f>
        <v>776.88</v>
      </c>
      <c r="H20" s="24">
        <f>'Dep Adj - NARUCNwe Meters'!Q20</f>
        <v>12</v>
      </c>
      <c r="J20" s="24">
        <f>'Dep Adj - NARUCNwe Meters'!S20</f>
        <v>12.5</v>
      </c>
      <c r="L20" s="24">
        <f>'Dep Adj - NARUCNwe Meters'!M20</f>
        <v>994.4</v>
      </c>
      <c r="N20" s="24">
        <f>'Dep Adj - NARUCNwe Meters'!O20</f>
        <v>217.51999999999998</v>
      </c>
      <c r="O20" s="307"/>
    </row>
    <row r="21" spans="1:15" x14ac:dyDescent="0.3">
      <c r="A21" s="306"/>
      <c r="B21" s="305" t="s">
        <v>216</v>
      </c>
      <c r="D21" s="24">
        <f>'Dep Adj - NARUCNwe Meters'!G21</f>
        <v>62000</v>
      </c>
      <c r="F21" s="24">
        <f>'Dep Adj - NARUCNwe Meters'!K21</f>
        <v>4650</v>
      </c>
      <c r="H21" s="24">
        <f>'Dep Adj - NARUCNwe Meters'!Q21</f>
        <v>10</v>
      </c>
      <c r="J21" s="24">
        <f>'Dep Adj - NARUCNwe Meters'!S21</f>
        <v>17.5</v>
      </c>
      <c r="L21" s="24">
        <f>'Dep Adj - NARUCNwe Meters'!M21</f>
        <v>3542.86</v>
      </c>
      <c r="N21" s="24">
        <f>'Dep Adj - NARUCNwe Meters'!O21</f>
        <v>-1107.1399999999999</v>
      </c>
      <c r="O21" s="307"/>
    </row>
    <row r="22" spans="1:15" x14ac:dyDescent="0.3">
      <c r="A22" s="306"/>
      <c r="B22" s="305" t="s">
        <v>217</v>
      </c>
      <c r="D22" s="24">
        <f>'Dep Adj - NARUCNwe Meters'!G22</f>
        <v>17000</v>
      </c>
      <c r="F22" s="24">
        <f>'Dep Adj - NARUCNwe Meters'!K22</f>
        <v>1275</v>
      </c>
      <c r="H22" s="24">
        <f>'Dep Adj - NARUCNwe Meters'!Q22</f>
        <v>10</v>
      </c>
      <c r="J22" s="24">
        <f>'Dep Adj - NARUCNwe Meters'!S22</f>
        <v>17.5</v>
      </c>
      <c r="L22" s="24">
        <f>'Dep Adj - NARUCNwe Meters'!M22</f>
        <v>971.43</v>
      </c>
      <c r="N22" s="24">
        <f>'Dep Adj - NARUCNwe Meters'!O22</f>
        <v>-303.57000000000005</v>
      </c>
      <c r="O22" s="307"/>
    </row>
    <row r="23" spans="1:15" x14ac:dyDescent="0.3">
      <c r="A23" s="306"/>
      <c r="B23" s="308" t="s">
        <v>362</v>
      </c>
      <c r="D23" s="175">
        <f>SUM(D12:D22)</f>
        <v>456899.35</v>
      </c>
      <c r="F23" s="175">
        <f>SUM(F12:F22)</f>
        <v>14762.72</v>
      </c>
      <c r="L23" s="175">
        <f>SUM(L12:L22)</f>
        <v>11556.24</v>
      </c>
      <c r="N23" s="175">
        <f>SUM(N12:N22)</f>
        <v>-3206.48</v>
      </c>
      <c r="O23" s="307"/>
    </row>
    <row r="24" spans="1:15" x14ac:dyDescent="0.3">
      <c r="A24" s="306"/>
      <c r="O24" s="307"/>
    </row>
    <row r="25" spans="1:15" x14ac:dyDescent="0.3">
      <c r="A25" s="306"/>
      <c r="B25" s="170" t="s">
        <v>363</v>
      </c>
      <c r="O25" s="307"/>
    </row>
    <row r="26" spans="1:15" x14ac:dyDescent="0.3">
      <c r="A26" s="306"/>
      <c r="B26" s="305" t="s">
        <v>219</v>
      </c>
      <c r="D26" s="24">
        <f>'Dep Adj - NARUCNwe Meters'!G26</f>
        <v>1099</v>
      </c>
      <c r="F26" s="24">
        <f>'Dep Adj - NARUCNwe Meters'!K26</f>
        <v>0</v>
      </c>
      <c r="H26" s="24">
        <f>'Dep Adj - NARUCNwe Meters'!Q26</f>
        <v>5</v>
      </c>
      <c r="J26" s="24">
        <f>'Dep Adj - NARUCNwe Meters'!S26</f>
        <v>10</v>
      </c>
      <c r="L26" s="24">
        <f>'Dep Adj - NARUCNwe Meters'!M26</f>
        <v>0</v>
      </c>
      <c r="N26" s="24">
        <f>'Dep Adj - NARUCNwe Meters'!O26</f>
        <v>0</v>
      </c>
      <c r="O26" s="307"/>
    </row>
    <row r="27" spans="1:15" x14ac:dyDescent="0.3">
      <c r="A27" s="306"/>
      <c r="B27" s="305" t="s">
        <v>220</v>
      </c>
      <c r="D27" s="24">
        <f>'Dep Adj - NARUCNwe Meters'!G27</f>
        <v>23330.74</v>
      </c>
      <c r="F27" s="24">
        <f>'Dep Adj - NARUCNwe Meters'!K27</f>
        <v>3332.96</v>
      </c>
      <c r="H27" s="24">
        <f>'Dep Adj - NARUCNwe Meters'!Q27</f>
        <v>7</v>
      </c>
      <c r="J27" s="24">
        <f>'Dep Adj - NARUCNwe Meters'!S27</f>
        <v>10</v>
      </c>
      <c r="L27" s="24">
        <f>'Dep Adj - NARUCNwe Meters'!M27</f>
        <v>2333.0700000000002</v>
      </c>
      <c r="N27" s="24">
        <f>'Dep Adj - NARUCNwe Meters'!O27</f>
        <v>-999.88999999999987</v>
      </c>
      <c r="O27" s="307"/>
    </row>
    <row r="28" spans="1:15" x14ac:dyDescent="0.3">
      <c r="A28" s="306"/>
      <c r="B28" s="309" t="s">
        <v>364</v>
      </c>
      <c r="D28" s="175">
        <f>SUM(D26:D27)</f>
        <v>24429.74</v>
      </c>
      <c r="F28" s="175">
        <f>SUM(F26:F27)</f>
        <v>3332.96</v>
      </c>
      <c r="L28" s="175">
        <f>SUM(L26:L27)</f>
        <v>2333.0700000000002</v>
      </c>
      <c r="N28" s="175">
        <f>SUM(N26:N27)</f>
        <v>-999.88999999999987</v>
      </c>
      <c r="O28" s="307"/>
    </row>
    <row r="29" spans="1:15" x14ac:dyDescent="0.3">
      <c r="A29" s="306"/>
      <c r="O29" s="307"/>
    </row>
    <row r="30" spans="1:15" x14ac:dyDescent="0.3">
      <c r="A30" s="306"/>
      <c r="B30" s="170" t="s">
        <v>221</v>
      </c>
      <c r="O30" s="307"/>
    </row>
    <row r="31" spans="1:15" x14ac:dyDescent="0.3">
      <c r="A31" s="306"/>
      <c r="B31" s="305" t="s">
        <v>139</v>
      </c>
      <c r="D31" s="24">
        <f>'Dep Adj - NARUCNwe Meters'!G31</f>
        <v>20800</v>
      </c>
      <c r="F31" s="24">
        <f>'Dep Adj - NARUCNwe Meters'!K31</f>
        <v>312</v>
      </c>
      <c r="H31" s="24">
        <f>'Dep Adj - NARUCNwe Meters'!Q31</f>
        <v>50</v>
      </c>
      <c r="J31" s="24">
        <f>'Dep Adj - NARUCNwe Meters'!S31</f>
        <v>50</v>
      </c>
      <c r="L31" s="24">
        <f>'Dep Adj - NARUCNwe Meters'!M31</f>
        <v>416</v>
      </c>
      <c r="N31" s="24">
        <f>'Dep Adj - NARUCNwe Meters'!O31</f>
        <v>104</v>
      </c>
      <c r="O31" s="307"/>
    </row>
    <row r="32" spans="1:15" x14ac:dyDescent="0.3">
      <c r="A32" s="306"/>
      <c r="D32" s="175">
        <f>SUM(D31)</f>
        <v>20800</v>
      </c>
      <c r="F32" s="175">
        <f>SUM(F31)</f>
        <v>312</v>
      </c>
      <c r="L32" s="175">
        <f>SUM(L31)</f>
        <v>416</v>
      </c>
      <c r="N32" s="175">
        <f>SUM(N31)</f>
        <v>104</v>
      </c>
      <c r="O32" s="307"/>
    </row>
    <row r="33" spans="1:15" x14ac:dyDescent="0.3">
      <c r="A33" s="306"/>
      <c r="O33" s="307"/>
    </row>
    <row r="34" spans="1:15" x14ac:dyDescent="0.3">
      <c r="A34" s="306"/>
      <c r="B34" s="170" t="s">
        <v>222</v>
      </c>
      <c r="O34" s="307"/>
    </row>
    <row r="35" spans="1:15" x14ac:dyDescent="0.3">
      <c r="A35" s="306"/>
      <c r="B35" s="305" t="s">
        <v>223</v>
      </c>
      <c r="D35" s="24">
        <f>'Dep Adj - NARUCNwe Meters'!G35</f>
        <v>39069</v>
      </c>
      <c r="F35" s="24">
        <f>'Dep Adj - NARUCNwe Meters'!K35</f>
        <v>651.15</v>
      </c>
      <c r="H35" s="24">
        <f>'Dep Adj - NARUCNwe Meters'!Q35</f>
        <v>45</v>
      </c>
      <c r="J35" s="24">
        <f>'Dep Adj - NARUCNwe Meters'!S35</f>
        <v>45</v>
      </c>
      <c r="L35" s="24">
        <f>'Dep Adj - NARUCNwe Meters'!M35</f>
        <v>868.2</v>
      </c>
      <c r="N35" s="24">
        <f>'Dep Adj - NARUCNwe Meters'!O35</f>
        <v>217.05000000000007</v>
      </c>
      <c r="O35" s="307"/>
    </row>
    <row r="36" spans="1:15" x14ac:dyDescent="0.3">
      <c r="A36" s="306"/>
      <c r="D36" s="175">
        <f>SUM(D35)</f>
        <v>39069</v>
      </c>
      <c r="F36" s="175">
        <f>SUM(F35)</f>
        <v>651.15</v>
      </c>
      <c r="L36" s="175">
        <f>SUM(L35)</f>
        <v>868.2</v>
      </c>
      <c r="N36" s="175">
        <f>SUM(N35)</f>
        <v>217.05000000000007</v>
      </c>
      <c r="O36" s="307"/>
    </row>
    <row r="37" spans="1:15" x14ac:dyDescent="0.3">
      <c r="A37" s="306"/>
      <c r="O37" s="307"/>
    </row>
    <row r="38" spans="1:15" x14ac:dyDescent="0.3">
      <c r="A38" s="306"/>
      <c r="B38" s="24" t="s">
        <v>224</v>
      </c>
      <c r="O38" s="307"/>
    </row>
    <row r="39" spans="1:15" x14ac:dyDescent="0.3">
      <c r="A39" s="306"/>
      <c r="B39" s="305" t="s">
        <v>225</v>
      </c>
      <c r="D39" s="24">
        <f>'Dep Adj - NARUCNwe Meters'!G39</f>
        <v>16326</v>
      </c>
      <c r="F39" s="24">
        <f>'Dep Adj - NARUCNwe Meters'!K39</f>
        <v>0</v>
      </c>
      <c r="H39" s="24">
        <f>'Dep Adj - NARUCNwe Meters'!Q39</f>
        <v>5</v>
      </c>
      <c r="J39" s="24">
        <f>'Dep Adj - NARUCNwe Meters'!S39</f>
        <v>7</v>
      </c>
      <c r="L39" s="24">
        <f>'Dep Adj - NARUCNwe Meters'!M39</f>
        <v>27</v>
      </c>
      <c r="N39" s="24">
        <f>'Dep Adj - NARUCNwe Meters'!O39</f>
        <v>27</v>
      </c>
      <c r="O39" s="307"/>
    </row>
    <row r="40" spans="1:15" x14ac:dyDescent="0.3">
      <c r="A40" s="306"/>
      <c r="B40" s="305" t="s">
        <v>226</v>
      </c>
      <c r="D40" s="24">
        <f>'Dep Adj - NARUCNwe Meters'!G40</f>
        <v>16326</v>
      </c>
      <c r="F40" s="24">
        <f>'Dep Adj - NARUCNwe Meters'!K40</f>
        <v>0</v>
      </c>
      <c r="H40" s="24">
        <f>'Dep Adj - NARUCNwe Meters'!Q40</f>
        <v>5</v>
      </c>
      <c r="J40" s="24">
        <f>'Dep Adj - NARUCNwe Meters'!S40</f>
        <v>7</v>
      </c>
      <c r="L40" s="24">
        <f>'Dep Adj - NARUCNwe Meters'!M40</f>
        <v>18</v>
      </c>
      <c r="N40" s="24">
        <f>'Dep Adj - NARUCNwe Meters'!O40</f>
        <v>18</v>
      </c>
      <c r="O40" s="307"/>
    </row>
    <row r="41" spans="1:15" x14ac:dyDescent="0.3">
      <c r="A41" s="306"/>
      <c r="B41" s="305" t="s">
        <v>227</v>
      </c>
      <c r="D41" s="24">
        <f>'Dep Adj - NARUCNwe Meters'!G41</f>
        <v>15498</v>
      </c>
      <c r="F41" s="24">
        <f>'Dep Adj - NARUCNwe Meters'!K41</f>
        <v>0</v>
      </c>
      <c r="H41" s="24">
        <f>'Dep Adj - NARUCNwe Meters'!Q41</f>
        <v>5</v>
      </c>
      <c r="J41" s="24">
        <f>'Dep Adj - NARUCNwe Meters'!S41</f>
        <v>7</v>
      </c>
      <c r="L41" s="24">
        <f>'Dep Adj - NARUCNwe Meters'!M41</f>
        <v>38</v>
      </c>
      <c r="N41" s="24">
        <f>'Dep Adj - NARUCNwe Meters'!O41</f>
        <v>38</v>
      </c>
      <c r="O41" s="307"/>
    </row>
    <row r="42" spans="1:15" x14ac:dyDescent="0.3">
      <c r="A42" s="306"/>
      <c r="B42" s="305" t="s">
        <v>228</v>
      </c>
      <c r="D42" s="24">
        <f>'Dep Adj - NARUCNwe Meters'!G42</f>
        <v>21894.52</v>
      </c>
      <c r="F42" s="24">
        <f>'Dep Adj - NARUCNwe Meters'!K42</f>
        <v>4378.92</v>
      </c>
      <c r="H42" s="24">
        <f>'Dep Adj - NARUCNwe Meters'!Q42</f>
        <v>5</v>
      </c>
      <c r="J42" s="24">
        <f>'Dep Adj - NARUCNwe Meters'!S42</f>
        <v>7</v>
      </c>
      <c r="L42" s="24">
        <f>'Dep Adj - NARUCNwe Meters'!M42</f>
        <v>3127.79</v>
      </c>
      <c r="N42" s="24">
        <f>'Dep Adj - NARUCNwe Meters'!O42</f>
        <v>-1251.1300000000001</v>
      </c>
      <c r="O42" s="307"/>
    </row>
    <row r="43" spans="1:15" x14ac:dyDescent="0.3">
      <c r="A43" s="306"/>
      <c r="B43" s="305" t="s">
        <v>229</v>
      </c>
      <c r="D43" s="24">
        <f>'Dep Adj - NARUCNwe Meters'!G43</f>
        <v>28531.88</v>
      </c>
      <c r="F43" s="24">
        <f>'Dep Adj - NARUCNwe Meters'!K43</f>
        <v>5706.3600000000006</v>
      </c>
      <c r="H43" s="24">
        <f>'Dep Adj - NARUCNwe Meters'!Q43</f>
        <v>5</v>
      </c>
      <c r="J43" s="24">
        <f>'Dep Adj - NARUCNwe Meters'!S43</f>
        <v>7</v>
      </c>
      <c r="L43" s="24">
        <f>'Dep Adj - NARUCNwe Meters'!M43</f>
        <v>4075.98</v>
      </c>
      <c r="N43" s="24">
        <f>'Dep Adj - NARUCNwe Meters'!O43</f>
        <v>-1630.3800000000006</v>
      </c>
      <c r="O43" s="307"/>
    </row>
    <row r="44" spans="1:15" x14ac:dyDescent="0.3">
      <c r="A44" s="306"/>
      <c r="B44" s="305" t="s">
        <v>230</v>
      </c>
      <c r="D44" s="24">
        <f>'Dep Adj - NARUCNwe Meters'!G44</f>
        <v>32952.35</v>
      </c>
      <c r="F44" s="24">
        <f>'Dep Adj - NARUCNwe Meters'!K44</f>
        <v>6590.4699999999975</v>
      </c>
      <c r="H44" s="24">
        <f>'Dep Adj - NARUCNwe Meters'!Q44</f>
        <v>5</v>
      </c>
      <c r="J44" s="24">
        <f>'Dep Adj - NARUCNwe Meters'!S44</f>
        <v>7</v>
      </c>
      <c r="L44" s="24">
        <f>'Dep Adj - NARUCNwe Meters'!M44</f>
        <v>4707.4799999999996</v>
      </c>
      <c r="N44" s="24">
        <f>'Dep Adj - NARUCNwe Meters'!O44</f>
        <v>-1882.989999999998</v>
      </c>
      <c r="O44" s="307"/>
    </row>
    <row r="45" spans="1:15" x14ac:dyDescent="0.3">
      <c r="A45" s="306"/>
      <c r="B45" s="305" t="s">
        <v>231</v>
      </c>
      <c r="D45" s="24">
        <f>'Dep Adj - NARUCNwe Meters'!G45</f>
        <v>20897.62</v>
      </c>
      <c r="F45" s="24">
        <f>'Dep Adj - NARUCNwe Meters'!K45</f>
        <v>4179.5400000000009</v>
      </c>
      <c r="H45" s="24">
        <f>'Dep Adj - NARUCNwe Meters'!Q45</f>
        <v>5</v>
      </c>
      <c r="J45" s="24">
        <f>'Dep Adj - NARUCNwe Meters'!S45</f>
        <v>7</v>
      </c>
      <c r="L45" s="24">
        <f>'Dep Adj - NARUCNwe Meters'!M45</f>
        <v>2985.37</v>
      </c>
      <c r="N45" s="24">
        <f>'Dep Adj - NARUCNwe Meters'!O45</f>
        <v>-1194.170000000001</v>
      </c>
      <c r="O45" s="307"/>
    </row>
    <row r="46" spans="1:15" x14ac:dyDescent="0.3">
      <c r="A46" s="306"/>
      <c r="B46" s="305" t="s">
        <v>232</v>
      </c>
      <c r="D46" s="24">
        <f>'Dep Adj - NARUCNwe Meters'!G46</f>
        <v>20337.03</v>
      </c>
      <c r="F46" s="24">
        <f>'Dep Adj - NARUCNwe Meters'!K46</f>
        <v>4067.41</v>
      </c>
      <c r="H46" s="24">
        <f>'Dep Adj - NARUCNwe Meters'!Q46</f>
        <v>5</v>
      </c>
      <c r="J46" s="24">
        <f>'Dep Adj - NARUCNwe Meters'!S46</f>
        <v>7</v>
      </c>
      <c r="L46" s="24">
        <f>'Dep Adj - NARUCNwe Meters'!M46</f>
        <v>2905.29</v>
      </c>
      <c r="N46" s="24">
        <f>'Dep Adj - NARUCNwe Meters'!O46</f>
        <v>-1162.1199999999999</v>
      </c>
      <c r="O46" s="307"/>
    </row>
    <row r="47" spans="1:15" x14ac:dyDescent="0.3">
      <c r="A47" s="306"/>
      <c r="B47" s="305" t="s">
        <v>233</v>
      </c>
      <c r="D47" s="24">
        <f>'Dep Adj - NARUCNwe Meters'!G47</f>
        <v>30500</v>
      </c>
      <c r="F47" s="24">
        <f>'Dep Adj - NARUCNwe Meters'!K47</f>
        <v>4575</v>
      </c>
      <c r="H47" s="24">
        <f>'Dep Adj - NARUCNwe Meters'!Q47</f>
        <v>5</v>
      </c>
      <c r="J47" s="24">
        <f>'Dep Adj - NARUCNwe Meters'!S47</f>
        <v>7</v>
      </c>
      <c r="L47" s="24">
        <f>'Dep Adj - NARUCNwe Meters'!M47</f>
        <v>4357.1400000000003</v>
      </c>
      <c r="N47" s="24">
        <f>'Dep Adj - NARUCNwe Meters'!O47</f>
        <v>-217.85999999999967</v>
      </c>
      <c r="O47" s="307"/>
    </row>
    <row r="48" spans="1:15" x14ac:dyDescent="0.3">
      <c r="A48" s="306"/>
      <c r="B48" s="305" t="s">
        <v>234</v>
      </c>
      <c r="D48" s="24">
        <f>'Dep Adj - NARUCNwe Meters'!G48</f>
        <v>17000</v>
      </c>
      <c r="F48" s="24">
        <f>'Dep Adj - NARUCNwe Meters'!K48</f>
        <v>2266.67</v>
      </c>
      <c r="H48" s="24">
        <f>'Dep Adj - NARUCNwe Meters'!Q48</f>
        <v>5</v>
      </c>
      <c r="J48" s="24">
        <f>'Dep Adj - NARUCNwe Meters'!S48</f>
        <v>7</v>
      </c>
      <c r="L48" s="24">
        <f>'Dep Adj - NARUCNwe Meters'!M48</f>
        <v>2428.5700000000002</v>
      </c>
      <c r="N48" s="24">
        <f>'Dep Adj - NARUCNwe Meters'!O48</f>
        <v>161.90000000000009</v>
      </c>
      <c r="O48" s="307"/>
    </row>
    <row r="49" spans="1:15" x14ac:dyDescent="0.3">
      <c r="A49" s="306"/>
      <c r="B49" s="305" t="s">
        <v>235</v>
      </c>
      <c r="D49" s="24">
        <f>'Dep Adj - NARUCNwe Meters'!G49</f>
        <v>37987.800000000003</v>
      </c>
      <c r="F49" s="24">
        <f>'Dep Adj - NARUCNwe Meters'!K49</f>
        <v>2532.52</v>
      </c>
      <c r="H49" s="24">
        <f>'Dep Adj - NARUCNwe Meters'!Q49</f>
        <v>5</v>
      </c>
      <c r="J49" s="24">
        <f>'Dep Adj - NARUCNwe Meters'!S49</f>
        <v>7</v>
      </c>
      <c r="L49" s="24">
        <f>'Dep Adj - NARUCNwe Meters'!M49</f>
        <v>5426.83</v>
      </c>
      <c r="N49" s="24">
        <f>'Dep Adj - NARUCNwe Meters'!O49</f>
        <v>2894.31</v>
      </c>
      <c r="O49" s="307"/>
    </row>
    <row r="50" spans="1:15" x14ac:dyDescent="0.3">
      <c r="A50" s="306"/>
      <c r="B50" s="305" t="s">
        <v>236</v>
      </c>
      <c r="D50" s="24">
        <f>'Dep Adj - NARUCNwe Meters'!G50</f>
        <v>37987.800000000003</v>
      </c>
      <c r="F50" s="24">
        <f>'Dep Adj - NARUCNwe Meters'!K50</f>
        <v>2532.52</v>
      </c>
      <c r="H50" s="24">
        <f>'Dep Adj - NARUCNwe Meters'!Q50</f>
        <v>5</v>
      </c>
      <c r="J50" s="24">
        <f>'Dep Adj - NARUCNwe Meters'!S50</f>
        <v>7</v>
      </c>
      <c r="L50" s="24">
        <f>'Dep Adj - NARUCNwe Meters'!M50</f>
        <v>5426.83</v>
      </c>
      <c r="N50" s="24">
        <f>'Dep Adj - NARUCNwe Meters'!O50</f>
        <v>2894.31</v>
      </c>
      <c r="O50" s="307"/>
    </row>
    <row r="51" spans="1:15" x14ac:dyDescent="0.3">
      <c r="A51" s="306"/>
      <c r="B51" s="310" t="s">
        <v>365</v>
      </c>
      <c r="D51" s="175">
        <f>SUM(D39:D50)</f>
        <v>296239</v>
      </c>
      <c r="F51" s="175">
        <f>SUM(F39:F50)</f>
        <v>36829.409999999996</v>
      </c>
      <c r="L51" s="175">
        <f>SUM(L39:L50)</f>
        <v>35524.28</v>
      </c>
      <c r="N51" s="175">
        <f>SUM(N39:N50)</f>
        <v>-1305.1299999999987</v>
      </c>
      <c r="O51" s="307"/>
    </row>
    <row r="52" spans="1:15" x14ac:dyDescent="0.3">
      <c r="A52" s="306"/>
      <c r="O52" s="307"/>
    </row>
    <row r="53" spans="1:15" x14ac:dyDescent="0.3">
      <c r="A53" s="306"/>
      <c r="B53" s="170" t="s">
        <v>237</v>
      </c>
      <c r="O53" s="307"/>
    </row>
    <row r="54" spans="1:15" x14ac:dyDescent="0.3">
      <c r="A54" s="306"/>
      <c r="B54" s="305" t="s">
        <v>238</v>
      </c>
      <c r="D54" s="24">
        <f>'Dep Adj - NARUCNwe Meters'!G54</f>
        <v>1060000</v>
      </c>
      <c r="F54" s="24">
        <f>'Dep Adj - NARUCNwe Meters'!K54</f>
        <v>21200</v>
      </c>
      <c r="H54" s="24">
        <f>'Dep Adj - NARUCNwe Meters'!Q54</f>
        <v>50</v>
      </c>
      <c r="J54" s="24">
        <f>'Dep Adj - NARUCNwe Meters'!S54</f>
        <v>62.5</v>
      </c>
      <c r="L54" s="24">
        <f>'Dep Adj - NARUCNwe Meters'!M54</f>
        <v>16960</v>
      </c>
      <c r="N54" s="24">
        <f>'Dep Adj - NARUCNwe Meters'!O54</f>
        <v>-4240</v>
      </c>
      <c r="O54" s="307"/>
    </row>
    <row r="55" spans="1:15" x14ac:dyDescent="0.3">
      <c r="A55" s="306"/>
      <c r="B55" s="305" t="s">
        <v>238</v>
      </c>
      <c r="D55" s="24">
        <f>'Dep Adj - NARUCNwe Meters'!G55</f>
        <v>2047065</v>
      </c>
      <c r="F55" s="24">
        <f>'Dep Adj - NARUCNwe Meters'!K55</f>
        <v>40941.300000000003</v>
      </c>
      <c r="H55" s="24">
        <f>'Dep Adj - NARUCNwe Meters'!Q55</f>
        <v>50</v>
      </c>
      <c r="J55" s="24">
        <f>'Dep Adj - NARUCNwe Meters'!S55</f>
        <v>62.5</v>
      </c>
      <c r="L55" s="24">
        <f>'Dep Adj - NARUCNwe Meters'!M55</f>
        <v>32753.040000000001</v>
      </c>
      <c r="N55" s="24">
        <f>'Dep Adj - NARUCNwe Meters'!O55</f>
        <v>-8188.260000000002</v>
      </c>
      <c r="O55" s="307"/>
    </row>
    <row r="56" spans="1:15" x14ac:dyDescent="0.3">
      <c r="A56" s="306"/>
      <c r="B56" s="305" t="s">
        <v>239</v>
      </c>
      <c r="D56" s="24">
        <f>'Dep Adj - NARUCNwe Meters'!G56</f>
        <v>285223</v>
      </c>
      <c r="F56" s="24">
        <f>'Dep Adj - NARUCNwe Meters'!K56</f>
        <v>5704.46</v>
      </c>
      <c r="H56" s="24">
        <f>'Dep Adj - NARUCNwe Meters'!Q56</f>
        <v>50</v>
      </c>
      <c r="J56" s="24">
        <f>'Dep Adj - NARUCNwe Meters'!S56</f>
        <v>62.5</v>
      </c>
      <c r="L56" s="24">
        <f>'Dep Adj - NARUCNwe Meters'!M56</f>
        <v>4563.57</v>
      </c>
      <c r="N56" s="24">
        <f>'Dep Adj - NARUCNwe Meters'!O56</f>
        <v>-1140.8900000000003</v>
      </c>
      <c r="O56" s="307"/>
    </row>
    <row r="57" spans="1:15" x14ac:dyDescent="0.3">
      <c r="A57" s="306"/>
      <c r="B57" s="305" t="s">
        <v>240</v>
      </c>
      <c r="D57" s="24">
        <f>'Dep Adj - NARUCNwe Meters'!G57</f>
        <v>83203</v>
      </c>
      <c r="F57" s="24">
        <f>'Dep Adj - NARUCNwe Meters'!K57</f>
        <v>1664.06</v>
      </c>
      <c r="H57" s="24">
        <f>'Dep Adj - NARUCNwe Meters'!Q57</f>
        <v>50</v>
      </c>
      <c r="J57" s="24">
        <f>'Dep Adj - NARUCNwe Meters'!S57</f>
        <v>62.5</v>
      </c>
      <c r="L57" s="24">
        <f>'Dep Adj - NARUCNwe Meters'!M57</f>
        <v>1331.25</v>
      </c>
      <c r="N57" s="24">
        <f>'Dep Adj - NARUCNwe Meters'!O57</f>
        <v>-332.80999999999995</v>
      </c>
      <c r="O57" s="307"/>
    </row>
    <row r="58" spans="1:15" x14ac:dyDescent="0.3">
      <c r="A58" s="306"/>
      <c r="B58" s="305" t="s">
        <v>241</v>
      </c>
      <c r="D58" s="24">
        <f>'Dep Adj - NARUCNwe Meters'!G58</f>
        <v>18000</v>
      </c>
      <c r="F58" s="24">
        <f>'Dep Adj - NARUCNwe Meters'!K58</f>
        <v>0</v>
      </c>
      <c r="H58" s="24">
        <f>'Dep Adj - NARUCNwe Meters'!Q58</f>
        <v>20</v>
      </c>
      <c r="J58" s="24">
        <f>'Dep Adj - NARUCNwe Meters'!S58</f>
        <v>62.5</v>
      </c>
      <c r="L58" s="24">
        <f>'Dep Adj - NARUCNwe Meters'!M58</f>
        <v>0</v>
      </c>
      <c r="N58" s="24">
        <f>'Dep Adj - NARUCNwe Meters'!O58</f>
        <v>0</v>
      </c>
      <c r="O58" s="307"/>
    </row>
    <row r="59" spans="1:15" x14ac:dyDescent="0.3">
      <c r="A59" s="306"/>
      <c r="B59" s="305" t="s">
        <v>242</v>
      </c>
      <c r="D59" s="24">
        <f>'Dep Adj - NARUCNwe Meters'!G59</f>
        <v>1709559</v>
      </c>
      <c r="F59" s="24">
        <f>'Dep Adj - NARUCNwe Meters'!K59</f>
        <v>34191.18</v>
      </c>
      <c r="H59" s="24">
        <f>'Dep Adj - NARUCNwe Meters'!Q59</f>
        <v>50</v>
      </c>
      <c r="J59" s="24">
        <f>'Dep Adj - NARUCNwe Meters'!S59</f>
        <v>62.5</v>
      </c>
      <c r="L59" s="24">
        <f>'Dep Adj - NARUCNwe Meters'!M59</f>
        <v>27352.94</v>
      </c>
      <c r="N59" s="24">
        <f>'Dep Adj - NARUCNwe Meters'!O59</f>
        <v>-6838.2400000000016</v>
      </c>
      <c r="O59" s="307"/>
    </row>
    <row r="60" spans="1:15" x14ac:dyDescent="0.3">
      <c r="A60" s="306"/>
      <c r="B60" s="305" t="s">
        <v>243</v>
      </c>
      <c r="D60" s="24">
        <f>'Dep Adj - NARUCNwe Meters'!G60</f>
        <v>993078</v>
      </c>
      <c r="F60" s="24">
        <f>'Dep Adj - NARUCNwe Meters'!K60</f>
        <v>19861.560000000001</v>
      </c>
      <c r="H60" s="24">
        <f>'Dep Adj - NARUCNwe Meters'!Q60</f>
        <v>50</v>
      </c>
      <c r="J60" s="24">
        <f>'Dep Adj - NARUCNwe Meters'!S60</f>
        <v>62.5</v>
      </c>
      <c r="L60" s="24">
        <f>'Dep Adj - NARUCNwe Meters'!M60</f>
        <v>15889.25</v>
      </c>
      <c r="N60" s="24">
        <f>'Dep Adj - NARUCNwe Meters'!O60</f>
        <v>-3972.3100000000013</v>
      </c>
      <c r="O60" s="307"/>
    </row>
    <row r="61" spans="1:15" x14ac:dyDescent="0.3">
      <c r="A61" s="306"/>
      <c r="B61" s="305" t="s">
        <v>244</v>
      </c>
      <c r="D61" s="24">
        <f>'Dep Adj - NARUCNwe Meters'!G61</f>
        <v>1722021</v>
      </c>
      <c r="F61" s="24">
        <f>'Dep Adj - NARUCNwe Meters'!K61</f>
        <v>34440.42</v>
      </c>
      <c r="H61" s="24">
        <f>'Dep Adj - NARUCNwe Meters'!Q61</f>
        <v>50</v>
      </c>
      <c r="J61" s="24">
        <f>'Dep Adj - NARUCNwe Meters'!S61</f>
        <v>62.5</v>
      </c>
      <c r="L61" s="24">
        <f>'Dep Adj - NARUCNwe Meters'!M61</f>
        <v>27552.34</v>
      </c>
      <c r="N61" s="24">
        <f>'Dep Adj - NARUCNwe Meters'!O61</f>
        <v>-6888.0799999999981</v>
      </c>
      <c r="O61" s="307"/>
    </row>
    <row r="62" spans="1:15" x14ac:dyDescent="0.3">
      <c r="A62" s="306"/>
      <c r="B62" s="305" t="s">
        <v>245</v>
      </c>
      <c r="D62" s="24">
        <f>'Dep Adj - NARUCNwe Meters'!G62</f>
        <v>3000</v>
      </c>
      <c r="F62" s="24">
        <f>'Dep Adj - NARUCNwe Meters'!K62</f>
        <v>0</v>
      </c>
      <c r="H62" s="24">
        <f>'Dep Adj - NARUCNwe Meters'!Q62</f>
        <v>5</v>
      </c>
      <c r="J62" s="24">
        <f>'Dep Adj - NARUCNwe Meters'!S62</f>
        <v>62.5</v>
      </c>
      <c r="L62" s="24">
        <f>'Dep Adj - NARUCNwe Meters'!M62</f>
        <v>0</v>
      </c>
      <c r="N62" s="24">
        <f>'Dep Adj - NARUCNwe Meters'!O62</f>
        <v>0</v>
      </c>
      <c r="O62" s="307"/>
    </row>
    <row r="63" spans="1:15" x14ac:dyDescent="0.3">
      <c r="A63" s="306"/>
      <c r="B63" s="305" t="s">
        <v>246</v>
      </c>
      <c r="D63" s="24">
        <f>'Dep Adj - NARUCNwe Meters'!G63</f>
        <v>4228030</v>
      </c>
      <c r="F63" s="24">
        <f>'Dep Adj - NARUCNwe Meters'!K63</f>
        <v>84560.6</v>
      </c>
      <c r="H63" s="24">
        <f>'Dep Adj - NARUCNwe Meters'!Q63</f>
        <v>50</v>
      </c>
      <c r="J63" s="24">
        <f>'Dep Adj - NARUCNwe Meters'!S63</f>
        <v>62.5</v>
      </c>
      <c r="L63" s="24">
        <f>'Dep Adj - NARUCNwe Meters'!M63</f>
        <v>67648.479999999996</v>
      </c>
      <c r="N63" s="24">
        <f>'Dep Adj - NARUCNwe Meters'!O63</f>
        <v>-16912.12000000001</v>
      </c>
      <c r="O63" s="307"/>
    </row>
    <row r="64" spans="1:15" x14ac:dyDescent="0.3">
      <c r="A64" s="306"/>
      <c r="B64" s="305" t="s">
        <v>247</v>
      </c>
      <c r="D64" s="24">
        <f>'Dep Adj - NARUCNwe Meters'!G64</f>
        <v>4073608</v>
      </c>
      <c r="F64" s="24">
        <f>'Dep Adj - NARUCNwe Meters'!K64</f>
        <v>81472.160000000003</v>
      </c>
      <c r="H64" s="24">
        <f>'Dep Adj - NARUCNwe Meters'!Q64</f>
        <v>50</v>
      </c>
      <c r="J64" s="24">
        <f>'Dep Adj - NARUCNwe Meters'!S64</f>
        <v>62.5</v>
      </c>
      <c r="L64" s="24">
        <f>'Dep Adj - NARUCNwe Meters'!M64</f>
        <v>65177.73</v>
      </c>
      <c r="N64" s="24">
        <f>'Dep Adj - NARUCNwe Meters'!O64</f>
        <v>-16294.43</v>
      </c>
      <c r="O64" s="307"/>
    </row>
    <row r="65" spans="1:15" x14ac:dyDescent="0.3">
      <c r="A65" s="306"/>
      <c r="B65" s="305" t="s">
        <v>248</v>
      </c>
      <c r="D65" s="24">
        <f>'Dep Adj - NARUCNwe Meters'!G65</f>
        <v>2632374</v>
      </c>
      <c r="F65" s="24">
        <f>'Dep Adj - NARUCNwe Meters'!K65</f>
        <v>52647.48</v>
      </c>
      <c r="H65" s="24">
        <f>'Dep Adj - NARUCNwe Meters'!Q65</f>
        <v>50</v>
      </c>
      <c r="J65" s="24">
        <f>'Dep Adj - NARUCNwe Meters'!S65</f>
        <v>62.5</v>
      </c>
      <c r="L65" s="24">
        <f>'Dep Adj - NARUCNwe Meters'!M65</f>
        <v>42117.98</v>
      </c>
      <c r="N65" s="24">
        <f>'Dep Adj - NARUCNwe Meters'!O65</f>
        <v>-10529.5</v>
      </c>
      <c r="O65" s="307"/>
    </row>
    <row r="66" spans="1:15" x14ac:dyDescent="0.3">
      <c r="A66" s="306"/>
      <c r="B66" s="305" t="s">
        <v>249</v>
      </c>
      <c r="D66" s="24">
        <f>'Dep Adj - NARUCNwe Meters'!G66</f>
        <v>1317000</v>
      </c>
      <c r="F66" s="24">
        <f>'Dep Adj - NARUCNwe Meters'!K66</f>
        <v>26340</v>
      </c>
      <c r="H66" s="24">
        <f>'Dep Adj - NARUCNwe Meters'!Q66</f>
        <v>50</v>
      </c>
      <c r="J66" s="24">
        <f>'Dep Adj - NARUCNwe Meters'!S66</f>
        <v>62.5</v>
      </c>
      <c r="L66" s="24">
        <f>'Dep Adj - NARUCNwe Meters'!M66</f>
        <v>21072</v>
      </c>
      <c r="N66" s="24">
        <f>'Dep Adj - NARUCNwe Meters'!O66</f>
        <v>-5268</v>
      </c>
      <c r="O66" s="307"/>
    </row>
    <row r="67" spans="1:15" x14ac:dyDescent="0.3">
      <c r="A67" s="306"/>
      <c r="B67" s="305" t="s">
        <v>250</v>
      </c>
      <c r="D67" s="24">
        <f>'Dep Adj - NARUCNwe Meters'!G67</f>
        <v>1623704</v>
      </c>
      <c r="F67" s="24">
        <f>'Dep Adj - NARUCNwe Meters'!K67</f>
        <v>32474.080000000002</v>
      </c>
      <c r="H67" s="24">
        <f>'Dep Adj - NARUCNwe Meters'!Q67</f>
        <v>50</v>
      </c>
      <c r="J67" s="24">
        <f>'Dep Adj - NARUCNwe Meters'!S67</f>
        <v>62.5</v>
      </c>
      <c r="L67" s="24">
        <f>'Dep Adj - NARUCNwe Meters'!M67</f>
        <v>25979.26</v>
      </c>
      <c r="N67" s="24">
        <f>'Dep Adj - NARUCNwe Meters'!O67</f>
        <v>-6494.8200000000033</v>
      </c>
      <c r="O67" s="307"/>
    </row>
    <row r="68" spans="1:15" x14ac:dyDescent="0.3">
      <c r="A68" s="306"/>
      <c r="B68" s="305" t="s">
        <v>251</v>
      </c>
      <c r="D68" s="24">
        <f>'Dep Adj - NARUCNwe Meters'!G68</f>
        <v>729990.84</v>
      </c>
      <c r="F68" s="24">
        <f>'Dep Adj - NARUCNwe Meters'!K68</f>
        <v>14599.82</v>
      </c>
      <c r="H68" s="24">
        <f>'Dep Adj - NARUCNwe Meters'!Q68</f>
        <v>50</v>
      </c>
      <c r="J68" s="24">
        <f>'Dep Adj - NARUCNwe Meters'!S68</f>
        <v>62.5</v>
      </c>
      <c r="L68" s="24">
        <f>'Dep Adj - NARUCNwe Meters'!M68</f>
        <v>11679.85</v>
      </c>
      <c r="N68" s="24">
        <f>'Dep Adj - NARUCNwe Meters'!O68</f>
        <v>-2919.9699999999993</v>
      </c>
      <c r="O68" s="307"/>
    </row>
    <row r="69" spans="1:15" x14ac:dyDescent="0.3">
      <c r="A69" s="306"/>
      <c r="B69" s="305" t="s">
        <v>252</v>
      </c>
      <c r="D69" s="24">
        <f>'Dep Adj - NARUCNwe Meters'!G69</f>
        <v>81160</v>
      </c>
      <c r="F69" s="24">
        <f>'Dep Adj - NARUCNwe Meters'!K69</f>
        <v>973.92</v>
      </c>
      <c r="H69" s="24">
        <f>'Dep Adj - NARUCNwe Meters'!Q69</f>
        <v>62.5</v>
      </c>
      <c r="J69" s="24">
        <f>'Dep Adj - NARUCNwe Meters'!S69</f>
        <v>62.5</v>
      </c>
      <c r="L69" s="24">
        <f>'Dep Adj - NARUCNwe Meters'!M69</f>
        <v>1298.56</v>
      </c>
      <c r="N69" s="24">
        <f>'Dep Adj - NARUCNwe Meters'!O69</f>
        <v>324.64</v>
      </c>
      <c r="O69" s="307"/>
    </row>
    <row r="70" spans="1:15" x14ac:dyDescent="0.3">
      <c r="A70" s="306"/>
      <c r="B70" s="305" t="s">
        <v>253</v>
      </c>
      <c r="D70" s="24">
        <f>'Dep Adj - NARUCNwe Meters'!G70</f>
        <v>953292.12</v>
      </c>
      <c r="F70" s="24">
        <f>'Dep Adj - NARUCNwe Meters'!K70</f>
        <v>11439.51</v>
      </c>
      <c r="H70" s="24">
        <f>'Dep Adj - NARUCNwe Meters'!Q70</f>
        <v>62.5</v>
      </c>
      <c r="J70" s="24">
        <f>'Dep Adj - NARUCNwe Meters'!S70</f>
        <v>62.5</v>
      </c>
      <c r="L70" s="24">
        <f>'Dep Adj - NARUCNwe Meters'!M70</f>
        <v>15252.67</v>
      </c>
      <c r="N70" s="24">
        <f>'Dep Adj - NARUCNwe Meters'!O70</f>
        <v>3813.16</v>
      </c>
      <c r="O70" s="307"/>
    </row>
    <row r="71" spans="1:15" x14ac:dyDescent="0.3">
      <c r="A71" s="306"/>
      <c r="B71" s="310" t="s">
        <v>366</v>
      </c>
      <c r="D71" s="175">
        <f>SUM(D54:D70)</f>
        <v>23560307.960000001</v>
      </c>
      <c r="F71" s="175">
        <f>SUM(F54:F70)</f>
        <v>462510.55</v>
      </c>
      <c r="L71" s="175">
        <f>SUM(L54:L70)</f>
        <v>376628.92</v>
      </c>
      <c r="N71" s="175">
        <f>SUM(N54:N70)</f>
        <v>-85881.630000000019</v>
      </c>
      <c r="O71" s="307"/>
    </row>
    <row r="72" spans="1:15" x14ac:dyDescent="0.3">
      <c r="A72" s="306"/>
      <c r="B72" s="305"/>
      <c r="O72" s="307"/>
    </row>
    <row r="73" spans="1:15" x14ac:dyDescent="0.3">
      <c r="A73" s="306"/>
      <c r="B73" s="170" t="s">
        <v>254</v>
      </c>
      <c r="O73" s="307"/>
    </row>
    <row r="74" spans="1:15" x14ac:dyDescent="0.3">
      <c r="A74" s="306"/>
      <c r="B74" s="305" t="s">
        <v>255</v>
      </c>
      <c r="D74" s="24">
        <f>'Dep Adj - NARUCNwe Meters'!G74</f>
        <v>30480</v>
      </c>
      <c r="F74" s="24">
        <f>'Dep Adj - NARUCNwe Meters'!K74</f>
        <v>508</v>
      </c>
      <c r="H74" s="24">
        <f>'Dep Adj - NARUCNwe Meters'!Q74</f>
        <v>45</v>
      </c>
      <c r="J74" s="24">
        <f>'Dep Adj - NARUCNwe Meters'!S74</f>
        <v>45</v>
      </c>
      <c r="L74" s="24">
        <f>'Dep Adj - NARUCNwe Meters'!M74</f>
        <v>677.33</v>
      </c>
      <c r="N74" s="24">
        <f>'Dep Adj - NARUCNwe Meters'!O74</f>
        <v>169.33000000000004</v>
      </c>
      <c r="O74" s="307"/>
    </row>
    <row r="75" spans="1:15" x14ac:dyDescent="0.3">
      <c r="A75" s="306"/>
      <c r="B75" s="305" t="s">
        <v>256</v>
      </c>
      <c r="D75" s="24">
        <f>'Dep Adj - NARUCNwe Meters'!G75</f>
        <v>10160</v>
      </c>
      <c r="F75" s="24">
        <f>'Dep Adj - NARUCNwe Meters'!K75</f>
        <v>169.33</v>
      </c>
      <c r="H75" s="24">
        <f>'Dep Adj - NARUCNwe Meters'!Q75</f>
        <v>45</v>
      </c>
      <c r="J75" s="24">
        <f>'Dep Adj - NARUCNwe Meters'!S75</f>
        <v>45</v>
      </c>
      <c r="L75" s="24">
        <f>'Dep Adj - NARUCNwe Meters'!M75</f>
        <v>225.78</v>
      </c>
      <c r="N75" s="24">
        <f>'Dep Adj - NARUCNwe Meters'!O75</f>
        <v>56.449999999999989</v>
      </c>
      <c r="O75" s="307"/>
    </row>
    <row r="76" spans="1:15" x14ac:dyDescent="0.3">
      <c r="A76" s="306"/>
      <c r="B76" s="308" t="s">
        <v>367</v>
      </c>
      <c r="D76" s="175">
        <f>SUM(D74:D75)</f>
        <v>40640</v>
      </c>
      <c r="F76" s="175">
        <f>SUM(F74:F75)</f>
        <v>677.33</v>
      </c>
      <c r="L76" s="175">
        <f>SUM(L74:L75)</f>
        <v>903.11</v>
      </c>
      <c r="N76" s="175">
        <f>SUM(N74:N75)</f>
        <v>225.78000000000003</v>
      </c>
      <c r="O76" s="307"/>
    </row>
    <row r="77" spans="1:15" x14ac:dyDescent="0.3">
      <c r="A77" s="306"/>
      <c r="B77" s="170" t="s">
        <v>386</v>
      </c>
      <c r="O77" s="307"/>
    </row>
    <row r="78" spans="1:15" x14ac:dyDescent="0.3">
      <c r="A78" s="306"/>
      <c r="B78" s="305" t="s">
        <v>387</v>
      </c>
      <c r="D78" s="304">
        <v>109350</v>
      </c>
      <c r="F78" s="304">
        <v>0</v>
      </c>
      <c r="H78" s="24">
        <v>0</v>
      </c>
      <c r="J78" s="24">
        <v>40</v>
      </c>
      <c r="L78" s="304">
        <f>'Dep Adj - NARUCNwe Meters'!M78</f>
        <v>2733.75</v>
      </c>
      <c r="N78" s="304">
        <f>'Dep Adj - NARUCNwe Meters'!O78</f>
        <v>2733.75</v>
      </c>
      <c r="O78" s="307"/>
    </row>
    <row r="79" spans="1:15" x14ac:dyDescent="0.3">
      <c r="A79" s="306"/>
      <c r="O79" s="307"/>
    </row>
    <row r="80" spans="1:15" ht="14.5" thickBot="1" x14ac:dyDescent="0.35">
      <c r="A80" s="306"/>
      <c r="B80" s="24" t="s">
        <v>368</v>
      </c>
      <c r="D80" s="177">
        <f>SUM(D9,D23,D28,D32,D36,D51,D71,D76,D78)</f>
        <v>24564031.050000001</v>
      </c>
      <c r="F80" s="177">
        <f>SUM(F9,F23,F28,F32,F36,F51,F71,F76,F78)</f>
        <v>519890.92</v>
      </c>
      <c r="L80" s="177">
        <f>SUM(L9,L23,L28,L32,L36,L51,L71,L76,L78)</f>
        <v>431398.12999999995</v>
      </c>
      <c r="N80" s="177">
        <f>SUM(N9,N23,N28,N32,N36,N51,N71,N76,N78)</f>
        <v>-88492.790000000023</v>
      </c>
      <c r="O80" s="307"/>
    </row>
    <row r="81" spans="1:15" ht="14.5" thickTop="1" x14ac:dyDescent="0.3">
      <c r="A81" s="311"/>
      <c r="B81" s="304"/>
      <c r="C81" s="304"/>
      <c r="D81" s="304"/>
      <c r="E81" s="304"/>
      <c r="F81" s="304"/>
      <c r="G81" s="304"/>
      <c r="H81" s="304"/>
      <c r="I81" s="304"/>
      <c r="J81" s="304"/>
      <c r="K81" s="304"/>
      <c r="L81" s="304"/>
      <c r="M81" s="304"/>
      <c r="N81" s="304"/>
      <c r="O81" s="312"/>
    </row>
    <row r="83" spans="1:15" x14ac:dyDescent="0.3">
      <c r="D83" s="24">
        <v>24454681.050000001</v>
      </c>
      <c r="H83" s="24">
        <f>'SAO - DSC'!F34</f>
        <v>519891</v>
      </c>
    </row>
    <row r="85" spans="1:15" x14ac:dyDescent="0.3">
      <c r="D85" s="24">
        <f>D83-D80</f>
        <v>-109350</v>
      </c>
    </row>
  </sheetData>
  <mergeCells count="4">
    <mergeCell ref="A1:O1"/>
    <mergeCell ref="A2:O2"/>
    <mergeCell ref="H5:J5"/>
    <mergeCell ref="A3:O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0BF6-99FE-438B-B9C1-68A337EF6CAE}">
  <dimension ref="A1:Z19"/>
  <sheetViews>
    <sheetView showGridLines="0" workbookViewId="0">
      <selection activeCell="A2" sqref="A2:Y18"/>
    </sheetView>
  </sheetViews>
  <sheetFormatPr defaultColWidth="8.84375" defaultRowHeight="14" x14ac:dyDescent="0.3"/>
  <cols>
    <col min="1" max="1" width="1.69140625" style="28" customWidth="1"/>
    <col min="2" max="2" width="18.07421875" style="28" customWidth="1"/>
    <col min="3" max="3" width="1.3046875" style="28" customWidth="1"/>
    <col min="4" max="4" width="13" style="28" customWidth="1"/>
    <col min="5" max="5" width="1.765625" style="28" customWidth="1"/>
    <col min="6" max="6" width="9.84375" style="28" customWidth="1"/>
    <col min="7" max="7" width="1.765625" style="28" customWidth="1"/>
    <col min="8" max="8" width="9.84375" style="28" customWidth="1"/>
    <col min="9" max="9" width="1.765625" style="28" customWidth="1"/>
    <col min="10" max="10" width="9.84375" style="28" customWidth="1"/>
    <col min="11" max="11" width="1.3046875" style="28" customWidth="1"/>
    <col min="12" max="12" width="9.84375" style="28" customWidth="1"/>
    <col min="13" max="13" width="1.3046875" style="28" customWidth="1"/>
    <col min="14" max="14" width="9.84375" style="28" customWidth="1"/>
    <col min="15" max="15" width="1.3046875" style="28" customWidth="1"/>
    <col min="16" max="16" width="9.84375" style="28" customWidth="1"/>
    <col min="17" max="17" width="1.3046875" style="28" customWidth="1"/>
    <col min="18" max="18" width="9.84375" style="28" customWidth="1"/>
    <col min="19" max="19" width="1.3046875" style="28" customWidth="1"/>
    <col min="20" max="20" width="9.84375" style="28" customWidth="1"/>
    <col min="21" max="21" width="1.765625" style="28" customWidth="1"/>
    <col min="22" max="22" width="9.84375" style="28" customWidth="1"/>
    <col min="23" max="23" width="0.765625" style="28" customWidth="1"/>
    <col min="24" max="24" width="9.84375" style="28" customWidth="1"/>
    <col min="25" max="25" width="1.765625" style="28" customWidth="1"/>
    <col min="26" max="27" width="8.84375" style="28"/>
    <col min="28" max="28" width="9" style="28" bestFit="1" customWidth="1"/>
    <col min="29" max="16384" width="8.84375" style="28"/>
  </cols>
  <sheetData>
    <row r="1" spans="1:26" ht="15.5" x14ac:dyDescent="0.35">
      <c r="A1" s="27"/>
    </row>
    <row r="2" spans="1:26" ht="15.5" x14ac:dyDescent="0.35">
      <c r="A2" s="67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6" ht="18" x14ac:dyDescent="0.4">
      <c r="A3" s="68"/>
      <c r="B3" s="381" t="s">
        <v>372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1"/>
    </row>
    <row r="4" spans="1:26" ht="18" x14ac:dyDescent="0.4">
      <c r="A4" s="68"/>
      <c r="B4" s="382" t="s">
        <v>28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1"/>
    </row>
    <row r="5" spans="1:26" ht="18" x14ac:dyDescent="0.35">
      <c r="A5" s="68"/>
      <c r="B5" s="383" t="str">
        <f>Adjustments!B1</f>
        <v>Morgan County Water District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1"/>
      <c r="Z5" s="32"/>
    </row>
    <row r="6" spans="1:26" ht="15.5" x14ac:dyDescent="0.35">
      <c r="A6" s="68"/>
      <c r="B6" s="384" t="s">
        <v>167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1"/>
    </row>
    <row r="7" spans="1:26" s="34" customFormat="1" ht="15.5" x14ac:dyDescent="0.35">
      <c r="A7" s="27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6" ht="15.75" customHeight="1" x14ac:dyDescent="0.35">
      <c r="A8" s="68"/>
      <c r="B8" s="34"/>
      <c r="C8" s="34"/>
      <c r="D8" s="420" t="s">
        <v>191</v>
      </c>
      <c r="E8" s="420"/>
      <c r="F8" s="420"/>
      <c r="G8" s="34"/>
      <c r="H8" s="420" t="s">
        <v>192</v>
      </c>
      <c r="I8" s="420"/>
      <c r="J8" s="420"/>
      <c r="K8" s="34"/>
      <c r="L8" s="420" t="s">
        <v>193</v>
      </c>
      <c r="M8" s="420"/>
      <c r="N8" s="420"/>
      <c r="O8" s="34"/>
      <c r="P8" s="420" t="s">
        <v>194</v>
      </c>
      <c r="Q8" s="420"/>
      <c r="R8" s="420"/>
      <c r="S8" s="34"/>
      <c r="T8" s="420" t="s">
        <v>195</v>
      </c>
      <c r="U8" s="420"/>
      <c r="V8" s="420"/>
      <c r="W8" s="34"/>
      <c r="X8" s="40" t="s">
        <v>196</v>
      </c>
      <c r="Y8" s="31"/>
    </row>
    <row r="9" spans="1:26" ht="15.5" x14ac:dyDescent="0.35">
      <c r="A9" s="68"/>
      <c r="B9" s="43" t="s">
        <v>58</v>
      </c>
      <c r="C9" s="34"/>
      <c r="D9" s="43" t="s">
        <v>29</v>
      </c>
      <c r="E9" s="34"/>
      <c r="F9" s="166" t="s">
        <v>30</v>
      </c>
      <c r="G9" s="34"/>
      <c r="H9" s="43" t="s">
        <v>29</v>
      </c>
      <c r="I9" s="34"/>
      <c r="J9" s="166" t="s">
        <v>30</v>
      </c>
      <c r="K9" s="34"/>
      <c r="L9" s="43" t="s">
        <v>29</v>
      </c>
      <c r="M9" s="34"/>
      <c r="N9" s="166" t="s">
        <v>30</v>
      </c>
      <c r="O9" s="34"/>
      <c r="P9" s="43" t="s">
        <v>29</v>
      </c>
      <c r="Q9" s="34"/>
      <c r="R9" s="166" t="s">
        <v>30</v>
      </c>
      <c r="S9" s="34"/>
      <c r="T9" s="43" t="s">
        <v>29</v>
      </c>
      <c r="U9" s="34"/>
      <c r="V9" s="166" t="s">
        <v>30</v>
      </c>
      <c r="W9" s="34"/>
      <c r="X9" s="43" t="s">
        <v>141</v>
      </c>
      <c r="Y9" s="31"/>
    </row>
    <row r="10" spans="1:26" ht="15.5" x14ac:dyDescent="0.35">
      <c r="A10" s="68"/>
      <c r="B10" s="36" t="s">
        <v>197</v>
      </c>
      <c r="C10" s="34"/>
      <c r="D10" s="37">
        <f>'Amt Schedules'!C9</f>
        <v>9000</v>
      </c>
      <c r="E10" s="37"/>
      <c r="F10" s="37">
        <f>'Amt Schedules'!E9</f>
        <v>6435</v>
      </c>
      <c r="G10" s="37"/>
      <c r="H10" s="37">
        <f>'Amt Schedules'!C10</f>
        <v>9000</v>
      </c>
      <c r="I10" s="37"/>
      <c r="J10" s="37">
        <f>'Amt Schedules'!E10</f>
        <v>6143</v>
      </c>
      <c r="K10" s="37"/>
      <c r="L10" s="37">
        <f>'Amt Schedules'!C11</f>
        <v>9500</v>
      </c>
      <c r="M10" s="37"/>
      <c r="N10" s="37">
        <f>'Amt Schedules'!E11</f>
        <v>5850</v>
      </c>
      <c r="O10" s="37"/>
      <c r="P10" s="37">
        <f>'Amt Schedules'!C12</f>
        <v>10000</v>
      </c>
      <c r="Q10" s="37"/>
      <c r="R10" s="37">
        <f>'Amt Schedules'!E12</f>
        <v>5541</v>
      </c>
      <c r="S10" s="37"/>
      <c r="T10" s="37">
        <f>'Amt Schedules'!C13</f>
        <v>10000</v>
      </c>
      <c r="U10" s="37"/>
      <c r="V10" s="37">
        <f>'Amt Schedules'!E13</f>
        <v>5216</v>
      </c>
      <c r="W10" s="34"/>
      <c r="X10" s="37">
        <v>76685</v>
      </c>
      <c r="Y10" s="31"/>
    </row>
    <row r="11" spans="1:26" ht="15.5" x14ac:dyDescent="0.35">
      <c r="A11" s="68"/>
      <c r="B11" s="36" t="s">
        <v>198</v>
      </c>
      <c r="C11" s="34"/>
      <c r="D11" s="38">
        <f>'Amt Schedules'!K9</f>
        <v>22000</v>
      </c>
      <c r="E11" s="38"/>
      <c r="F11" s="38">
        <f>'Amt Schedules'!M9</f>
        <v>30979</v>
      </c>
      <c r="G11" s="38"/>
      <c r="H11" s="38">
        <f>'Amt Schedules'!K10</f>
        <v>22000</v>
      </c>
      <c r="I11" s="38"/>
      <c r="J11" s="38">
        <f>'Amt Schedules'!M10</f>
        <v>30071</v>
      </c>
      <c r="K11" s="38"/>
      <c r="L11" s="38">
        <f>'Amt Schedules'!K11</f>
        <v>23000</v>
      </c>
      <c r="M11" s="38"/>
      <c r="N11" s="38">
        <f>'Amt Schedules'!M11</f>
        <v>29164</v>
      </c>
      <c r="O11" s="38"/>
      <c r="P11" s="38">
        <f>'Amt Schedules'!K12</f>
        <v>24000</v>
      </c>
      <c r="Q11" s="38"/>
      <c r="R11" s="38">
        <f>'Amt Schedules'!M12</f>
        <v>28215</v>
      </c>
      <c r="S11" s="38"/>
      <c r="T11" s="38">
        <f>'Amt Schedules'!K13</f>
        <v>25000</v>
      </c>
      <c r="U11" s="38"/>
      <c r="V11" s="38">
        <f>'Amt Schedules'!M13</f>
        <v>27225</v>
      </c>
      <c r="W11" s="34"/>
      <c r="X11" s="34">
        <v>261654</v>
      </c>
      <c r="Y11" s="31"/>
    </row>
    <row r="12" spans="1:26" ht="15.5" x14ac:dyDescent="0.35">
      <c r="A12" s="68"/>
      <c r="B12" s="36" t="s">
        <v>199</v>
      </c>
      <c r="C12" s="34"/>
      <c r="D12" s="38">
        <f>'Amt Schedules'!S9</f>
        <v>27680</v>
      </c>
      <c r="E12" s="38"/>
      <c r="F12" s="38">
        <f>'Amt Schedules'!U9</f>
        <v>48333</v>
      </c>
      <c r="G12" s="38"/>
      <c r="H12" s="38">
        <f>'Amt Schedules'!S10</f>
        <v>28820</v>
      </c>
      <c r="I12" s="38"/>
      <c r="J12" s="38">
        <f>'Amt Schedules'!U10</f>
        <v>47191</v>
      </c>
      <c r="K12" s="38"/>
      <c r="L12" s="38">
        <f>'Amt Schedules'!S10</f>
        <v>28820</v>
      </c>
      <c r="M12" s="38"/>
      <c r="N12" s="38">
        <f>'Amt Schedules'!U11</f>
        <v>46002</v>
      </c>
      <c r="O12" s="38"/>
      <c r="P12" s="38">
        <f>'Amt Schedules'!S12</f>
        <v>31250</v>
      </c>
      <c r="Q12" s="38"/>
      <c r="R12" s="38">
        <f>'Amt Schedules'!U12</f>
        <v>44764</v>
      </c>
      <c r="S12" s="38"/>
      <c r="T12" s="38">
        <f>'Amt Schedules'!S13</f>
        <v>32540</v>
      </c>
      <c r="U12" s="38"/>
      <c r="V12" s="38">
        <f>'Amt Schedules'!U13</f>
        <v>43475</v>
      </c>
      <c r="W12" s="34"/>
      <c r="X12" s="34">
        <v>380065</v>
      </c>
      <c r="Y12" s="31"/>
    </row>
    <row r="13" spans="1:26" ht="15.5" x14ac:dyDescent="0.35">
      <c r="A13" s="68"/>
      <c r="B13" s="36" t="s">
        <v>200</v>
      </c>
      <c r="C13" s="34"/>
      <c r="D13" s="38">
        <f>'Amt Schedules'!AA9</f>
        <v>6500</v>
      </c>
      <c r="E13" s="38"/>
      <c r="F13" s="38">
        <f>'Amt Schedules'!AC9</f>
        <v>3361</v>
      </c>
      <c r="G13" s="38"/>
      <c r="H13" s="38">
        <f>'Amt Schedules'!AA10</f>
        <v>6500</v>
      </c>
      <c r="I13" s="38"/>
      <c r="J13" s="38">
        <f>'Amt Schedules'!AC10</f>
        <v>3288</v>
      </c>
      <c r="K13" s="38"/>
      <c r="L13" s="38">
        <f>'Amt Schedules'!AA11</f>
        <v>6500</v>
      </c>
      <c r="M13" s="38"/>
      <c r="N13" s="38">
        <f>'Amt Schedules'!AC11</f>
        <v>3215</v>
      </c>
      <c r="O13" s="38"/>
      <c r="P13" s="38">
        <f>'Amt Schedules'!AA12</f>
        <v>6500</v>
      </c>
      <c r="Q13" s="38"/>
      <c r="R13" s="38">
        <f>'Amt Schedules'!AC12</f>
        <v>3142</v>
      </c>
      <c r="S13" s="38"/>
      <c r="T13" s="38">
        <f>'Amt Schedules'!AA13</f>
        <v>6500</v>
      </c>
      <c r="U13" s="38"/>
      <c r="V13" s="38">
        <f>'Amt Schedules'!AC13</f>
        <v>3068</v>
      </c>
      <c r="W13" s="34"/>
      <c r="X13" s="34">
        <v>48574</v>
      </c>
      <c r="Y13" s="31"/>
    </row>
    <row r="14" spans="1:26" ht="15.5" x14ac:dyDescent="0.35">
      <c r="A14" s="68"/>
      <c r="B14" s="36" t="s">
        <v>201</v>
      </c>
      <c r="C14" s="34"/>
      <c r="D14" s="44">
        <f>'Amt Schedules'!AI9</f>
        <v>55000</v>
      </c>
      <c r="E14" s="38"/>
      <c r="F14" s="44">
        <f>'Amt Schedules'!AK9</f>
        <v>40062</v>
      </c>
      <c r="G14" s="38"/>
      <c r="H14" s="44">
        <f>'Amt Schedules'!AI10</f>
        <v>60000</v>
      </c>
      <c r="I14" s="38"/>
      <c r="J14" s="44">
        <f>'Amt Schedules'!AK10</f>
        <v>37762</v>
      </c>
      <c r="K14" s="38"/>
      <c r="L14" s="44">
        <f>'Amt Schedules'!AI11</f>
        <v>60000</v>
      </c>
      <c r="M14" s="38"/>
      <c r="N14" s="44">
        <f>'Amt Schedules'!AK11</f>
        <v>35062</v>
      </c>
      <c r="O14" s="38"/>
      <c r="P14" s="44">
        <f>'Amt Schedules'!AI12</f>
        <v>65000</v>
      </c>
      <c r="Q14" s="38"/>
      <c r="R14" s="44">
        <f>'Amt Schedules'!AK12</f>
        <v>32262</v>
      </c>
      <c r="S14" s="38"/>
      <c r="T14" s="44">
        <f>'Amt Schedules'!AI13</f>
        <v>65000</v>
      </c>
      <c r="U14" s="38"/>
      <c r="V14" s="44">
        <f>'Amt Schedules'!AK13</f>
        <v>29662</v>
      </c>
      <c r="W14" s="34"/>
      <c r="X14" s="42">
        <v>479810</v>
      </c>
      <c r="Y14" s="31"/>
    </row>
    <row r="15" spans="1:26" ht="16" thickBot="1" x14ac:dyDescent="0.4">
      <c r="A15" s="68"/>
      <c r="B15" s="35" t="s">
        <v>202</v>
      </c>
      <c r="C15" s="34"/>
      <c r="D15" s="167">
        <f>SUM(D10:D14)</f>
        <v>120180</v>
      </c>
      <c r="E15" s="40"/>
      <c r="F15" s="167">
        <f>SUM(F10:F14)</f>
        <v>129170</v>
      </c>
      <c r="G15" s="40"/>
      <c r="H15" s="167">
        <f>SUM(H10:H14)</f>
        <v>126320</v>
      </c>
      <c r="I15" s="40"/>
      <c r="J15" s="167">
        <f>SUM(J10:J14)</f>
        <v>124455</v>
      </c>
      <c r="K15" s="40"/>
      <c r="L15" s="167">
        <f>SUM(L10:L14)</f>
        <v>127820</v>
      </c>
      <c r="M15" s="40"/>
      <c r="N15" s="167">
        <f>SUM(N10:N14)</f>
        <v>119293</v>
      </c>
      <c r="O15" s="40"/>
      <c r="P15" s="167">
        <f>SUM(P10:P14)</f>
        <v>136750</v>
      </c>
      <c r="Q15" s="40"/>
      <c r="R15" s="167">
        <f>SUM(R10:R14)</f>
        <v>113924</v>
      </c>
      <c r="S15" s="40"/>
      <c r="T15" s="167">
        <f>SUM(T10:T14)</f>
        <v>139040</v>
      </c>
      <c r="U15" s="40"/>
      <c r="V15" s="167">
        <f>SUM(V10:V14)</f>
        <v>108646</v>
      </c>
      <c r="W15" s="34"/>
      <c r="X15" s="167">
        <f>SUM(X10:X14)</f>
        <v>1246788</v>
      </c>
      <c r="Y15" s="31"/>
    </row>
    <row r="16" spans="1:26" ht="16" thickTop="1" x14ac:dyDescent="0.35">
      <c r="A16" s="6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4"/>
      <c r="X16" s="39"/>
      <c r="Y16" s="31"/>
    </row>
    <row r="17" spans="1:25" ht="16" thickBot="1" x14ac:dyDescent="0.4">
      <c r="A17" s="68"/>
      <c r="B17" s="35" t="s">
        <v>140</v>
      </c>
      <c r="C17" s="35"/>
      <c r="D17" s="168">
        <f>ROUND(D15/5,0)</f>
        <v>24036</v>
      </c>
      <c r="E17" s="39"/>
      <c r="F17" s="168">
        <f>ROUND(F15/5,0)</f>
        <v>25834</v>
      </c>
      <c r="G17" s="39"/>
      <c r="H17" s="168">
        <f>ROUND(H15/5,0)</f>
        <v>25264</v>
      </c>
      <c r="I17" s="39"/>
      <c r="J17" s="168">
        <f>ROUND(J15/5,0)</f>
        <v>24891</v>
      </c>
      <c r="K17" s="39"/>
      <c r="L17" s="168">
        <f>ROUND(L15/5,0)</f>
        <v>25564</v>
      </c>
      <c r="M17" s="39"/>
      <c r="N17" s="168">
        <f>ROUND(N15/5,0)</f>
        <v>23859</v>
      </c>
      <c r="O17" s="39"/>
      <c r="P17" s="168">
        <f>ROUND(P15/5,0)</f>
        <v>27350</v>
      </c>
      <c r="Q17" s="39"/>
      <c r="R17" s="168">
        <f>ROUND(R15/5,0)</f>
        <v>22785</v>
      </c>
      <c r="S17" s="39"/>
      <c r="T17" s="168">
        <f>ROUND(T15/5,0)</f>
        <v>27808</v>
      </c>
      <c r="U17" s="39"/>
      <c r="V17" s="168">
        <f>ROUND(V15/5,0)</f>
        <v>21729</v>
      </c>
      <c r="W17" s="34"/>
      <c r="X17" s="168">
        <f>ROUND(X15/5,0)</f>
        <v>249358</v>
      </c>
      <c r="Y17" s="31"/>
    </row>
    <row r="18" spans="1:25" ht="16" thickTop="1" x14ac:dyDescent="0.35">
      <c r="A18" s="6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70"/>
    </row>
    <row r="19" spans="1:25" ht="15.5" x14ac:dyDescent="0.35">
      <c r="A19" s="2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</sheetData>
  <mergeCells count="9">
    <mergeCell ref="H8:J8"/>
    <mergeCell ref="L8:N8"/>
    <mergeCell ref="P8:R8"/>
    <mergeCell ref="T8:V8"/>
    <mergeCell ref="B3:X3"/>
    <mergeCell ref="B4:X4"/>
    <mergeCell ref="B5:X5"/>
    <mergeCell ref="B6:X6"/>
    <mergeCell ref="D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EFAA-CA84-4A30-BCCD-CB7EC391EAC5}">
  <dimension ref="B2:IY54"/>
  <sheetViews>
    <sheetView topLeftCell="A42" zoomScale="130" zoomScaleNormal="130" workbookViewId="0">
      <selection activeCell="J13" sqref="J13"/>
    </sheetView>
  </sheetViews>
  <sheetFormatPr defaultColWidth="8.84375" defaultRowHeight="15.5" x14ac:dyDescent="0.35"/>
  <cols>
    <col min="1" max="1" width="3.53515625" style="27" customWidth="1"/>
    <col min="2" max="2" width="1.765625" style="27" customWidth="1"/>
    <col min="3" max="3" width="3.69140625" style="88" customWidth="1"/>
    <col min="4" max="4" width="2.69140625" style="88" customWidth="1"/>
    <col min="5" max="5" width="27.3046875" style="88" customWidth="1"/>
    <col min="6" max="6" width="14.765625" style="88" customWidth="1"/>
    <col min="7" max="7" width="1.765625" style="88" customWidth="1"/>
    <col min="8" max="8" width="14.765625" style="88" customWidth="1"/>
    <col min="9" max="9" width="1.765625" style="88" customWidth="1"/>
    <col min="10" max="10" width="4.84375" style="84" customWidth="1"/>
    <col min="11" max="11" width="1.765625" style="84" customWidth="1"/>
    <col min="12" max="12" width="14.765625" style="88" customWidth="1"/>
    <col min="13" max="13" width="1.53515625" style="88" customWidth="1"/>
    <col min="14" max="14" width="9.69140625" style="105" customWidth="1"/>
    <col min="15" max="15" width="11.3046875" style="88" customWidth="1"/>
    <col min="16" max="16" width="9.69140625" style="89" customWidth="1"/>
    <col min="17" max="17" width="18" style="88" customWidth="1"/>
    <col min="18" max="18" width="12.4609375" style="88" customWidth="1"/>
    <col min="19" max="259" width="9.69140625" style="88" customWidth="1"/>
    <col min="260" max="261" width="9.69140625" style="27" customWidth="1"/>
    <col min="262" max="16384" width="8.84375" style="27"/>
  </cols>
  <sheetData>
    <row r="2" spans="2:23" ht="7" customHeight="1" x14ac:dyDescent="0.35">
      <c r="B2" s="67"/>
      <c r="C2" s="85"/>
      <c r="D2" s="85"/>
      <c r="E2" s="85"/>
      <c r="F2" s="85"/>
      <c r="G2" s="85"/>
      <c r="H2" s="85"/>
      <c r="I2" s="85"/>
      <c r="J2" s="86"/>
      <c r="K2" s="86"/>
      <c r="L2" s="85"/>
      <c r="M2" s="87"/>
    </row>
    <row r="3" spans="2:23" x14ac:dyDescent="0.35">
      <c r="B3" s="68"/>
      <c r="C3" s="375" t="s">
        <v>20</v>
      </c>
      <c r="D3" s="375"/>
      <c r="E3" s="375"/>
      <c r="F3" s="375"/>
      <c r="G3" s="375"/>
      <c r="H3" s="375"/>
      <c r="I3" s="375"/>
      <c r="J3" s="375"/>
      <c r="K3" s="375"/>
      <c r="L3" s="375"/>
      <c r="M3" s="91"/>
      <c r="O3" s="92"/>
      <c r="P3" s="93"/>
      <c r="Q3" s="92"/>
      <c r="R3" s="92"/>
      <c r="S3" s="92"/>
      <c r="T3" s="92"/>
    </row>
    <row r="4" spans="2:23" ht="18.75" customHeight="1" x14ac:dyDescent="0.35">
      <c r="B4" s="68"/>
      <c r="C4" s="375" t="str">
        <f>Adjustments!B1</f>
        <v>Morgan County Water District</v>
      </c>
      <c r="D4" s="375"/>
      <c r="E4" s="375"/>
      <c r="F4" s="375"/>
      <c r="G4" s="375"/>
      <c r="H4" s="375"/>
      <c r="I4" s="375"/>
      <c r="J4" s="375"/>
      <c r="K4" s="375"/>
      <c r="L4" s="375"/>
      <c r="M4" s="91"/>
      <c r="O4" s="27"/>
      <c r="P4" s="93"/>
      <c r="Q4" s="100"/>
      <c r="R4" s="100"/>
      <c r="S4" s="100"/>
      <c r="T4" s="100"/>
      <c r="U4" s="100"/>
      <c r="V4" s="100"/>
      <c r="W4" s="100"/>
    </row>
    <row r="5" spans="2:23" ht="7" customHeight="1" x14ac:dyDescent="0.35">
      <c r="B5" s="6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63"/>
      <c r="O5" s="27"/>
      <c r="P5" s="93"/>
      <c r="Q5" s="100"/>
      <c r="R5" s="100"/>
      <c r="S5" s="100"/>
      <c r="T5" s="100"/>
      <c r="U5" s="100"/>
      <c r="V5" s="100"/>
      <c r="W5" s="100"/>
    </row>
    <row r="6" spans="2:23" ht="7" customHeight="1" x14ac:dyDescent="0.35">
      <c r="B6" s="68"/>
      <c r="C6" s="92"/>
      <c r="D6" s="92"/>
      <c r="E6" s="92"/>
      <c r="F6" s="164"/>
      <c r="G6" s="164"/>
      <c r="H6" s="164"/>
      <c r="I6" s="164"/>
      <c r="J6" s="164"/>
      <c r="K6" s="164"/>
      <c r="L6" s="164"/>
      <c r="M6" s="165"/>
      <c r="O6" s="92"/>
      <c r="P6" s="93"/>
      <c r="Q6" s="92"/>
      <c r="R6" s="92"/>
      <c r="S6" s="92"/>
      <c r="T6" s="92"/>
    </row>
    <row r="7" spans="2:23" x14ac:dyDescent="0.35">
      <c r="B7" s="68"/>
      <c r="C7" s="92"/>
      <c r="D7" s="92"/>
      <c r="E7" s="92"/>
      <c r="F7" s="142" t="s">
        <v>57</v>
      </c>
      <c r="G7" s="164"/>
      <c r="H7" s="142" t="s">
        <v>19</v>
      </c>
      <c r="I7" s="164"/>
      <c r="J7" s="142" t="s">
        <v>33</v>
      </c>
      <c r="K7" s="164"/>
      <c r="L7" s="142" t="s">
        <v>56</v>
      </c>
      <c r="M7" s="165"/>
      <c r="O7" s="93"/>
      <c r="P7" s="93"/>
      <c r="Q7" s="93"/>
      <c r="R7" s="92"/>
      <c r="S7" s="92"/>
      <c r="T7" s="92"/>
    </row>
    <row r="8" spans="2:23" x14ac:dyDescent="0.35">
      <c r="B8" s="68"/>
      <c r="C8" s="99" t="s">
        <v>2</v>
      </c>
      <c r="D8" s="92"/>
      <c r="E8" s="92"/>
      <c r="F8" s="92"/>
      <c r="G8" s="92"/>
      <c r="H8" s="92"/>
      <c r="I8" s="92"/>
      <c r="J8" s="100"/>
      <c r="K8" s="100"/>
      <c r="L8" s="92"/>
      <c r="M8" s="101"/>
      <c r="O8" s="93"/>
      <c r="P8" s="93"/>
      <c r="Q8" s="93"/>
      <c r="R8" s="92"/>
      <c r="S8" s="92"/>
      <c r="T8" s="92"/>
    </row>
    <row r="9" spans="2:23" x14ac:dyDescent="0.35">
      <c r="B9" s="68"/>
      <c r="C9" s="92"/>
      <c r="D9" s="92" t="s">
        <v>90</v>
      </c>
      <c r="E9" s="92"/>
      <c r="F9" s="102">
        <f>'SAO - DSC'!F9</f>
        <v>1922574</v>
      </c>
      <c r="G9" s="102"/>
      <c r="H9" s="102">
        <f>'SAO - DSC'!H9</f>
        <v>-32431</v>
      </c>
      <c r="I9" s="102"/>
      <c r="J9" s="103" t="s">
        <v>62</v>
      </c>
      <c r="K9" s="103"/>
      <c r="M9" s="104"/>
      <c r="N9" s="105" t="s">
        <v>321</v>
      </c>
      <c r="O9" s="93"/>
      <c r="P9" s="93"/>
      <c r="Q9" s="93"/>
      <c r="R9" s="92"/>
      <c r="S9" s="92"/>
      <c r="T9" s="92"/>
    </row>
    <row r="10" spans="2:23" x14ac:dyDescent="0.35">
      <c r="B10" s="68"/>
      <c r="C10" s="92"/>
      <c r="D10" s="92"/>
      <c r="E10" s="92"/>
      <c r="F10" s="102"/>
      <c r="G10" s="102"/>
      <c r="H10" s="106">
        <f>'SAO - DSC'!H10</f>
        <v>-8801.9299999999348</v>
      </c>
      <c r="I10" s="102"/>
      <c r="J10" s="110" t="s">
        <v>63</v>
      </c>
      <c r="K10" s="110"/>
      <c r="L10" s="88">
        <f>SUM(F9,H9:H10)</f>
        <v>1881341.07</v>
      </c>
      <c r="M10" s="104"/>
      <c r="N10" s="105" t="s">
        <v>163</v>
      </c>
      <c r="O10" s="93"/>
      <c r="P10" s="93"/>
      <c r="Q10" s="93"/>
      <c r="R10" s="92"/>
      <c r="S10" s="92"/>
      <c r="T10" s="92"/>
    </row>
    <row r="11" spans="2:23" x14ac:dyDescent="0.35">
      <c r="B11" s="68"/>
      <c r="C11" s="92"/>
      <c r="D11" s="92" t="s">
        <v>27</v>
      </c>
      <c r="E11" s="92"/>
      <c r="F11" s="109"/>
      <c r="G11" s="109"/>
      <c r="H11" s="106"/>
      <c r="I11" s="106"/>
      <c r="J11" s="110"/>
      <c r="K11" s="110"/>
      <c r="L11" s="62"/>
      <c r="M11" s="104"/>
      <c r="O11" s="93"/>
      <c r="P11" s="93"/>
      <c r="Q11" s="93"/>
      <c r="R11" s="92"/>
      <c r="S11" s="92"/>
      <c r="T11" s="92"/>
    </row>
    <row r="12" spans="2:23" x14ac:dyDescent="0.35">
      <c r="B12" s="68"/>
      <c r="C12" s="92"/>
      <c r="D12" s="92"/>
      <c r="E12" s="92" t="s">
        <v>25</v>
      </c>
      <c r="F12" s="106"/>
      <c r="G12" s="106"/>
      <c r="H12" s="106">
        <f>'SAO - DSC'!H12</f>
        <v>32431</v>
      </c>
      <c r="I12" s="106"/>
      <c r="J12" s="110" t="s">
        <v>62</v>
      </c>
      <c r="K12" s="110"/>
      <c r="L12" s="106">
        <f>SUM(F12,H12)</f>
        <v>32431</v>
      </c>
      <c r="M12" s="108"/>
      <c r="N12" s="105" t="s">
        <v>321</v>
      </c>
      <c r="O12" s="93"/>
      <c r="P12" s="93"/>
      <c r="Q12" s="111"/>
      <c r="R12" s="92"/>
      <c r="S12" s="92"/>
      <c r="T12" s="92"/>
    </row>
    <row r="13" spans="2:23" x14ac:dyDescent="0.35">
      <c r="B13" s="68"/>
      <c r="C13" s="92"/>
      <c r="D13" s="92"/>
      <c r="E13" s="92" t="s">
        <v>26</v>
      </c>
      <c r="F13" s="106"/>
      <c r="G13" s="106"/>
      <c r="H13" s="106"/>
      <c r="I13" s="106"/>
      <c r="J13" s="110"/>
      <c r="K13" s="110"/>
      <c r="L13" s="106"/>
      <c r="M13" s="108"/>
      <c r="O13" s="93"/>
      <c r="Q13" s="112"/>
      <c r="R13" s="113"/>
      <c r="S13" s="92"/>
      <c r="T13" s="92"/>
    </row>
    <row r="14" spans="2:23" ht="18.5" x14ac:dyDescent="0.35">
      <c r="B14" s="68"/>
      <c r="C14" s="92"/>
      <c r="D14" s="92"/>
      <c r="E14" s="27" t="s">
        <v>92</v>
      </c>
      <c r="F14" s="114">
        <f>'SAO - DSC'!F14</f>
        <v>229652</v>
      </c>
      <c r="G14" s="106"/>
      <c r="H14" s="114">
        <f>'SAO - DSC'!H14</f>
        <v>-198825</v>
      </c>
      <c r="I14" s="106"/>
      <c r="J14" s="110" t="s">
        <v>64</v>
      </c>
      <c r="K14" s="110"/>
      <c r="L14" s="114">
        <f>F14+H14</f>
        <v>30827</v>
      </c>
      <c r="M14" s="115"/>
      <c r="N14" s="105" t="s">
        <v>320</v>
      </c>
      <c r="O14" s="93"/>
      <c r="Q14" s="112"/>
      <c r="R14" s="116"/>
      <c r="S14" s="92"/>
      <c r="T14" s="92"/>
    </row>
    <row r="15" spans="2:23" x14ac:dyDescent="0.35">
      <c r="B15" s="68"/>
      <c r="C15" s="92" t="s">
        <v>3</v>
      </c>
      <c r="D15" s="92"/>
      <c r="E15" s="92"/>
      <c r="F15" s="109">
        <f>SUM(F9,F14)</f>
        <v>2152226</v>
      </c>
      <c r="G15" s="109"/>
      <c r="H15" s="109">
        <f>SUM(H9:H9,H14)</f>
        <v>-231256</v>
      </c>
      <c r="I15" s="109"/>
      <c r="J15" s="110"/>
      <c r="K15" s="110"/>
      <c r="L15" s="109">
        <f>SUM(L10,L12,L14)</f>
        <v>1944599.07</v>
      </c>
      <c r="M15" s="104"/>
      <c r="O15" s="93"/>
      <c r="Q15" s="112"/>
      <c r="R15" s="116"/>
      <c r="S15" s="92"/>
      <c r="T15" s="92"/>
    </row>
    <row r="16" spans="2:23" x14ac:dyDescent="0.35">
      <c r="B16" s="68"/>
      <c r="C16" s="92"/>
      <c r="D16" s="92"/>
      <c r="E16" s="92"/>
      <c r="F16" s="109"/>
      <c r="G16" s="109"/>
      <c r="H16" s="106"/>
      <c r="I16" s="106"/>
      <c r="J16" s="110"/>
      <c r="K16" s="110"/>
      <c r="L16" s="109"/>
      <c r="M16" s="118"/>
      <c r="O16" s="93"/>
      <c r="Q16" s="112"/>
      <c r="R16" s="116"/>
      <c r="S16" s="92"/>
      <c r="T16" s="92"/>
    </row>
    <row r="17" spans="2:20" ht="18.5" x14ac:dyDescent="0.35">
      <c r="B17" s="68"/>
      <c r="C17" s="99" t="s">
        <v>4</v>
      </c>
      <c r="D17" s="92"/>
      <c r="E17" s="92"/>
      <c r="F17" s="109"/>
      <c r="G17" s="109"/>
      <c r="H17" s="106"/>
      <c r="I17" s="106"/>
      <c r="J17" s="110"/>
      <c r="K17" s="110"/>
      <c r="L17" s="109"/>
      <c r="M17" s="118"/>
      <c r="O17" s="93"/>
      <c r="Q17" s="112"/>
      <c r="R17" s="119"/>
      <c r="S17" s="92"/>
      <c r="T17" s="92"/>
    </row>
    <row r="18" spans="2:20" ht="18.5" x14ac:dyDescent="0.35">
      <c r="B18" s="68"/>
      <c r="C18" s="92"/>
      <c r="D18" s="92" t="s">
        <v>8</v>
      </c>
      <c r="E18" s="92"/>
      <c r="F18" s="106"/>
      <c r="G18" s="106"/>
      <c r="H18" s="106"/>
      <c r="I18" s="106"/>
      <c r="J18" s="110"/>
      <c r="K18" s="110"/>
      <c r="L18" s="109"/>
      <c r="M18" s="118"/>
      <c r="O18" s="120"/>
      <c r="Q18" s="112"/>
      <c r="R18" s="113"/>
      <c r="S18" s="92"/>
      <c r="T18" s="92"/>
    </row>
    <row r="19" spans="2:20" x14ac:dyDescent="0.35">
      <c r="B19" s="68"/>
      <c r="C19" s="92"/>
      <c r="D19" s="92"/>
      <c r="E19" s="92" t="s">
        <v>12</v>
      </c>
      <c r="F19" s="106">
        <f>'SAO - DSC'!F19</f>
        <v>444858</v>
      </c>
      <c r="G19" s="106"/>
      <c r="H19" s="106">
        <f>'SAO - DSC'!H19</f>
        <v>209648</v>
      </c>
      <c r="I19" s="106"/>
      <c r="J19" s="110" t="s">
        <v>86</v>
      </c>
      <c r="K19" s="110"/>
      <c r="L19" s="109"/>
      <c r="M19" s="118"/>
      <c r="N19" s="105" t="s">
        <v>343</v>
      </c>
      <c r="O19" s="93"/>
      <c r="Q19" s="111"/>
      <c r="R19" s="92"/>
      <c r="S19" s="92"/>
      <c r="T19" s="92"/>
    </row>
    <row r="20" spans="2:20" x14ac:dyDescent="0.35">
      <c r="B20" s="68"/>
      <c r="C20" s="92"/>
      <c r="D20" s="92"/>
      <c r="E20" s="92"/>
      <c r="F20" s="106"/>
      <c r="G20" s="106"/>
      <c r="H20" s="106">
        <f>'SAO - DSC'!H20</f>
        <v>-32805</v>
      </c>
      <c r="I20" s="106"/>
      <c r="J20" s="110" t="s">
        <v>65</v>
      </c>
      <c r="K20" s="110"/>
      <c r="L20" s="109">
        <f>SUM(F19:H20)</f>
        <v>621701</v>
      </c>
      <c r="M20" s="118"/>
      <c r="N20" s="105" t="s">
        <v>169</v>
      </c>
      <c r="O20" s="93"/>
      <c r="P20" s="93"/>
      <c r="Q20" s="92"/>
      <c r="R20" s="92"/>
      <c r="S20" s="92"/>
      <c r="T20" s="92"/>
    </row>
    <row r="21" spans="2:20" x14ac:dyDescent="0.35">
      <c r="B21" s="68"/>
      <c r="C21" s="92"/>
      <c r="D21" s="92"/>
      <c r="E21" s="92" t="s">
        <v>13</v>
      </c>
      <c r="F21" s="106"/>
      <c r="G21" s="106"/>
      <c r="H21" s="106"/>
      <c r="I21" s="106"/>
      <c r="J21" s="110"/>
      <c r="K21" s="110"/>
      <c r="L21" s="109">
        <f t="shared" ref="L21:L32" si="0">F21+H21</f>
        <v>0</v>
      </c>
      <c r="M21" s="118"/>
      <c r="O21" s="93"/>
      <c r="P21" s="93"/>
      <c r="Q21" s="93"/>
      <c r="S21" s="92"/>
      <c r="T21" s="92"/>
    </row>
    <row r="22" spans="2:20" x14ac:dyDescent="0.35">
      <c r="B22" s="68"/>
      <c r="C22" s="92"/>
      <c r="D22" s="92"/>
      <c r="E22" s="92" t="s">
        <v>14</v>
      </c>
      <c r="F22" s="106">
        <f>'SAO - DSC'!F22</f>
        <v>293806</v>
      </c>
      <c r="G22" s="106"/>
      <c r="H22" s="106">
        <f>'SAO - DSC'!H22</f>
        <v>33265</v>
      </c>
      <c r="I22" s="106"/>
      <c r="J22" s="121" t="s">
        <v>66</v>
      </c>
      <c r="K22" s="121"/>
      <c r="L22" s="109"/>
      <c r="M22" s="118"/>
      <c r="N22" s="105" t="s">
        <v>332</v>
      </c>
      <c r="O22" s="93"/>
      <c r="P22" s="93"/>
      <c r="S22" s="92"/>
      <c r="T22" s="92"/>
    </row>
    <row r="23" spans="2:20" x14ac:dyDescent="0.35">
      <c r="B23" s="68"/>
      <c r="C23" s="92"/>
      <c r="D23" s="92"/>
      <c r="E23" s="92"/>
      <c r="F23" s="106"/>
      <c r="G23" s="106"/>
      <c r="H23" s="106">
        <f>'SAO - DSC'!H23</f>
        <v>-53127</v>
      </c>
      <c r="I23" s="106"/>
      <c r="J23" s="121" t="s">
        <v>67</v>
      </c>
      <c r="K23" s="121"/>
      <c r="L23" s="109">
        <f>SUM(F22,H22:H23)</f>
        <v>273944</v>
      </c>
      <c r="M23" s="118"/>
      <c r="N23" s="105" t="s">
        <v>331</v>
      </c>
      <c r="O23" s="93"/>
      <c r="P23" s="93"/>
      <c r="S23" s="92"/>
      <c r="T23" s="92"/>
    </row>
    <row r="24" spans="2:20" x14ac:dyDescent="0.35">
      <c r="B24" s="68"/>
      <c r="C24" s="92"/>
      <c r="D24" s="92"/>
      <c r="E24" s="92" t="s">
        <v>15</v>
      </c>
      <c r="F24" s="106">
        <f>'SAO - DSC'!F24</f>
        <v>717565</v>
      </c>
      <c r="G24" s="106"/>
      <c r="H24" s="106">
        <f>'SAO - DSC'!H24</f>
        <v>-127294</v>
      </c>
      <c r="I24" s="106"/>
      <c r="J24" s="121" t="s">
        <v>126</v>
      </c>
      <c r="K24" s="121"/>
      <c r="L24" s="109">
        <f t="shared" si="0"/>
        <v>590271</v>
      </c>
      <c r="M24" s="118"/>
      <c r="N24" s="105" t="s">
        <v>158</v>
      </c>
      <c r="O24" s="89"/>
      <c r="P24" s="93"/>
      <c r="S24" s="92"/>
      <c r="T24" s="92"/>
    </row>
    <row r="25" spans="2:20" x14ac:dyDescent="0.35">
      <c r="B25" s="68"/>
      <c r="C25" s="92"/>
      <c r="D25" s="92"/>
      <c r="E25" s="92" t="s">
        <v>16</v>
      </c>
      <c r="F25" s="106">
        <f>'SAO - DSC'!F25</f>
        <v>59385</v>
      </c>
      <c r="G25" s="106"/>
      <c r="H25" s="106">
        <f>'SAO - DSC'!H25</f>
        <v>-10535</v>
      </c>
      <c r="I25" s="106"/>
      <c r="J25" s="121" t="s">
        <v>126</v>
      </c>
      <c r="K25" s="121"/>
      <c r="L25" s="109">
        <f t="shared" si="0"/>
        <v>48850</v>
      </c>
      <c r="M25" s="118"/>
      <c r="N25" s="105" t="s">
        <v>158</v>
      </c>
      <c r="O25" s="89"/>
      <c r="P25" s="93"/>
      <c r="S25" s="92"/>
      <c r="T25" s="92"/>
    </row>
    <row r="26" spans="2:20" x14ac:dyDescent="0.35">
      <c r="B26" s="68"/>
      <c r="C26" s="92"/>
      <c r="D26" s="92"/>
      <c r="E26" s="92" t="s">
        <v>52</v>
      </c>
      <c r="F26" s="106">
        <f>'SAO - DSC'!F26</f>
        <v>231172</v>
      </c>
      <c r="G26" s="106"/>
      <c r="H26" s="106">
        <f>'SAO - DSC'!H26</f>
        <v>-76545</v>
      </c>
      <c r="I26" s="106"/>
      <c r="J26" s="121" t="s">
        <v>65</v>
      </c>
      <c r="K26" s="121"/>
      <c r="L26" s="109">
        <f t="shared" si="0"/>
        <v>154627</v>
      </c>
      <c r="M26" s="118"/>
      <c r="N26" s="105" t="s">
        <v>169</v>
      </c>
      <c r="O26" s="93"/>
      <c r="P26" s="122"/>
      <c r="Q26" s="93"/>
      <c r="R26" s="92"/>
      <c r="S26" s="92"/>
      <c r="T26" s="92"/>
    </row>
    <row r="27" spans="2:20" x14ac:dyDescent="0.35">
      <c r="B27" s="68"/>
      <c r="C27" s="92"/>
      <c r="D27" s="92"/>
      <c r="E27" s="92" t="s">
        <v>171</v>
      </c>
      <c r="F27" s="106">
        <f>'SAO - DSC'!F27</f>
        <v>123570</v>
      </c>
      <c r="G27" s="106"/>
      <c r="H27" s="106"/>
      <c r="I27" s="106"/>
      <c r="J27" s="110"/>
      <c r="K27" s="110"/>
      <c r="L27" s="109">
        <f t="shared" si="0"/>
        <v>123570</v>
      </c>
      <c r="M27" s="118"/>
      <c r="O27" s="93"/>
      <c r="P27" s="93"/>
      <c r="Q27" s="93"/>
      <c r="R27" s="92"/>
      <c r="S27" s="92"/>
      <c r="T27" s="92"/>
    </row>
    <row r="28" spans="2:20" x14ac:dyDescent="0.35">
      <c r="B28" s="68"/>
      <c r="C28" s="92"/>
      <c r="D28" s="92"/>
      <c r="E28" s="92" t="s">
        <v>21</v>
      </c>
      <c r="F28" s="106">
        <f>'SAO - DSC'!F28</f>
        <v>58562</v>
      </c>
      <c r="G28" s="106"/>
      <c r="H28" s="106"/>
      <c r="I28" s="106"/>
      <c r="J28" s="110"/>
      <c r="K28" s="110"/>
      <c r="L28" s="109">
        <f t="shared" si="0"/>
        <v>58562</v>
      </c>
      <c r="M28" s="118"/>
      <c r="O28" s="93"/>
      <c r="P28" s="123"/>
      <c r="Q28" s="93"/>
      <c r="R28" s="92"/>
      <c r="S28" s="92"/>
      <c r="T28" s="92"/>
    </row>
    <row r="29" spans="2:20" x14ac:dyDescent="0.35">
      <c r="B29" s="68"/>
      <c r="C29" s="92"/>
      <c r="D29" s="92"/>
      <c r="E29" s="92" t="s">
        <v>172</v>
      </c>
      <c r="F29" s="106">
        <f>'SAO - DSC'!F29</f>
        <v>22319</v>
      </c>
      <c r="G29" s="106"/>
      <c r="H29" s="106"/>
      <c r="I29" s="106"/>
      <c r="J29" s="110"/>
      <c r="K29" s="110"/>
      <c r="L29" s="109">
        <f>F29</f>
        <v>22319</v>
      </c>
      <c r="M29" s="118"/>
      <c r="O29" s="93"/>
      <c r="P29" s="123"/>
      <c r="Q29" s="93"/>
      <c r="R29" s="92"/>
      <c r="S29" s="92"/>
      <c r="T29" s="92"/>
    </row>
    <row r="30" spans="2:20" x14ac:dyDescent="0.35">
      <c r="B30" s="68"/>
      <c r="C30" s="92"/>
      <c r="D30" s="92"/>
      <c r="E30" s="92" t="s">
        <v>173</v>
      </c>
      <c r="F30" s="106">
        <f>'SAO - DSC'!F30</f>
        <v>6175</v>
      </c>
      <c r="G30" s="106"/>
      <c r="H30" s="106"/>
      <c r="I30" s="106"/>
      <c r="J30" s="110"/>
      <c r="K30" s="110"/>
      <c r="L30" s="109">
        <f>F30</f>
        <v>6175</v>
      </c>
      <c r="M30" s="118"/>
      <c r="O30" s="93"/>
      <c r="P30" s="123"/>
      <c r="Q30" s="93"/>
      <c r="R30" s="92"/>
      <c r="S30" s="92"/>
      <c r="T30" s="92"/>
    </row>
    <row r="31" spans="2:20" x14ac:dyDescent="0.35">
      <c r="B31" s="68"/>
      <c r="C31" s="92"/>
      <c r="D31" s="92"/>
      <c r="E31" s="92" t="s">
        <v>93</v>
      </c>
      <c r="F31" s="106">
        <f>'SAO - DSC'!F31</f>
        <v>1519</v>
      </c>
      <c r="G31" s="106"/>
      <c r="H31" s="106"/>
      <c r="I31" s="106"/>
      <c r="J31" s="110"/>
      <c r="K31" s="110"/>
      <c r="L31" s="109">
        <f t="shared" si="0"/>
        <v>1519</v>
      </c>
      <c r="M31" s="118"/>
      <c r="O31" s="93"/>
      <c r="P31" s="93"/>
      <c r="Q31" s="93"/>
      <c r="R31" s="92"/>
      <c r="S31" s="92"/>
      <c r="T31" s="92"/>
    </row>
    <row r="32" spans="2:20" ht="18.5" x14ac:dyDescent="0.35">
      <c r="B32" s="68"/>
      <c r="C32" s="92"/>
      <c r="D32" s="92"/>
      <c r="E32" s="92" t="s">
        <v>17</v>
      </c>
      <c r="F32" s="114">
        <f>'SAO - DSC'!F32</f>
        <v>29948</v>
      </c>
      <c r="G32" s="106"/>
      <c r="H32" s="114"/>
      <c r="I32" s="106"/>
      <c r="J32" s="110"/>
      <c r="K32" s="110"/>
      <c r="L32" s="125">
        <f t="shared" si="0"/>
        <v>29948</v>
      </c>
      <c r="M32" s="115"/>
      <c r="O32" s="93"/>
      <c r="P32" s="93"/>
      <c r="Q32" s="93"/>
      <c r="R32" s="92"/>
      <c r="S32" s="92"/>
      <c r="T32" s="92"/>
    </row>
    <row r="33" spans="2:20" x14ac:dyDescent="0.35">
      <c r="B33" s="68"/>
      <c r="C33" s="92"/>
      <c r="D33" s="92" t="s">
        <v>9</v>
      </c>
      <c r="E33" s="92"/>
      <c r="F33" s="106">
        <f>SUM(F19:F32)</f>
        <v>1988879</v>
      </c>
      <c r="G33" s="106"/>
      <c r="H33" s="106">
        <f>SUM(H19:H32)</f>
        <v>-57393</v>
      </c>
      <c r="I33" s="106"/>
      <c r="J33" s="110"/>
      <c r="K33" s="110"/>
      <c r="L33" s="109">
        <f>SUM(L19:L32)</f>
        <v>1931486</v>
      </c>
      <c r="M33" s="118"/>
      <c r="O33" s="93"/>
      <c r="P33" s="93"/>
      <c r="Q33" s="93"/>
      <c r="R33" s="92"/>
      <c r="S33" s="92"/>
      <c r="T33" s="92"/>
    </row>
    <row r="34" spans="2:20" x14ac:dyDescent="0.35">
      <c r="B34" s="68"/>
      <c r="C34" s="92"/>
      <c r="D34" s="92" t="s">
        <v>10</v>
      </c>
      <c r="E34" s="92"/>
      <c r="F34" s="106">
        <f>'SAO - DSC'!F34</f>
        <v>519891</v>
      </c>
      <c r="G34" s="106"/>
      <c r="H34" s="106">
        <f>'SAO - DSC'!H34</f>
        <v>-88492.790000000023</v>
      </c>
      <c r="I34" s="106"/>
      <c r="J34" s="121" t="s">
        <v>68</v>
      </c>
      <c r="K34" s="121"/>
      <c r="L34" s="109">
        <f>'SAO - DSC'!L34</f>
        <v>431398.20999999996</v>
      </c>
      <c r="M34" s="118"/>
      <c r="N34" s="105" t="s">
        <v>389</v>
      </c>
      <c r="O34" s="93"/>
      <c r="P34" s="93"/>
      <c r="Q34" s="93"/>
      <c r="R34" s="92"/>
      <c r="S34" s="92"/>
      <c r="T34" s="92"/>
    </row>
    <row r="35" spans="2:20" ht="18.5" x14ac:dyDescent="0.35">
      <c r="B35" s="68"/>
      <c r="C35" s="92"/>
      <c r="D35" s="92" t="s">
        <v>11</v>
      </c>
      <c r="E35" s="92"/>
      <c r="F35" s="125">
        <f>'SAO - DSC'!F35</f>
        <v>33243</v>
      </c>
      <c r="G35" s="109"/>
      <c r="H35" s="125">
        <f>'SAO - DSC'!H35</f>
        <v>16827</v>
      </c>
      <c r="I35" s="109"/>
      <c r="J35" s="110" t="s">
        <v>69</v>
      </c>
      <c r="K35" s="110"/>
      <c r="L35" s="125">
        <f>F35+H35</f>
        <v>50070</v>
      </c>
      <c r="M35" s="115"/>
      <c r="N35" s="105" t="s">
        <v>164</v>
      </c>
      <c r="O35" s="93"/>
      <c r="P35" s="93"/>
      <c r="Q35" s="93"/>
      <c r="R35" s="92"/>
      <c r="S35" s="92"/>
      <c r="T35" s="92"/>
    </row>
    <row r="36" spans="2:20" x14ac:dyDescent="0.35">
      <c r="B36" s="68"/>
      <c r="C36" s="92" t="s">
        <v>5</v>
      </c>
      <c r="D36" s="92"/>
      <c r="E36" s="92"/>
      <c r="F36" s="114">
        <f>SUM(F33:F35)</f>
        <v>2542013</v>
      </c>
      <c r="G36" s="106"/>
      <c r="H36" s="124">
        <f>SUM(H33:H35)</f>
        <v>-129058.79000000004</v>
      </c>
      <c r="I36" s="148"/>
      <c r="J36" s="121"/>
      <c r="K36" s="121"/>
      <c r="L36" s="114">
        <f>SUM(L33:L35)</f>
        <v>2412954.21</v>
      </c>
      <c r="M36" s="104"/>
      <c r="O36" s="93"/>
      <c r="P36" s="93"/>
      <c r="Q36" s="93"/>
      <c r="R36" s="92"/>
      <c r="S36" s="92"/>
      <c r="T36" s="92"/>
    </row>
    <row r="37" spans="2:20" ht="16" thickBot="1" x14ac:dyDescent="0.4">
      <c r="B37" s="68"/>
      <c r="C37" s="92" t="s">
        <v>22</v>
      </c>
      <c r="D37" s="92"/>
      <c r="E37" s="92"/>
      <c r="F37" s="126">
        <f>F15-F36</f>
        <v>-389787</v>
      </c>
      <c r="G37" s="127"/>
      <c r="H37" s="126">
        <f>H15-H36</f>
        <v>-102197.20999999996</v>
      </c>
      <c r="I37" s="127"/>
      <c r="J37" s="100"/>
      <c r="K37" s="100"/>
      <c r="L37" s="126">
        <f>L15-L36</f>
        <v>-468355.1399999999</v>
      </c>
      <c r="M37" s="104"/>
      <c r="O37" s="93"/>
      <c r="P37" s="93"/>
      <c r="Q37" s="93"/>
      <c r="R37" s="92"/>
      <c r="S37" s="92"/>
      <c r="T37" s="92"/>
    </row>
    <row r="38" spans="2:20" ht="16" thickTop="1" x14ac:dyDescent="0.35">
      <c r="B38" s="68"/>
      <c r="C38" s="92"/>
      <c r="D38" s="92"/>
      <c r="E38" s="92"/>
      <c r="F38" s="128"/>
      <c r="G38" s="128"/>
      <c r="H38" s="92"/>
      <c r="I38" s="92"/>
      <c r="J38" s="100"/>
      <c r="K38" s="100"/>
      <c r="L38" s="128"/>
      <c r="M38" s="118"/>
      <c r="O38" s="93"/>
      <c r="P38" s="93"/>
      <c r="Q38" s="93"/>
      <c r="R38" s="92"/>
      <c r="S38" s="92"/>
      <c r="T38" s="92"/>
    </row>
    <row r="39" spans="2:20" ht="18.5" x14ac:dyDescent="0.35">
      <c r="B39" s="68"/>
      <c r="C39" s="376" t="s">
        <v>32</v>
      </c>
      <c r="D39" s="376"/>
      <c r="E39" s="376"/>
      <c r="F39" s="376"/>
      <c r="G39" s="376"/>
      <c r="H39" s="376"/>
      <c r="I39" s="376"/>
      <c r="J39" s="376"/>
      <c r="K39" s="376"/>
      <c r="L39" s="376"/>
      <c r="M39" s="91"/>
      <c r="O39" s="127"/>
      <c r="P39" s="120"/>
      <c r="Q39" s="93"/>
      <c r="R39" s="92"/>
      <c r="S39" s="92"/>
      <c r="T39" s="92"/>
    </row>
    <row r="40" spans="2:20" x14ac:dyDescent="0.35">
      <c r="B40" s="68"/>
      <c r="C40" s="62" t="s">
        <v>6</v>
      </c>
      <c r="D40" s="62"/>
      <c r="E40" s="92"/>
      <c r="H40" s="92"/>
      <c r="I40" s="92"/>
      <c r="J40" s="100"/>
      <c r="K40" s="100"/>
      <c r="L40" s="127">
        <f>L36</f>
        <v>2412954.21</v>
      </c>
      <c r="M40" s="104"/>
      <c r="O40" s="128"/>
      <c r="P40" s="93"/>
      <c r="Q40" s="93"/>
      <c r="R40" s="92"/>
      <c r="S40" s="92"/>
      <c r="T40" s="92"/>
    </row>
    <row r="41" spans="2:20" x14ac:dyDescent="0.35">
      <c r="B41" s="68"/>
      <c r="C41" s="62" t="s">
        <v>159</v>
      </c>
      <c r="D41" s="27"/>
      <c r="E41" s="62" t="s">
        <v>160</v>
      </c>
      <c r="H41" s="92"/>
      <c r="I41" s="92"/>
      <c r="J41" s="129"/>
      <c r="K41" s="129"/>
      <c r="L41" s="63">
        <v>0.88</v>
      </c>
      <c r="M41" s="130"/>
      <c r="O41" s="128"/>
      <c r="P41" s="93"/>
      <c r="Q41" s="93"/>
      <c r="R41" s="92"/>
      <c r="S41" s="92"/>
      <c r="T41" s="92"/>
    </row>
    <row r="42" spans="2:20" ht="18.5" x14ac:dyDescent="0.35">
      <c r="B42" s="68"/>
      <c r="C42" s="64" t="s">
        <v>161</v>
      </c>
      <c r="D42" s="64"/>
      <c r="E42" s="92"/>
      <c r="H42" s="92"/>
      <c r="I42" s="92"/>
      <c r="J42" s="129"/>
      <c r="K42" s="129"/>
      <c r="L42" s="62">
        <f>ROUND(L40/L41,0)</f>
        <v>2741993</v>
      </c>
      <c r="M42" s="115"/>
      <c r="O42" s="127"/>
      <c r="P42" s="93"/>
      <c r="Q42" s="93"/>
      <c r="R42" s="92"/>
      <c r="S42" s="92"/>
      <c r="T42" s="92"/>
    </row>
    <row r="43" spans="2:20" x14ac:dyDescent="0.35">
      <c r="B43" s="68"/>
      <c r="C43" s="64" t="s">
        <v>162</v>
      </c>
      <c r="D43" s="64"/>
      <c r="E43" s="64"/>
      <c r="H43" s="92"/>
      <c r="I43" s="92"/>
      <c r="J43" s="100"/>
      <c r="K43" s="100"/>
      <c r="L43" s="65">
        <f>'Avg Debt Service'!X22</f>
        <v>119098</v>
      </c>
      <c r="M43" s="104"/>
      <c r="O43" s="105" t="s">
        <v>340</v>
      </c>
      <c r="P43" s="339"/>
      <c r="Q43" s="340"/>
      <c r="R43" s="341">
        <f>'SAO - DSC'!R43</f>
        <v>-292591</v>
      </c>
      <c r="S43" s="92"/>
      <c r="T43" s="92"/>
    </row>
    <row r="44" spans="2:20" x14ac:dyDescent="0.35">
      <c r="B44" s="68"/>
      <c r="C44" s="64" t="s">
        <v>23</v>
      </c>
      <c r="D44" s="64"/>
      <c r="E44" s="92"/>
      <c r="H44" s="92"/>
      <c r="I44" s="92"/>
      <c r="J44" s="100"/>
      <c r="K44" s="100"/>
      <c r="L44" s="62">
        <f>SUM(L42:L43)</f>
        <v>2861091</v>
      </c>
      <c r="M44" s="132"/>
      <c r="O44" s="105" t="s">
        <v>341</v>
      </c>
      <c r="P44" s="339"/>
      <c r="Q44" s="340"/>
      <c r="R44" s="105">
        <f>'SAO - DSC'!R44</f>
        <v>-53543</v>
      </c>
      <c r="S44" s="92"/>
      <c r="T44" s="92"/>
    </row>
    <row r="45" spans="2:20" x14ac:dyDescent="0.35">
      <c r="B45" s="68"/>
      <c r="C45" s="92" t="s">
        <v>61</v>
      </c>
      <c r="D45" s="92"/>
      <c r="E45" s="92" t="s">
        <v>7</v>
      </c>
      <c r="H45" s="92"/>
      <c r="I45" s="92"/>
      <c r="J45" s="100"/>
      <c r="K45" s="100"/>
      <c r="L45" s="131">
        <f>'SAO - DSC'!L44</f>
        <v>-30827</v>
      </c>
      <c r="M45" s="132"/>
      <c r="O45" s="105" t="s">
        <v>342</v>
      </c>
      <c r="P45" s="339"/>
      <c r="Q45" s="340"/>
      <c r="R45" s="105">
        <f>'SAO - DSC'!R45</f>
        <v>-709</v>
      </c>
      <c r="S45" s="92"/>
      <c r="T45" s="92"/>
    </row>
    <row r="46" spans="2:20" x14ac:dyDescent="0.35">
      <c r="B46" s="68"/>
      <c r="C46" s="92"/>
      <c r="D46" s="92"/>
      <c r="E46" s="92" t="s">
        <v>38</v>
      </c>
      <c r="I46" s="92"/>
      <c r="J46" s="100"/>
      <c r="K46" s="100"/>
      <c r="L46" s="131">
        <v>-72</v>
      </c>
      <c r="M46" s="132"/>
      <c r="O46" s="105" t="s">
        <v>316</v>
      </c>
      <c r="P46" s="339"/>
      <c r="Q46" s="340"/>
      <c r="R46" s="342">
        <f>'SAO - DSC'!R46</f>
        <v>-6600</v>
      </c>
      <c r="S46" s="92"/>
      <c r="T46" s="92"/>
    </row>
    <row r="47" spans="2:20" ht="16" thickBot="1" x14ac:dyDescent="0.4">
      <c r="B47" s="68"/>
      <c r="C47" s="92"/>
      <c r="D47" s="92"/>
      <c r="E47" s="92" t="s">
        <v>325</v>
      </c>
      <c r="I47" s="92"/>
      <c r="J47" s="100"/>
      <c r="K47" s="100"/>
      <c r="L47" s="131">
        <f>'SAO - DSC'!L46</f>
        <v>-32431</v>
      </c>
      <c r="M47" s="132"/>
      <c r="O47" s="105" t="s">
        <v>59</v>
      </c>
      <c r="P47" s="339"/>
      <c r="Q47" s="340"/>
      <c r="R47" s="343">
        <f>SUM(R43:R46)</f>
        <v>-353443</v>
      </c>
      <c r="S47" s="92"/>
      <c r="T47" s="92"/>
    </row>
    <row r="48" spans="2:20" ht="16" thickTop="1" x14ac:dyDescent="0.35">
      <c r="B48" s="68"/>
      <c r="C48" s="92"/>
      <c r="D48" s="92"/>
      <c r="E48" s="27" t="s">
        <v>94</v>
      </c>
      <c r="F48" s="88">
        <v>353443</v>
      </c>
      <c r="H48" s="73">
        <f>R47</f>
        <v>-353443</v>
      </c>
      <c r="I48" s="92"/>
      <c r="J48" s="100" t="s">
        <v>117</v>
      </c>
      <c r="K48" s="100"/>
      <c r="L48" s="169">
        <f>SUM(F48,H48:H48)</f>
        <v>0</v>
      </c>
      <c r="M48" s="132"/>
      <c r="O48" s="27"/>
      <c r="P48" s="93"/>
      <c r="Q48" s="93"/>
      <c r="R48" s="93"/>
      <c r="S48" s="92"/>
      <c r="T48" s="92"/>
    </row>
    <row r="49" spans="2:20" x14ac:dyDescent="0.35">
      <c r="B49" s="68"/>
      <c r="C49" s="117" t="s">
        <v>71</v>
      </c>
      <c r="D49" s="92"/>
      <c r="E49" s="92"/>
      <c r="H49" s="92"/>
      <c r="I49" s="92"/>
      <c r="J49" s="100"/>
      <c r="K49" s="100"/>
      <c r="L49" s="134">
        <f>SUM(L44:L48)</f>
        <v>2797761</v>
      </c>
      <c r="M49" s="132"/>
      <c r="O49" s="27"/>
      <c r="P49" s="93"/>
      <c r="Q49" s="93"/>
      <c r="R49" s="93"/>
      <c r="S49" s="92"/>
      <c r="T49" s="92"/>
    </row>
    <row r="50" spans="2:20" x14ac:dyDescent="0.35">
      <c r="B50" s="68"/>
      <c r="C50" s="92"/>
      <c r="D50" s="92"/>
      <c r="E50" s="92" t="s">
        <v>24</v>
      </c>
      <c r="H50" s="92"/>
      <c r="I50" s="92"/>
      <c r="J50" s="100"/>
      <c r="K50" s="100"/>
      <c r="L50" s="169">
        <f>-L10</f>
        <v>-1881341.07</v>
      </c>
      <c r="M50" s="132"/>
      <c r="O50" s="27"/>
      <c r="P50" s="93"/>
      <c r="Q50" s="93"/>
      <c r="R50" s="93"/>
      <c r="S50" s="92"/>
      <c r="T50" s="92"/>
    </row>
    <row r="51" spans="2:20" ht="16" thickBot="1" x14ac:dyDescent="0.4">
      <c r="B51" s="68"/>
      <c r="C51" s="117" t="s">
        <v>136</v>
      </c>
      <c r="D51" s="92"/>
      <c r="E51" s="92"/>
      <c r="H51" s="92"/>
      <c r="I51" s="92"/>
      <c r="J51" s="100"/>
      <c r="K51" s="100"/>
      <c r="L51" s="136">
        <f>SUM(L49:L50)</f>
        <v>916419.92999999993</v>
      </c>
      <c r="M51" s="132"/>
      <c r="O51" s="27"/>
      <c r="P51" s="93"/>
      <c r="Q51" s="93"/>
      <c r="R51" s="93"/>
      <c r="S51" s="92"/>
      <c r="T51" s="92"/>
    </row>
    <row r="52" spans="2:20" ht="19.5" thickTop="1" thickBot="1" x14ac:dyDescent="0.4">
      <c r="B52" s="68"/>
      <c r="L52" s="66">
        <f>ROUND(L51/(-L50),4)</f>
        <v>0.48709999999999998</v>
      </c>
      <c r="M52" s="115"/>
      <c r="P52" s="93"/>
      <c r="Q52" s="93"/>
      <c r="R52" s="133"/>
      <c r="S52" s="92"/>
      <c r="T52" s="92"/>
    </row>
    <row r="53" spans="2:20" ht="15" customHeight="1" thickTop="1" x14ac:dyDescent="0.35">
      <c r="B53" s="69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9"/>
    </row>
    <row r="54" spans="2:20" x14ac:dyDescent="0.35">
      <c r="J54" s="88"/>
      <c r="K54" s="88"/>
    </row>
  </sheetData>
  <mergeCells count="3">
    <mergeCell ref="C3:L3"/>
    <mergeCell ref="C4:L4"/>
    <mergeCell ref="C39:L3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D632D-FAC1-44D7-A5AC-38E8A9507840}">
  <dimension ref="B3:P31"/>
  <sheetViews>
    <sheetView showGridLines="0" topLeftCell="B1" workbookViewId="0">
      <selection activeCell="B1" sqref="A1:XFD1048576"/>
    </sheetView>
  </sheetViews>
  <sheetFormatPr defaultColWidth="8.84375" defaultRowHeight="15.5" x14ac:dyDescent="0.35"/>
  <cols>
    <col min="1" max="1" width="9.69140625" style="27" customWidth="1"/>
    <col min="2" max="2" width="1.07421875" style="27" customWidth="1"/>
    <col min="3" max="3" width="4.765625" style="27" customWidth="1"/>
    <col min="4" max="5" width="10.765625" style="27" customWidth="1"/>
    <col min="6" max="6" width="11.765625" style="314" customWidth="1"/>
    <col min="7" max="7" width="10.765625" style="27" customWidth="1"/>
    <col min="8" max="8" width="1.23046875" style="27" customWidth="1"/>
    <col min="9" max="9" width="10.765625" style="314" customWidth="1"/>
    <col min="10" max="10" width="10.765625" style="27" customWidth="1"/>
    <col min="11" max="11" width="1.765625" style="27" customWidth="1"/>
    <col min="12" max="12" width="12.765625" style="27" customWidth="1"/>
    <col min="13" max="13" width="1.765625" style="27" customWidth="1"/>
    <col min="14" max="14" width="12.765625" style="27" customWidth="1"/>
    <col min="15" max="15" width="1.765625" style="27" customWidth="1"/>
    <col min="16" max="201" width="9.69140625" style="27" customWidth="1"/>
    <col min="202" max="16384" width="8.84375" style="27"/>
  </cols>
  <sheetData>
    <row r="3" spans="2:15" x14ac:dyDescent="0.35">
      <c r="B3" s="67"/>
      <c r="C3" s="422" t="s">
        <v>87</v>
      </c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323"/>
    </row>
    <row r="4" spans="2:15" x14ac:dyDescent="0.35">
      <c r="B4" s="68"/>
      <c r="C4" s="423" t="s">
        <v>55</v>
      </c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144"/>
    </row>
    <row r="5" spans="2:15" x14ac:dyDescent="0.35">
      <c r="B5" s="68"/>
      <c r="C5" s="424" t="str">
        <f>Adjustments!B1</f>
        <v>Morgan County Water District</v>
      </c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144"/>
    </row>
    <row r="6" spans="2:15" x14ac:dyDescent="0.35">
      <c r="B6" s="68"/>
      <c r="O6" s="144"/>
    </row>
    <row r="7" spans="2:15" x14ac:dyDescent="0.35">
      <c r="B7" s="68"/>
      <c r="C7" s="313"/>
      <c r="I7" s="315"/>
      <c r="L7" s="421" t="s">
        <v>375</v>
      </c>
      <c r="M7" s="421"/>
      <c r="N7" s="421"/>
      <c r="O7" s="144"/>
    </row>
    <row r="8" spans="2:15" x14ac:dyDescent="0.35">
      <c r="B8" s="68"/>
      <c r="C8" s="322" t="s">
        <v>322</v>
      </c>
      <c r="F8" s="421" t="s">
        <v>374</v>
      </c>
      <c r="G8" s="421"/>
      <c r="I8" s="421" t="s">
        <v>373</v>
      </c>
      <c r="J8" s="421"/>
      <c r="L8" s="288" t="s">
        <v>376</v>
      </c>
      <c r="N8" s="288" t="s">
        <v>377</v>
      </c>
      <c r="O8" s="324"/>
    </row>
    <row r="9" spans="2:15" x14ac:dyDescent="0.35">
      <c r="B9" s="68"/>
      <c r="C9" s="316" t="s">
        <v>53</v>
      </c>
      <c r="D9" s="317">
        <v>2000</v>
      </c>
      <c r="E9" s="253" t="s">
        <v>148</v>
      </c>
      <c r="F9" s="318">
        <f>'Rates Comp'!F12</f>
        <v>31.89</v>
      </c>
      <c r="G9" s="27" t="s">
        <v>186</v>
      </c>
      <c r="I9" s="318">
        <f>'Rates Comp'!L12</f>
        <v>44.93</v>
      </c>
      <c r="J9" s="27" t="s">
        <v>186</v>
      </c>
      <c r="L9" s="318">
        <f>I9-F9</f>
        <v>13.04</v>
      </c>
      <c r="M9" s="318"/>
      <c r="N9" s="346">
        <f>ROUND(L9/F9,5)</f>
        <v>0.40891</v>
      </c>
      <c r="O9" s="324"/>
    </row>
    <row r="10" spans="2:15" x14ac:dyDescent="0.35">
      <c r="B10" s="68"/>
      <c r="C10" s="316" t="s">
        <v>54</v>
      </c>
      <c r="D10" s="317">
        <v>3000</v>
      </c>
      <c r="E10" s="253" t="s">
        <v>148</v>
      </c>
      <c r="F10" s="319">
        <f>'Rates Comp'!F13</f>
        <v>1.1860000000000001E-2</v>
      </c>
      <c r="G10" s="27" t="s">
        <v>187</v>
      </c>
      <c r="I10" s="319">
        <f>'Rates Comp'!L13</f>
        <v>1.6660000000000001E-2</v>
      </c>
      <c r="J10" s="27" t="s">
        <v>187</v>
      </c>
      <c r="K10" s="320"/>
      <c r="L10" s="319">
        <f t="shared" ref="L10:L13" si="0">I10-F10</f>
        <v>4.8000000000000004E-3</v>
      </c>
      <c r="M10" s="318"/>
      <c r="N10" s="346">
        <f t="shared" ref="N10:N13" si="1">ROUND(L10/F10,5)</f>
        <v>0.40472000000000002</v>
      </c>
      <c r="O10" s="324"/>
    </row>
    <row r="11" spans="2:15" x14ac:dyDescent="0.35">
      <c r="B11" s="68"/>
      <c r="C11" s="316" t="s">
        <v>54</v>
      </c>
      <c r="D11" s="317">
        <v>5000</v>
      </c>
      <c r="E11" s="253" t="s">
        <v>148</v>
      </c>
      <c r="F11" s="319">
        <f>'Rates Comp'!F14</f>
        <v>1.0999999999999999E-2</v>
      </c>
      <c r="G11" s="27" t="s">
        <v>187</v>
      </c>
      <c r="I11" s="319">
        <f>'Rates Comp'!L14</f>
        <v>1.545E-2</v>
      </c>
      <c r="J11" s="27" t="s">
        <v>187</v>
      </c>
      <c r="L11" s="319">
        <f t="shared" si="0"/>
        <v>4.4500000000000008E-3</v>
      </c>
      <c r="M11" s="318"/>
      <c r="N11" s="346">
        <f t="shared" si="1"/>
        <v>0.40455000000000002</v>
      </c>
      <c r="O11" s="144"/>
    </row>
    <row r="12" spans="2:15" x14ac:dyDescent="0.35">
      <c r="B12" s="68"/>
      <c r="C12" s="316" t="s">
        <v>54</v>
      </c>
      <c r="D12" s="317">
        <v>5000</v>
      </c>
      <c r="E12" s="253" t="s">
        <v>148</v>
      </c>
      <c r="F12" s="319">
        <f>'Rates Comp'!F15</f>
        <v>1.0149999999999999E-2</v>
      </c>
      <c r="G12" s="27" t="s">
        <v>187</v>
      </c>
      <c r="I12" s="319">
        <f>'Rates Comp'!L15</f>
        <v>1.4249999999999999E-2</v>
      </c>
      <c r="J12" s="27" t="s">
        <v>187</v>
      </c>
      <c r="L12" s="319">
        <f t="shared" si="0"/>
        <v>4.0999999999999995E-3</v>
      </c>
      <c r="M12" s="318"/>
      <c r="N12" s="346">
        <f t="shared" si="1"/>
        <v>0.40394000000000002</v>
      </c>
      <c r="O12" s="144"/>
    </row>
    <row r="13" spans="2:15" x14ac:dyDescent="0.35">
      <c r="B13" s="68"/>
      <c r="C13" s="316" t="s">
        <v>98</v>
      </c>
      <c r="D13" s="317">
        <v>15000</v>
      </c>
      <c r="E13" s="253" t="s">
        <v>148</v>
      </c>
      <c r="F13" s="319">
        <f>'Rates Comp'!F16</f>
        <v>9.2899999999999996E-3</v>
      </c>
      <c r="G13" s="27" t="s">
        <v>187</v>
      </c>
      <c r="I13" s="319">
        <f>'Rates Comp'!L16</f>
        <v>1.304E-2</v>
      </c>
      <c r="J13" s="27" t="s">
        <v>187</v>
      </c>
      <c r="L13" s="319">
        <f t="shared" si="0"/>
        <v>3.7499999999999999E-3</v>
      </c>
      <c r="M13" s="318"/>
      <c r="N13" s="346">
        <f t="shared" si="1"/>
        <v>0.40366000000000002</v>
      </c>
      <c r="O13" s="144"/>
    </row>
    <row r="14" spans="2:15" x14ac:dyDescent="0.35">
      <c r="B14" s="68"/>
      <c r="E14" s="253"/>
      <c r="F14" s="27"/>
      <c r="N14" s="347"/>
      <c r="O14" s="144"/>
    </row>
    <row r="15" spans="2:15" x14ac:dyDescent="0.35">
      <c r="B15" s="68"/>
      <c r="C15" s="322" t="s">
        <v>177</v>
      </c>
      <c r="E15" s="253"/>
      <c r="F15" s="27"/>
      <c r="N15" s="347"/>
      <c r="O15" s="144"/>
    </row>
    <row r="16" spans="2:15" x14ac:dyDescent="0.35">
      <c r="B16" s="68"/>
      <c r="C16" s="316" t="s">
        <v>53</v>
      </c>
      <c r="D16" s="317">
        <v>5000</v>
      </c>
      <c r="E16" s="253" t="s">
        <v>148</v>
      </c>
      <c r="F16" s="318">
        <f>'Rates Comp'!F19</f>
        <v>67.62</v>
      </c>
      <c r="G16" s="27" t="s">
        <v>186</v>
      </c>
      <c r="I16" s="318">
        <f>'Rates Comp'!L19</f>
        <v>95.240000000000009</v>
      </c>
      <c r="J16" s="27" t="s">
        <v>186</v>
      </c>
      <c r="L16" s="318">
        <f>I16-F16</f>
        <v>27.620000000000005</v>
      </c>
      <c r="M16" s="318"/>
      <c r="N16" s="346">
        <f>ROUND(L16/F16,5)</f>
        <v>0.40845999999999999</v>
      </c>
      <c r="O16" s="144"/>
    </row>
    <row r="17" spans="2:16" x14ac:dyDescent="0.35">
      <c r="B17" s="68"/>
      <c r="C17" s="316" t="s">
        <v>54</v>
      </c>
      <c r="D17" s="317">
        <v>5000</v>
      </c>
      <c r="E17" s="253" t="s">
        <v>148</v>
      </c>
      <c r="F17" s="319">
        <f>'Rates Comp'!F20</f>
        <v>1.0999999999999999E-2</v>
      </c>
      <c r="G17" s="27" t="s">
        <v>187</v>
      </c>
      <c r="I17" s="319">
        <f>'Rates Comp'!L20</f>
        <v>1.545E-2</v>
      </c>
      <c r="J17" s="27" t="s">
        <v>187</v>
      </c>
      <c r="L17" s="319">
        <f t="shared" ref="L17:L19" si="2">I17-F17</f>
        <v>4.4500000000000008E-3</v>
      </c>
      <c r="M17" s="318"/>
      <c r="N17" s="346">
        <f t="shared" ref="N17:N19" si="3">ROUND(L17/F17,5)</f>
        <v>0.40455000000000002</v>
      </c>
      <c r="O17" s="144"/>
    </row>
    <row r="18" spans="2:16" x14ac:dyDescent="0.35">
      <c r="B18" s="68"/>
      <c r="C18" s="316" t="s">
        <v>54</v>
      </c>
      <c r="D18" s="317">
        <v>5000</v>
      </c>
      <c r="E18" s="253" t="s">
        <v>148</v>
      </c>
      <c r="F18" s="319">
        <f>'Rates Comp'!F21</f>
        <v>1.0149999999999999E-2</v>
      </c>
      <c r="G18" s="27" t="s">
        <v>187</v>
      </c>
      <c r="I18" s="319">
        <f>'Rates Comp'!L21</f>
        <v>1.4249999999999999E-2</v>
      </c>
      <c r="J18" s="27" t="s">
        <v>187</v>
      </c>
      <c r="L18" s="319">
        <f t="shared" si="2"/>
        <v>4.0999999999999995E-3</v>
      </c>
      <c r="M18" s="318"/>
      <c r="N18" s="346">
        <f t="shared" si="3"/>
        <v>0.40394000000000002</v>
      </c>
      <c r="O18" s="144"/>
    </row>
    <row r="19" spans="2:16" x14ac:dyDescent="0.35">
      <c r="B19" s="68"/>
      <c r="C19" s="316" t="s">
        <v>98</v>
      </c>
      <c r="D19" s="317">
        <v>15000</v>
      </c>
      <c r="E19" s="253" t="s">
        <v>148</v>
      </c>
      <c r="F19" s="319">
        <f>'Rates Comp'!F22</f>
        <v>9.2899999999999996E-3</v>
      </c>
      <c r="G19" s="27" t="s">
        <v>187</v>
      </c>
      <c r="I19" s="319">
        <f>'Rates Comp'!L22</f>
        <v>1.304E-2</v>
      </c>
      <c r="J19" s="27" t="s">
        <v>187</v>
      </c>
      <c r="L19" s="319">
        <f t="shared" si="2"/>
        <v>3.7499999999999999E-3</v>
      </c>
      <c r="M19" s="318"/>
      <c r="N19" s="346">
        <f t="shared" si="3"/>
        <v>0.40366000000000002</v>
      </c>
      <c r="O19" s="144"/>
    </row>
    <row r="20" spans="2:16" x14ac:dyDescent="0.35">
      <c r="B20" s="68"/>
      <c r="C20" s="316"/>
      <c r="D20" s="317"/>
      <c r="E20" s="253"/>
      <c r="F20" s="321"/>
      <c r="L20" s="321"/>
      <c r="M20" s="321"/>
      <c r="N20" s="348"/>
      <c r="O20" s="144"/>
      <c r="P20" s="27">
        <v>7</v>
      </c>
    </row>
    <row r="21" spans="2:16" x14ac:dyDescent="0.35">
      <c r="B21" s="68"/>
      <c r="C21" s="322" t="s">
        <v>178</v>
      </c>
      <c r="E21" s="253"/>
      <c r="F21" s="27"/>
      <c r="N21" s="347"/>
      <c r="O21" s="144"/>
    </row>
    <row r="22" spans="2:16" x14ac:dyDescent="0.35">
      <c r="B22" s="68"/>
      <c r="C22" s="316" t="s">
        <v>53</v>
      </c>
      <c r="D22" s="317">
        <v>15000</v>
      </c>
      <c r="E22" s="253" t="s">
        <v>148</v>
      </c>
      <c r="F22" s="318">
        <f>'Rates Comp'!F25</f>
        <v>171.93</v>
      </c>
      <c r="G22" s="27" t="s">
        <v>186</v>
      </c>
      <c r="I22" s="318">
        <f>'Rates Comp'!L25</f>
        <v>242.11</v>
      </c>
      <c r="J22" s="27" t="s">
        <v>186</v>
      </c>
      <c r="L22" s="318">
        <f>I22-F22</f>
        <v>70.180000000000007</v>
      </c>
      <c r="M22" s="318"/>
      <c r="N22" s="346">
        <f>ROUND(L22/F22,5)</f>
        <v>0.40819</v>
      </c>
      <c r="O22" s="144"/>
    </row>
    <row r="23" spans="2:16" x14ac:dyDescent="0.35">
      <c r="B23" s="68"/>
      <c r="C23" s="316" t="s">
        <v>98</v>
      </c>
      <c r="D23" s="317">
        <v>15000</v>
      </c>
      <c r="E23" s="253" t="s">
        <v>148</v>
      </c>
      <c r="F23" s="319">
        <f>'Rates Comp'!F26</f>
        <v>9.2899999999999996E-3</v>
      </c>
      <c r="G23" s="27" t="s">
        <v>187</v>
      </c>
      <c r="I23" s="319">
        <f>'Rates Comp'!L26</f>
        <v>1.304E-2</v>
      </c>
      <c r="J23" s="27" t="s">
        <v>187</v>
      </c>
      <c r="L23" s="319">
        <f t="shared" ref="L23" si="4">I23-F23</f>
        <v>3.7499999999999999E-3</v>
      </c>
      <c r="M23" s="318"/>
      <c r="N23" s="346">
        <f t="shared" ref="N23" si="5">ROUND(L23/F23,5)</f>
        <v>0.40366000000000002</v>
      </c>
      <c r="O23" s="144"/>
    </row>
    <row r="24" spans="2:16" x14ac:dyDescent="0.35">
      <c r="B24" s="68"/>
      <c r="E24" s="253"/>
      <c r="F24" s="319"/>
      <c r="L24" s="319"/>
      <c r="M24" s="319"/>
      <c r="N24" s="348"/>
      <c r="O24" s="144"/>
    </row>
    <row r="25" spans="2:16" x14ac:dyDescent="0.35">
      <c r="B25" s="68"/>
      <c r="C25" s="322" t="s">
        <v>179</v>
      </c>
      <c r="E25" s="253"/>
      <c r="F25" s="319"/>
      <c r="L25" s="319"/>
      <c r="M25" s="319"/>
      <c r="N25" s="348"/>
      <c r="O25" s="144"/>
    </row>
    <row r="26" spans="2:16" x14ac:dyDescent="0.35">
      <c r="B26" s="68"/>
      <c r="C26" s="316" t="s">
        <v>53</v>
      </c>
      <c r="D26" s="317">
        <v>100000</v>
      </c>
      <c r="E26" s="253" t="s">
        <v>148</v>
      </c>
      <c r="F26" s="318">
        <f>'Rates Comp'!F29</f>
        <v>963.03</v>
      </c>
      <c r="G26" s="27" t="s">
        <v>186</v>
      </c>
      <c r="I26" s="318">
        <f>'Rates Comp'!L29</f>
        <v>1355.98</v>
      </c>
      <c r="J26" s="27" t="s">
        <v>186</v>
      </c>
      <c r="L26" s="318">
        <f>I26-F26</f>
        <v>392.95000000000005</v>
      </c>
      <c r="M26" s="318"/>
      <c r="N26" s="346">
        <f>ROUND(L26/F26,5)</f>
        <v>0.40804000000000001</v>
      </c>
      <c r="O26" s="144"/>
    </row>
    <row r="27" spans="2:16" x14ac:dyDescent="0.35">
      <c r="B27" s="68"/>
      <c r="C27" s="316" t="s">
        <v>98</v>
      </c>
      <c r="D27" s="317">
        <v>100000</v>
      </c>
      <c r="E27" s="253" t="s">
        <v>148</v>
      </c>
      <c r="F27" s="319">
        <f>'Rates Comp'!F30</f>
        <v>9.2899999999999996E-3</v>
      </c>
      <c r="G27" s="27" t="s">
        <v>187</v>
      </c>
      <c r="I27" s="319">
        <f>'Rates Comp'!L30</f>
        <v>1.304E-2</v>
      </c>
      <c r="J27" s="27" t="s">
        <v>187</v>
      </c>
      <c r="L27" s="319">
        <f t="shared" ref="L27" si="6">I27-F27</f>
        <v>3.7499999999999999E-3</v>
      </c>
      <c r="M27" s="318"/>
      <c r="N27" s="346">
        <f t="shared" ref="N27" si="7">ROUND(L27/F27,5)</f>
        <v>0.40366000000000002</v>
      </c>
      <c r="O27" s="144"/>
    </row>
    <row r="28" spans="2:16" x14ac:dyDescent="0.35">
      <c r="B28" s="68"/>
      <c r="F28" s="319"/>
      <c r="L28" s="319"/>
      <c r="M28" s="319"/>
      <c r="N28" s="348"/>
      <c r="O28" s="144"/>
    </row>
    <row r="29" spans="2:16" x14ac:dyDescent="0.35">
      <c r="B29" s="68"/>
      <c r="C29" s="322" t="s">
        <v>188</v>
      </c>
      <c r="F29" s="319"/>
      <c r="L29" s="319"/>
      <c r="M29" s="319"/>
      <c r="N29" s="348"/>
      <c r="O29" s="144"/>
    </row>
    <row r="30" spans="2:16" x14ac:dyDescent="0.35">
      <c r="B30" s="68"/>
      <c r="C30" s="316"/>
      <c r="D30" s="317"/>
      <c r="E30" s="317"/>
      <c r="F30" s="319">
        <f>'Rates Comp'!F33</f>
        <v>4.5199999999999997E-3</v>
      </c>
      <c r="G30" s="27" t="s">
        <v>187</v>
      </c>
      <c r="I30" s="319">
        <f>'Rates Comp'!L33</f>
        <v>6.3599999999999993E-3</v>
      </c>
      <c r="J30" s="27" t="s">
        <v>187</v>
      </c>
      <c r="L30" s="319">
        <f t="shared" ref="L30" si="8">I30-F30</f>
        <v>1.8399999999999996E-3</v>
      </c>
      <c r="M30" s="318"/>
      <c r="N30" s="346">
        <f t="shared" ref="N30" si="9">ROUND(L30/F30,5)</f>
        <v>0.40708</v>
      </c>
      <c r="O30" s="144"/>
    </row>
    <row r="31" spans="2:16" x14ac:dyDescent="0.35">
      <c r="B31" s="69"/>
      <c r="C31" s="325"/>
      <c r="D31" s="325"/>
      <c r="E31" s="325"/>
      <c r="F31" s="326"/>
      <c r="G31" s="325"/>
      <c r="H31" s="325"/>
      <c r="I31" s="326"/>
      <c r="J31" s="325"/>
      <c r="K31" s="325"/>
      <c r="L31" s="325"/>
      <c r="M31" s="325"/>
      <c r="N31" s="63"/>
      <c r="O31" s="327"/>
    </row>
  </sheetData>
  <mergeCells count="6">
    <mergeCell ref="F8:G8"/>
    <mergeCell ref="I8:J8"/>
    <mergeCell ref="L7:N7"/>
    <mergeCell ref="C3:N3"/>
    <mergeCell ref="C4:N4"/>
    <mergeCell ref="C5:N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3642-0AA3-4A53-83A7-DF73C5A38A4B}">
  <dimension ref="B3:P31"/>
  <sheetViews>
    <sheetView topLeftCell="A6" workbookViewId="0">
      <selection activeCell="B3" sqref="B3:O31"/>
    </sheetView>
  </sheetViews>
  <sheetFormatPr defaultColWidth="8.84375" defaultRowHeight="15.5" x14ac:dyDescent="0.35"/>
  <cols>
    <col min="1" max="1" width="9.69140625" style="27" customWidth="1"/>
    <col min="2" max="2" width="1.07421875" style="27" customWidth="1"/>
    <col min="3" max="3" width="4.765625" style="27" customWidth="1"/>
    <col min="4" max="5" width="10.765625" style="27" customWidth="1"/>
    <col min="6" max="6" width="11.765625" style="314" customWidth="1"/>
    <col min="7" max="7" width="10.765625" style="27" customWidth="1"/>
    <col min="8" max="8" width="1.23046875" style="27" customWidth="1"/>
    <col min="9" max="9" width="10.765625" style="314" customWidth="1"/>
    <col min="10" max="10" width="10.765625" style="27" customWidth="1"/>
    <col min="11" max="11" width="1.765625" style="27" customWidth="1"/>
    <col min="12" max="12" width="12.765625" style="27" customWidth="1"/>
    <col min="13" max="13" width="1.765625" style="27" customWidth="1"/>
    <col min="14" max="14" width="12.765625" style="27" customWidth="1"/>
    <col min="15" max="15" width="1.765625" style="27" customWidth="1"/>
    <col min="16" max="201" width="9.69140625" style="27" customWidth="1"/>
    <col min="202" max="16384" width="8.84375" style="27"/>
  </cols>
  <sheetData>
    <row r="3" spans="2:15" x14ac:dyDescent="0.35">
      <c r="B3" s="67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323"/>
    </row>
    <row r="4" spans="2:15" x14ac:dyDescent="0.35">
      <c r="B4" s="68"/>
      <c r="C4" s="423" t="s">
        <v>423</v>
      </c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144"/>
    </row>
    <row r="5" spans="2:15" x14ac:dyDescent="0.35">
      <c r="B5" s="68"/>
      <c r="C5" s="424" t="str">
        <f>Adjustments!B1</f>
        <v>Morgan County Water District</v>
      </c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144"/>
    </row>
    <row r="6" spans="2:15" x14ac:dyDescent="0.35">
      <c r="B6" s="68"/>
      <c r="O6" s="144"/>
    </row>
    <row r="7" spans="2:15" x14ac:dyDescent="0.35">
      <c r="B7" s="68"/>
      <c r="C7" s="313"/>
      <c r="I7" s="315"/>
      <c r="L7" s="421" t="s">
        <v>375</v>
      </c>
      <c r="M7" s="421"/>
      <c r="N7" s="421"/>
      <c r="O7" s="144"/>
    </row>
    <row r="8" spans="2:15" x14ac:dyDescent="0.35">
      <c r="B8" s="68"/>
      <c r="C8" s="322" t="s">
        <v>322</v>
      </c>
      <c r="F8" s="421" t="s">
        <v>424</v>
      </c>
      <c r="G8" s="421"/>
      <c r="I8" s="421" t="s">
        <v>373</v>
      </c>
      <c r="J8" s="421"/>
      <c r="L8" s="288" t="s">
        <v>376</v>
      </c>
      <c r="N8" s="288" t="s">
        <v>377</v>
      </c>
      <c r="O8" s="324"/>
    </row>
    <row r="9" spans="2:15" x14ac:dyDescent="0.35">
      <c r="B9" s="68"/>
      <c r="C9" s="316" t="s">
        <v>53</v>
      </c>
      <c r="D9" s="317">
        <v>2000</v>
      </c>
      <c r="E9" s="253" t="s">
        <v>148</v>
      </c>
      <c r="F9" s="318">
        <f>'Rates Comp'!F12</f>
        <v>31.89</v>
      </c>
      <c r="G9" s="27" t="s">
        <v>186</v>
      </c>
      <c r="I9" s="318">
        <f>'Rates Comp'!L12</f>
        <v>44.93</v>
      </c>
      <c r="J9" s="27" t="s">
        <v>186</v>
      </c>
      <c r="L9" s="318">
        <f>I9-F9</f>
        <v>13.04</v>
      </c>
      <c r="M9" s="318"/>
      <c r="N9" s="346">
        <f>ROUND(L9/F9,5)</f>
        <v>0.40891</v>
      </c>
      <c r="O9" s="324"/>
    </row>
    <row r="10" spans="2:15" x14ac:dyDescent="0.35">
      <c r="B10" s="68"/>
      <c r="C10" s="316" t="s">
        <v>54</v>
      </c>
      <c r="D10" s="317">
        <v>3000</v>
      </c>
      <c r="E10" s="253" t="s">
        <v>148</v>
      </c>
      <c r="F10" s="319">
        <f>'Rates Comp'!F13</f>
        <v>1.1860000000000001E-2</v>
      </c>
      <c r="G10" s="27" t="s">
        <v>187</v>
      </c>
      <c r="I10" s="319">
        <f>'Rates Comp'!L13</f>
        <v>1.6660000000000001E-2</v>
      </c>
      <c r="J10" s="27" t="s">
        <v>187</v>
      </c>
      <c r="K10" s="320"/>
      <c r="L10" s="319">
        <f t="shared" ref="L10:L13" si="0">I10-F10</f>
        <v>4.8000000000000004E-3</v>
      </c>
      <c r="M10" s="318"/>
      <c r="N10" s="346">
        <f t="shared" ref="N10:N13" si="1">ROUND(L10/F10,5)</f>
        <v>0.40472000000000002</v>
      </c>
      <c r="O10" s="324"/>
    </row>
    <row r="11" spans="2:15" x14ac:dyDescent="0.35">
      <c r="B11" s="68"/>
      <c r="C11" s="316" t="s">
        <v>54</v>
      </c>
      <c r="D11" s="317">
        <v>5000</v>
      </c>
      <c r="E11" s="253" t="s">
        <v>148</v>
      </c>
      <c r="F11" s="319">
        <f>'Rates Comp'!F14</f>
        <v>1.0999999999999999E-2</v>
      </c>
      <c r="G11" s="27" t="s">
        <v>187</v>
      </c>
      <c r="I11" s="319">
        <f>'Rates Comp'!L14</f>
        <v>1.545E-2</v>
      </c>
      <c r="J11" s="27" t="s">
        <v>187</v>
      </c>
      <c r="L11" s="319">
        <f t="shared" si="0"/>
        <v>4.4500000000000008E-3</v>
      </c>
      <c r="M11" s="318"/>
      <c r="N11" s="346">
        <f t="shared" si="1"/>
        <v>0.40455000000000002</v>
      </c>
      <c r="O11" s="144"/>
    </row>
    <row r="12" spans="2:15" x14ac:dyDescent="0.35">
      <c r="B12" s="68"/>
      <c r="C12" s="316" t="s">
        <v>54</v>
      </c>
      <c r="D12" s="317">
        <v>5000</v>
      </c>
      <c r="E12" s="253" t="s">
        <v>148</v>
      </c>
      <c r="F12" s="319">
        <f>'Rates Comp'!F15</f>
        <v>1.0149999999999999E-2</v>
      </c>
      <c r="G12" s="27" t="s">
        <v>187</v>
      </c>
      <c r="I12" s="319">
        <f>'Rates Comp'!L15</f>
        <v>1.4249999999999999E-2</v>
      </c>
      <c r="J12" s="27" t="s">
        <v>187</v>
      </c>
      <c r="L12" s="319">
        <f t="shared" si="0"/>
        <v>4.0999999999999995E-3</v>
      </c>
      <c r="M12" s="318"/>
      <c r="N12" s="346">
        <f t="shared" si="1"/>
        <v>0.40394000000000002</v>
      </c>
      <c r="O12" s="144"/>
    </row>
    <row r="13" spans="2:15" x14ac:dyDescent="0.35">
      <c r="B13" s="68"/>
      <c r="C13" s="316" t="s">
        <v>98</v>
      </c>
      <c r="D13" s="317">
        <v>15000</v>
      </c>
      <c r="E13" s="253" t="s">
        <v>148</v>
      </c>
      <c r="F13" s="319">
        <f>'Rates Comp'!F16</f>
        <v>9.2899999999999996E-3</v>
      </c>
      <c r="G13" s="27" t="s">
        <v>187</v>
      </c>
      <c r="I13" s="319">
        <f>'Rates Comp'!L16</f>
        <v>1.304E-2</v>
      </c>
      <c r="J13" s="27" t="s">
        <v>187</v>
      </c>
      <c r="L13" s="319">
        <f t="shared" si="0"/>
        <v>3.7499999999999999E-3</v>
      </c>
      <c r="M13" s="318"/>
      <c r="N13" s="346">
        <f t="shared" si="1"/>
        <v>0.40366000000000002</v>
      </c>
      <c r="O13" s="144"/>
    </row>
    <row r="14" spans="2:15" x14ac:dyDescent="0.35">
      <c r="B14" s="68"/>
      <c r="E14" s="253"/>
      <c r="F14" s="27"/>
      <c r="N14" s="347"/>
      <c r="O14" s="144"/>
    </row>
    <row r="15" spans="2:15" x14ac:dyDescent="0.35">
      <c r="B15" s="68"/>
      <c r="C15" s="322" t="s">
        <v>177</v>
      </c>
      <c r="E15" s="253"/>
      <c r="F15" s="27"/>
      <c r="N15" s="347"/>
      <c r="O15" s="144"/>
    </row>
    <row r="16" spans="2:15" x14ac:dyDescent="0.35">
      <c r="B16" s="68"/>
      <c r="C16" s="316" t="s">
        <v>53</v>
      </c>
      <c r="D16" s="317">
        <v>5000</v>
      </c>
      <c r="E16" s="253" t="s">
        <v>148</v>
      </c>
      <c r="F16" s="318">
        <f>'Rates Comp'!F19</f>
        <v>67.62</v>
      </c>
      <c r="G16" s="27" t="s">
        <v>186</v>
      </c>
      <c r="I16" s="318">
        <f>'Rates Comp'!L19</f>
        <v>95.240000000000009</v>
      </c>
      <c r="J16" s="27" t="s">
        <v>186</v>
      </c>
      <c r="L16" s="318">
        <f>I16-F16</f>
        <v>27.620000000000005</v>
      </c>
      <c r="M16" s="318"/>
      <c r="N16" s="346">
        <f>ROUND(L16/F16,5)</f>
        <v>0.40845999999999999</v>
      </c>
      <c r="O16" s="144"/>
    </row>
    <row r="17" spans="2:16" x14ac:dyDescent="0.35">
      <c r="B17" s="68"/>
      <c r="C17" s="316" t="s">
        <v>54</v>
      </c>
      <c r="D17" s="317">
        <v>5000</v>
      </c>
      <c r="E17" s="253" t="s">
        <v>148</v>
      </c>
      <c r="F17" s="319">
        <f>'Rates Comp'!F20</f>
        <v>1.0999999999999999E-2</v>
      </c>
      <c r="G17" s="27" t="s">
        <v>187</v>
      </c>
      <c r="I17" s="319">
        <f>'Rates Comp'!L20</f>
        <v>1.545E-2</v>
      </c>
      <c r="J17" s="27" t="s">
        <v>187</v>
      </c>
      <c r="L17" s="319">
        <f t="shared" ref="L17:L19" si="2">I17-F17</f>
        <v>4.4500000000000008E-3</v>
      </c>
      <c r="M17" s="318"/>
      <c r="N17" s="346">
        <f t="shared" ref="N17:N19" si="3">ROUND(L17/F17,5)</f>
        <v>0.40455000000000002</v>
      </c>
      <c r="O17" s="144"/>
    </row>
    <row r="18" spans="2:16" x14ac:dyDescent="0.35">
      <c r="B18" s="68"/>
      <c r="C18" s="316" t="s">
        <v>54</v>
      </c>
      <c r="D18" s="317">
        <v>5000</v>
      </c>
      <c r="E18" s="253" t="s">
        <v>148</v>
      </c>
      <c r="F18" s="319">
        <f>'Rates Comp'!F21</f>
        <v>1.0149999999999999E-2</v>
      </c>
      <c r="G18" s="27" t="s">
        <v>187</v>
      </c>
      <c r="I18" s="319">
        <f>'Rates Comp'!L21</f>
        <v>1.4249999999999999E-2</v>
      </c>
      <c r="J18" s="27" t="s">
        <v>187</v>
      </c>
      <c r="L18" s="319">
        <f t="shared" si="2"/>
        <v>4.0999999999999995E-3</v>
      </c>
      <c r="M18" s="318"/>
      <c r="N18" s="346">
        <f t="shared" si="3"/>
        <v>0.40394000000000002</v>
      </c>
      <c r="O18" s="144"/>
    </row>
    <row r="19" spans="2:16" x14ac:dyDescent="0.35">
      <c r="B19" s="68"/>
      <c r="C19" s="316" t="s">
        <v>98</v>
      </c>
      <c r="D19" s="317">
        <v>15000</v>
      </c>
      <c r="E19" s="253" t="s">
        <v>148</v>
      </c>
      <c r="F19" s="319">
        <f>'Rates Comp'!F22</f>
        <v>9.2899999999999996E-3</v>
      </c>
      <c r="G19" s="27" t="s">
        <v>187</v>
      </c>
      <c r="I19" s="319">
        <f>'Rates Comp'!L22</f>
        <v>1.304E-2</v>
      </c>
      <c r="J19" s="27" t="s">
        <v>187</v>
      </c>
      <c r="L19" s="319">
        <f t="shared" si="2"/>
        <v>3.7499999999999999E-3</v>
      </c>
      <c r="M19" s="318"/>
      <c r="N19" s="346">
        <f t="shared" si="3"/>
        <v>0.40366000000000002</v>
      </c>
      <c r="O19" s="144"/>
    </row>
    <row r="20" spans="2:16" x14ac:dyDescent="0.35">
      <c r="B20" s="68"/>
      <c r="C20" s="316"/>
      <c r="D20" s="317"/>
      <c r="E20" s="253"/>
      <c r="F20" s="321"/>
      <c r="L20" s="321"/>
      <c r="M20" s="321"/>
      <c r="N20" s="348"/>
      <c r="O20" s="144"/>
      <c r="P20" s="27">
        <v>7</v>
      </c>
    </row>
    <row r="21" spans="2:16" x14ac:dyDescent="0.35">
      <c r="B21" s="68"/>
      <c r="C21" s="322" t="s">
        <v>178</v>
      </c>
      <c r="E21" s="253"/>
      <c r="F21" s="27"/>
      <c r="N21" s="347"/>
      <c r="O21" s="144"/>
    </row>
    <row r="22" spans="2:16" x14ac:dyDescent="0.35">
      <c r="B22" s="68"/>
      <c r="C22" s="316" t="s">
        <v>53</v>
      </c>
      <c r="D22" s="317">
        <v>15000</v>
      </c>
      <c r="E22" s="253" t="s">
        <v>148</v>
      </c>
      <c r="F22" s="318">
        <f>'Rates Comp'!F25</f>
        <v>171.93</v>
      </c>
      <c r="G22" s="27" t="s">
        <v>186</v>
      </c>
      <c r="I22" s="318">
        <f>'Rates Comp'!L25</f>
        <v>242.11</v>
      </c>
      <c r="J22" s="27" t="s">
        <v>186</v>
      </c>
      <c r="L22" s="318">
        <f>I22-F22</f>
        <v>70.180000000000007</v>
      </c>
      <c r="M22" s="318"/>
      <c r="N22" s="346">
        <f>ROUND(L22/F22,5)</f>
        <v>0.40819</v>
      </c>
      <c r="O22" s="144"/>
    </row>
    <row r="23" spans="2:16" x14ac:dyDescent="0.35">
      <c r="B23" s="68"/>
      <c r="C23" s="316" t="s">
        <v>98</v>
      </c>
      <c r="D23" s="317">
        <v>15000</v>
      </c>
      <c r="E23" s="253" t="s">
        <v>148</v>
      </c>
      <c r="F23" s="319">
        <f>'Rates Comp'!F26</f>
        <v>9.2899999999999996E-3</v>
      </c>
      <c r="G23" s="27" t="s">
        <v>187</v>
      </c>
      <c r="I23" s="319">
        <f>'Rates Comp'!L26</f>
        <v>1.304E-2</v>
      </c>
      <c r="J23" s="27" t="s">
        <v>187</v>
      </c>
      <c r="L23" s="319">
        <f t="shared" ref="L23" si="4">I23-F23</f>
        <v>3.7499999999999999E-3</v>
      </c>
      <c r="M23" s="318"/>
      <c r="N23" s="346">
        <f t="shared" ref="N23" si="5">ROUND(L23/F23,5)</f>
        <v>0.40366000000000002</v>
      </c>
      <c r="O23" s="144"/>
    </row>
    <row r="24" spans="2:16" x14ac:dyDescent="0.35">
      <c r="B24" s="68"/>
      <c r="E24" s="253"/>
      <c r="F24" s="319"/>
      <c r="L24" s="319"/>
      <c r="M24" s="319"/>
      <c r="N24" s="348"/>
      <c r="O24" s="144"/>
    </row>
    <row r="25" spans="2:16" x14ac:dyDescent="0.35">
      <c r="B25" s="68"/>
      <c r="C25" s="322" t="s">
        <v>179</v>
      </c>
      <c r="E25" s="253"/>
      <c r="F25" s="319"/>
      <c r="L25" s="319"/>
      <c r="M25" s="319"/>
      <c r="N25" s="348"/>
      <c r="O25" s="144"/>
    </row>
    <row r="26" spans="2:16" x14ac:dyDescent="0.35">
      <c r="B26" s="68"/>
      <c r="C26" s="316" t="s">
        <v>53</v>
      </c>
      <c r="D26" s="317">
        <v>100000</v>
      </c>
      <c r="E26" s="253" t="s">
        <v>148</v>
      </c>
      <c r="F26" s="318">
        <f>'Rates Comp'!F29</f>
        <v>963.03</v>
      </c>
      <c r="G26" s="27" t="s">
        <v>186</v>
      </c>
      <c r="I26" s="318">
        <f>'Rates Comp'!L29</f>
        <v>1355.98</v>
      </c>
      <c r="J26" s="27" t="s">
        <v>186</v>
      </c>
      <c r="L26" s="318">
        <f>I26-F26</f>
        <v>392.95000000000005</v>
      </c>
      <c r="M26" s="318"/>
      <c r="N26" s="346">
        <f>ROUND(L26/F26,5)</f>
        <v>0.40804000000000001</v>
      </c>
      <c r="O26" s="144"/>
    </row>
    <row r="27" spans="2:16" x14ac:dyDescent="0.35">
      <c r="B27" s="68"/>
      <c r="C27" s="316" t="s">
        <v>98</v>
      </c>
      <c r="D27" s="317">
        <v>100000</v>
      </c>
      <c r="E27" s="253" t="s">
        <v>148</v>
      </c>
      <c r="F27" s="319">
        <f>'Rates Comp'!F30</f>
        <v>9.2899999999999996E-3</v>
      </c>
      <c r="G27" s="27" t="s">
        <v>187</v>
      </c>
      <c r="I27" s="319">
        <f>'Rates Comp'!L30</f>
        <v>1.304E-2</v>
      </c>
      <c r="J27" s="27" t="s">
        <v>187</v>
      </c>
      <c r="L27" s="319">
        <f t="shared" ref="L27" si="6">I27-F27</f>
        <v>3.7499999999999999E-3</v>
      </c>
      <c r="M27" s="318"/>
      <c r="N27" s="346">
        <f t="shared" ref="N27" si="7">ROUND(L27/F27,5)</f>
        <v>0.40366000000000002</v>
      </c>
      <c r="O27" s="144"/>
    </row>
    <row r="28" spans="2:16" x14ac:dyDescent="0.35">
      <c r="B28" s="68"/>
      <c r="F28" s="319"/>
      <c r="L28" s="319"/>
      <c r="M28" s="319"/>
      <c r="N28" s="348"/>
      <c r="O28" s="144"/>
    </row>
    <row r="29" spans="2:16" x14ac:dyDescent="0.35">
      <c r="B29" s="68"/>
      <c r="C29" s="322" t="s">
        <v>188</v>
      </c>
      <c r="F29" s="319"/>
      <c r="L29" s="319"/>
      <c r="M29" s="319"/>
      <c r="N29" s="348"/>
      <c r="O29" s="144"/>
    </row>
    <row r="30" spans="2:16" x14ac:dyDescent="0.35">
      <c r="B30" s="68"/>
      <c r="C30" s="316"/>
      <c r="D30" s="317"/>
      <c r="E30" s="317"/>
      <c r="F30" s="319">
        <f>'Rates Comp'!F33</f>
        <v>4.5199999999999997E-3</v>
      </c>
      <c r="G30" s="27" t="s">
        <v>187</v>
      </c>
      <c r="I30" s="319">
        <f>'Rates Comp'!L33</f>
        <v>6.3599999999999993E-3</v>
      </c>
      <c r="J30" s="27" t="s">
        <v>187</v>
      </c>
      <c r="L30" s="319">
        <f t="shared" ref="L30" si="8">I30-F30</f>
        <v>1.8399999999999996E-3</v>
      </c>
      <c r="M30" s="318"/>
      <c r="N30" s="346">
        <f t="shared" ref="N30" si="9">ROUND(L30/F30,5)</f>
        <v>0.40708</v>
      </c>
      <c r="O30" s="144"/>
    </row>
    <row r="31" spans="2:16" x14ac:dyDescent="0.35">
      <c r="B31" s="69"/>
      <c r="C31" s="325"/>
      <c r="D31" s="325"/>
      <c r="E31" s="325"/>
      <c r="F31" s="326"/>
      <c r="G31" s="325"/>
      <c r="H31" s="325"/>
      <c r="I31" s="326"/>
      <c r="J31" s="325"/>
      <c r="K31" s="325"/>
      <c r="L31" s="325"/>
      <c r="M31" s="325"/>
      <c r="N31" s="63"/>
      <c r="O31" s="327"/>
    </row>
  </sheetData>
  <mergeCells count="6">
    <mergeCell ref="C3:N3"/>
    <mergeCell ref="C4:N4"/>
    <mergeCell ref="C5:N5"/>
    <mergeCell ref="L7:N7"/>
    <mergeCell ref="F8:G8"/>
    <mergeCell ref="I8:J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E31F-DD35-4475-8E5A-FA6614A4453A}">
  <dimension ref="B3:X44"/>
  <sheetViews>
    <sheetView showGridLines="0" workbookViewId="0">
      <selection activeCell="B3" sqref="B3:Q28"/>
    </sheetView>
  </sheetViews>
  <sheetFormatPr defaultColWidth="8.84375" defaultRowHeight="15.5" x14ac:dyDescent="0.35"/>
  <cols>
    <col min="1" max="1" width="9.69140625" style="27" customWidth="1"/>
    <col min="2" max="2" width="1.07421875" style="27" customWidth="1"/>
    <col min="3" max="3" width="4.765625" style="27" customWidth="1"/>
    <col min="4" max="5" width="10.765625" style="27" customWidth="1"/>
    <col min="6" max="6" width="11.765625" style="27" customWidth="1"/>
    <col min="7" max="7" width="1.765625" style="27" customWidth="1"/>
    <col min="8" max="8" width="10.765625" style="27" customWidth="1"/>
    <col min="9" max="9" width="1.23046875" style="27" customWidth="1"/>
    <col min="10" max="10" width="10.765625" style="27" customWidth="1"/>
    <col min="11" max="11" width="1.765625" style="27" customWidth="1"/>
    <col min="12" max="12" width="10.765625" style="27" customWidth="1"/>
    <col min="13" max="13" width="1.765625" style="27" customWidth="1"/>
    <col min="14" max="14" width="12.765625" style="27" customWidth="1"/>
    <col min="15" max="15" width="1.765625" style="27" customWidth="1"/>
    <col min="16" max="16" width="12.765625" style="27" customWidth="1"/>
    <col min="17" max="17" width="1.765625" style="27" customWidth="1"/>
    <col min="18" max="20" width="9.69140625" style="27" customWidth="1"/>
    <col min="21" max="24" width="12.765625" style="27" customWidth="1"/>
    <col min="25" max="203" width="9.69140625" style="27" customWidth="1"/>
    <col min="204" max="16384" width="8.84375" style="27"/>
  </cols>
  <sheetData>
    <row r="3" spans="2:24" x14ac:dyDescent="0.35">
      <c r="B3" s="67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323"/>
    </row>
    <row r="4" spans="2:24" x14ac:dyDescent="0.35">
      <c r="B4" s="68"/>
      <c r="C4" s="313"/>
      <c r="J4" s="349"/>
      <c r="K4" s="349"/>
      <c r="N4" s="421" t="s">
        <v>375</v>
      </c>
      <c r="O4" s="421"/>
      <c r="P4" s="421"/>
      <c r="Q4" s="144"/>
    </row>
    <row r="5" spans="2:24" x14ac:dyDescent="0.35">
      <c r="B5" s="68"/>
      <c r="C5" s="322" t="s">
        <v>322</v>
      </c>
      <c r="F5" s="421" t="s">
        <v>374</v>
      </c>
      <c r="G5" s="421"/>
      <c r="H5" s="421"/>
      <c r="J5" s="421" t="s">
        <v>373</v>
      </c>
      <c r="K5" s="421"/>
      <c r="L5" s="421"/>
      <c r="N5" s="288" t="s">
        <v>376</v>
      </c>
      <c r="P5" s="288" t="s">
        <v>377</v>
      </c>
      <c r="Q5" s="324"/>
    </row>
    <row r="6" spans="2:24" x14ac:dyDescent="0.35">
      <c r="B6" s="68"/>
      <c r="C6" s="316" t="s">
        <v>53</v>
      </c>
      <c r="D6" s="317">
        <v>2000</v>
      </c>
      <c r="E6" s="253" t="s">
        <v>148</v>
      </c>
      <c r="F6" s="350">
        <f>'Table C'!F9</f>
        <v>31.89</v>
      </c>
      <c r="G6" s="350"/>
      <c r="H6" s="27" t="s">
        <v>186</v>
      </c>
      <c r="J6" s="350">
        <f>'Table C'!I9</f>
        <v>44.93</v>
      </c>
      <c r="K6" s="350"/>
      <c r="L6" s="27" t="s">
        <v>186</v>
      </c>
      <c r="N6" s="350">
        <f>J6-F6</f>
        <v>13.04</v>
      </c>
      <c r="O6" s="350"/>
      <c r="P6" s="351">
        <f>ROUND(N6/F6,2)</f>
        <v>0.41</v>
      </c>
      <c r="Q6" s="324"/>
      <c r="S6" s="62">
        <f>F37</f>
        <v>3020</v>
      </c>
      <c r="U6" s="352">
        <f>F6</f>
        <v>31.89</v>
      </c>
      <c r="V6" s="352">
        <f>J6</f>
        <v>44.93</v>
      </c>
    </row>
    <row r="7" spans="2:24" x14ac:dyDescent="0.35">
      <c r="B7" s="68"/>
      <c r="C7" s="316" t="s">
        <v>54</v>
      </c>
      <c r="D7" s="317">
        <v>3000</v>
      </c>
      <c r="E7" s="253" t="s">
        <v>148</v>
      </c>
      <c r="F7" s="353">
        <f>'Table C'!F10</f>
        <v>1.1860000000000001E-2</v>
      </c>
      <c r="G7" s="353"/>
      <c r="H7" s="27" t="s">
        <v>187</v>
      </c>
      <c r="J7" s="353">
        <f>'Table C'!I10</f>
        <v>1.6660000000000001E-2</v>
      </c>
      <c r="K7" s="353"/>
      <c r="L7" s="27" t="s">
        <v>187</v>
      </c>
      <c r="M7" s="320"/>
      <c r="N7" s="353">
        <f>J7-F7</f>
        <v>4.8000000000000004E-3</v>
      </c>
      <c r="O7" s="350"/>
      <c r="P7" s="351">
        <f t="shared" ref="P7:P10" si="0">ROUND(N7/F7,2)</f>
        <v>0.4</v>
      </c>
      <c r="Q7" s="324"/>
      <c r="S7" s="354">
        <f>S6-D6</f>
        <v>1020</v>
      </c>
      <c r="U7" s="27">
        <f>ROUND(S7*F7,2)</f>
        <v>12.1</v>
      </c>
      <c r="V7" s="27">
        <f>ROUND(S7*J7,2)</f>
        <v>16.989999999999998</v>
      </c>
    </row>
    <row r="8" spans="2:24" x14ac:dyDescent="0.35">
      <c r="B8" s="68"/>
      <c r="C8" s="316" t="s">
        <v>54</v>
      </c>
      <c r="D8" s="317">
        <v>5000</v>
      </c>
      <c r="E8" s="253" t="s">
        <v>148</v>
      </c>
      <c r="F8" s="353">
        <f>'Table C'!F11</f>
        <v>1.0999999999999999E-2</v>
      </c>
      <c r="G8" s="353"/>
      <c r="H8" s="27" t="s">
        <v>187</v>
      </c>
      <c r="J8" s="353">
        <f>'Table C'!I11</f>
        <v>1.545E-2</v>
      </c>
      <c r="K8" s="353"/>
      <c r="L8" s="27" t="s">
        <v>187</v>
      </c>
      <c r="N8" s="353">
        <f>J8-F8</f>
        <v>4.4500000000000008E-3</v>
      </c>
      <c r="O8" s="350"/>
      <c r="P8" s="351">
        <f t="shared" si="0"/>
        <v>0.4</v>
      </c>
      <c r="Q8" s="144"/>
      <c r="U8" s="352">
        <f>SUM(U6:U7)</f>
        <v>43.99</v>
      </c>
      <c r="V8" s="352">
        <f>SUM(V6:V7)</f>
        <v>61.92</v>
      </c>
      <c r="W8" s="352">
        <f>V8-U8</f>
        <v>17.93</v>
      </c>
      <c r="X8" s="355">
        <f>ROUND(W8/U8,2)</f>
        <v>0.41</v>
      </c>
    </row>
    <row r="9" spans="2:24" x14ac:dyDescent="0.35">
      <c r="B9" s="68"/>
      <c r="C9" s="316" t="s">
        <v>54</v>
      </c>
      <c r="D9" s="317">
        <v>5000</v>
      </c>
      <c r="E9" s="253" t="s">
        <v>148</v>
      </c>
      <c r="F9" s="353">
        <f>'Table C'!F12</f>
        <v>1.0149999999999999E-2</v>
      </c>
      <c r="G9" s="353"/>
      <c r="H9" s="27" t="s">
        <v>187</v>
      </c>
      <c r="J9" s="353">
        <f>'Table C'!I12</f>
        <v>1.4249999999999999E-2</v>
      </c>
      <c r="K9" s="353"/>
      <c r="L9" s="27" t="s">
        <v>187</v>
      </c>
      <c r="N9" s="353">
        <f>J9-F9</f>
        <v>4.0999999999999995E-3</v>
      </c>
      <c r="O9" s="350"/>
      <c r="P9" s="351">
        <f t="shared" si="0"/>
        <v>0.4</v>
      </c>
      <c r="Q9" s="144"/>
      <c r="X9" s="347"/>
    </row>
    <row r="10" spans="2:24" x14ac:dyDescent="0.35">
      <c r="B10" s="68"/>
      <c r="C10" s="316" t="s">
        <v>98</v>
      </c>
      <c r="D10" s="317">
        <v>15000</v>
      </c>
      <c r="E10" s="253" t="s">
        <v>148</v>
      </c>
      <c r="F10" s="353">
        <f>'Table C'!F13</f>
        <v>9.2899999999999996E-3</v>
      </c>
      <c r="G10" s="353"/>
      <c r="H10" s="27" t="s">
        <v>187</v>
      </c>
      <c r="J10" s="353">
        <f>'Table C'!I13</f>
        <v>1.304E-2</v>
      </c>
      <c r="K10" s="353"/>
      <c r="L10" s="27" t="s">
        <v>187</v>
      </c>
      <c r="N10" s="353">
        <f>J10-F10</f>
        <v>3.7499999999999999E-3</v>
      </c>
      <c r="O10" s="350"/>
      <c r="P10" s="351">
        <f t="shared" si="0"/>
        <v>0.4</v>
      </c>
      <c r="Q10" s="144"/>
      <c r="X10" s="347"/>
    </row>
    <row r="11" spans="2:24" x14ac:dyDescent="0.35">
      <c r="B11" s="68"/>
      <c r="E11" s="253"/>
      <c r="Q11" s="144"/>
      <c r="X11" s="347"/>
    </row>
    <row r="12" spans="2:24" x14ac:dyDescent="0.35">
      <c r="B12" s="68"/>
      <c r="C12" s="322" t="s">
        <v>177</v>
      </c>
      <c r="E12" s="253"/>
      <c r="Q12" s="144"/>
      <c r="X12" s="347"/>
    </row>
    <row r="13" spans="2:24" x14ac:dyDescent="0.35">
      <c r="B13" s="68"/>
      <c r="C13" s="316" t="s">
        <v>53</v>
      </c>
      <c r="D13" s="317">
        <v>5000</v>
      </c>
      <c r="E13" s="253" t="s">
        <v>148</v>
      </c>
      <c r="F13" s="350">
        <f>'Table C'!F16</f>
        <v>67.62</v>
      </c>
      <c r="G13" s="350"/>
      <c r="H13" s="27" t="s">
        <v>186</v>
      </c>
      <c r="J13" s="350">
        <f>'Table C'!I16</f>
        <v>95.240000000000009</v>
      </c>
      <c r="K13" s="350"/>
      <c r="L13" s="27" t="s">
        <v>186</v>
      </c>
      <c r="N13" s="350">
        <f>J13-F13</f>
        <v>27.620000000000005</v>
      </c>
      <c r="O13" s="350"/>
      <c r="P13" s="351">
        <f t="shared" ref="P13:P16" si="1">ROUND(N13/F13,2)</f>
        <v>0.41</v>
      </c>
      <c r="Q13" s="144"/>
      <c r="S13" s="62">
        <f>F38</f>
        <v>5381</v>
      </c>
      <c r="U13" s="352">
        <f>F13</f>
        <v>67.62</v>
      </c>
      <c r="V13" s="352">
        <f>J13</f>
        <v>95.240000000000009</v>
      </c>
      <c r="X13" s="347"/>
    </row>
    <row r="14" spans="2:24" x14ac:dyDescent="0.35">
      <c r="B14" s="68"/>
      <c r="C14" s="316" t="s">
        <v>54</v>
      </c>
      <c r="D14" s="317">
        <v>5000</v>
      </c>
      <c r="E14" s="253" t="s">
        <v>148</v>
      </c>
      <c r="F14" s="353">
        <f>'Table C'!F17</f>
        <v>1.0999999999999999E-2</v>
      </c>
      <c r="G14" s="353"/>
      <c r="H14" s="27" t="s">
        <v>187</v>
      </c>
      <c r="J14" s="353">
        <f>'Table C'!I17</f>
        <v>1.545E-2</v>
      </c>
      <c r="K14" s="353"/>
      <c r="L14" s="27" t="s">
        <v>187</v>
      </c>
      <c r="N14" s="353">
        <f>J14-F14</f>
        <v>4.4500000000000008E-3</v>
      </c>
      <c r="O14" s="350"/>
      <c r="P14" s="351">
        <f t="shared" si="1"/>
        <v>0.4</v>
      </c>
      <c r="Q14" s="144"/>
      <c r="S14" s="354">
        <f>S13-D13</f>
        <v>381</v>
      </c>
      <c r="U14" s="27">
        <f>ROUND(S14*F14,2)</f>
        <v>4.1900000000000004</v>
      </c>
      <c r="V14" s="27">
        <f>ROUND(S14*J14,2)</f>
        <v>5.89</v>
      </c>
      <c r="X14" s="347"/>
    </row>
    <row r="15" spans="2:24" x14ac:dyDescent="0.35">
      <c r="B15" s="68"/>
      <c r="C15" s="316" t="s">
        <v>54</v>
      </c>
      <c r="D15" s="317">
        <v>5000</v>
      </c>
      <c r="E15" s="253" t="s">
        <v>148</v>
      </c>
      <c r="F15" s="353">
        <f>'Table C'!F18</f>
        <v>1.0149999999999999E-2</v>
      </c>
      <c r="G15" s="353"/>
      <c r="H15" s="27" t="s">
        <v>187</v>
      </c>
      <c r="J15" s="353">
        <f>'Table C'!I18</f>
        <v>1.4249999999999999E-2</v>
      </c>
      <c r="K15" s="353"/>
      <c r="L15" s="27" t="s">
        <v>187</v>
      </c>
      <c r="N15" s="353">
        <f>J15-F15</f>
        <v>4.0999999999999995E-3</v>
      </c>
      <c r="O15" s="350"/>
      <c r="P15" s="351">
        <f t="shared" si="1"/>
        <v>0.4</v>
      </c>
      <c r="Q15" s="144"/>
      <c r="U15" s="352">
        <f>SUM(U13:U14)</f>
        <v>71.81</v>
      </c>
      <c r="V15" s="352">
        <f>SUM(V13:V14)</f>
        <v>101.13000000000001</v>
      </c>
      <c r="W15" s="352">
        <f>V15-U15</f>
        <v>29.320000000000007</v>
      </c>
      <c r="X15" s="355">
        <f>ROUND(W15/U15,2)</f>
        <v>0.41</v>
      </c>
    </row>
    <row r="16" spans="2:24" x14ac:dyDescent="0.35">
      <c r="B16" s="68"/>
      <c r="C16" s="316" t="s">
        <v>98</v>
      </c>
      <c r="D16" s="317">
        <v>15000</v>
      </c>
      <c r="E16" s="253" t="s">
        <v>148</v>
      </c>
      <c r="F16" s="353">
        <f>'Table C'!F19</f>
        <v>9.2899999999999996E-3</v>
      </c>
      <c r="G16" s="353"/>
      <c r="H16" s="27" t="s">
        <v>187</v>
      </c>
      <c r="J16" s="353">
        <f>'Table C'!I19</f>
        <v>1.304E-2</v>
      </c>
      <c r="K16" s="353"/>
      <c r="L16" s="27" t="s">
        <v>187</v>
      </c>
      <c r="N16" s="353">
        <f>J16-F16</f>
        <v>3.7499999999999999E-3</v>
      </c>
      <c r="O16" s="350"/>
      <c r="P16" s="351">
        <f t="shared" si="1"/>
        <v>0.4</v>
      </c>
      <c r="Q16" s="144"/>
      <c r="X16" s="347"/>
    </row>
    <row r="17" spans="2:24" x14ac:dyDescent="0.35">
      <c r="B17" s="68"/>
      <c r="C17" s="316"/>
      <c r="D17" s="317"/>
      <c r="E17" s="253"/>
      <c r="F17" s="356"/>
      <c r="G17" s="356"/>
      <c r="N17" s="356"/>
      <c r="O17" s="356"/>
      <c r="P17" s="356"/>
      <c r="Q17" s="144"/>
      <c r="X17" s="347"/>
    </row>
    <row r="18" spans="2:24" x14ac:dyDescent="0.35">
      <c r="B18" s="68"/>
      <c r="C18" s="322" t="s">
        <v>178</v>
      </c>
      <c r="E18" s="253"/>
      <c r="Q18" s="144"/>
      <c r="X18" s="347"/>
    </row>
    <row r="19" spans="2:24" x14ac:dyDescent="0.35">
      <c r="B19" s="68"/>
      <c r="C19" s="316" t="s">
        <v>53</v>
      </c>
      <c r="D19" s="317">
        <v>15000</v>
      </c>
      <c r="E19" s="253" t="s">
        <v>148</v>
      </c>
      <c r="F19" s="350">
        <f>'Table C'!F22</f>
        <v>171.93</v>
      </c>
      <c r="G19" s="350"/>
      <c r="H19" s="27" t="s">
        <v>186</v>
      </c>
      <c r="J19" s="350">
        <f>'Table C'!I22</f>
        <v>242.11</v>
      </c>
      <c r="K19" s="350"/>
      <c r="L19" s="27" t="s">
        <v>186</v>
      </c>
      <c r="N19" s="350">
        <f>J19-F19</f>
        <v>70.180000000000007</v>
      </c>
      <c r="O19" s="350"/>
      <c r="P19" s="351">
        <f t="shared" ref="P19:P20" si="2">ROUND(N19/F19,2)</f>
        <v>0.41</v>
      </c>
      <c r="Q19" s="144"/>
      <c r="S19" s="62">
        <f>F39</f>
        <v>132045</v>
      </c>
      <c r="U19" s="352">
        <f>F19</f>
        <v>171.93</v>
      </c>
      <c r="V19" s="352">
        <f>J19</f>
        <v>242.11</v>
      </c>
      <c r="X19" s="347"/>
    </row>
    <row r="20" spans="2:24" x14ac:dyDescent="0.35">
      <c r="B20" s="68"/>
      <c r="C20" s="316" t="s">
        <v>98</v>
      </c>
      <c r="D20" s="317">
        <v>15000</v>
      </c>
      <c r="E20" s="253" t="s">
        <v>148</v>
      </c>
      <c r="F20" s="353">
        <f>'Table C'!F23</f>
        <v>9.2899999999999996E-3</v>
      </c>
      <c r="G20" s="353"/>
      <c r="H20" s="27" t="s">
        <v>187</v>
      </c>
      <c r="J20" s="353">
        <f>'Table C'!I23</f>
        <v>1.304E-2</v>
      </c>
      <c r="K20" s="353"/>
      <c r="L20" s="27" t="s">
        <v>187</v>
      </c>
      <c r="N20" s="353">
        <f>J20-F20</f>
        <v>3.7499999999999999E-3</v>
      </c>
      <c r="O20" s="350"/>
      <c r="P20" s="351">
        <f t="shared" si="2"/>
        <v>0.4</v>
      </c>
      <c r="Q20" s="144"/>
      <c r="S20" s="354">
        <f>S19-D19</f>
        <v>117045</v>
      </c>
      <c r="U20" s="27">
        <f>ROUND(S20*F20,2)</f>
        <v>1087.3499999999999</v>
      </c>
      <c r="V20" s="27">
        <f>ROUND(S20*J20,2)</f>
        <v>1526.27</v>
      </c>
      <c r="X20" s="347"/>
    </row>
    <row r="21" spans="2:24" x14ac:dyDescent="0.35">
      <c r="B21" s="68"/>
      <c r="E21" s="253"/>
      <c r="F21" s="353"/>
      <c r="G21" s="353"/>
      <c r="N21" s="353"/>
      <c r="O21" s="353"/>
      <c r="P21" s="353"/>
      <c r="Q21" s="144"/>
      <c r="U21" s="352">
        <f>SUM(U19:U20)</f>
        <v>1259.28</v>
      </c>
      <c r="V21" s="352">
        <f>SUM(V19:V20)</f>
        <v>1768.38</v>
      </c>
      <c r="W21" s="352">
        <f>V21-U21</f>
        <v>509.10000000000014</v>
      </c>
      <c r="X21" s="355">
        <f>ROUND(W21/U21,2)</f>
        <v>0.4</v>
      </c>
    </row>
    <row r="22" spans="2:24" x14ac:dyDescent="0.35">
      <c r="B22" s="68"/>
      <c r="C22" s="322" t="s">
        <v>179</v>
      </c>
      <c r="E22" s="253"/>
      <c r="F22" s="353"/>
      <c r="G22" s="353"/>
      <c r="N22" s="353"/>
      <c r="O22" s="353"/>
      <c r="P22" s="353"/>
      <c r="Q22" s="144"/>
      <c r="X22" s="347"/>
    </row>
    <row r="23" spans="2:24" x14ac:dyDescent="0.35">
      <c r="B23" s="68"/>
      <c r="C23" s="316" t="s">
        <v>53</v>
      </c>
      <c r="D23" s="317">
        <v>100000</v>
      </c>
      <c r="E23" s="253" t="s">
        <v>148</v>
      </c>
      <c r="F23" s="350">
        <f>'Table C'!F26</f>
        <v>963.03</v>
      </c>
      <c r="G23" s="350"/>
      <c r="H23" s="27" t="s">
        <v>186</v>
      </c>
      <c r="J23" s="350">
        <f>'Table C'!I26</f>
        <v>1355.98</v>
      </c>
      <c r="K23" s="350"/>
      <c r="L23" s="27" t="s">
        <v>186</v>
      </c>
      <c r="N23" s="350">
        <f>J23-F23</f>
        <v>392.95000000000005</v>
      </c>
      <c r="O23" s="350"/>
      <c r="P23" s="351">
        <f t="shared" ref="P23:P24" si="3">ROUND(N23/F23,2)</f>
        <v>0.41</v>
      </c>
      <c r="Q23" s="144"/>
      <c r="S23" s="62">
        <f>F40</f>
        <v>94726</v>
      </c>
      <c r="U23" s="352">
        <f>F23</f>
        <v>963.03</v>
      </c>
      <c r="V23" s="352">
        <f>J23</f>
        <v>1355.98</v>
      </c>
      <c r="X23" s="347"/>
    </row>
    <row r="24" spans="2:24" x14ac:dyDescent="0.35">
      <c r="B24" s="68"/>
      <c r="C24" s="316" t="s">
        <v>98</v>
      </c>
      <c r="D24" s="317">
        <v>100000</v>
      </c>
      <c r="E24" s="253" t="s">
        <v>148</v>
      </c>
      <c r="F24" s="353">
        <f>'Table C'!F27</f>
        <v>9.2899999999999996E-3</v>
      </c>
      <c r="G24" s="353"/>
      <c r="H24" s="27" t="s">
        <v>187</v>
      </c>
      <c r="J24" s="353">
        <f>'Table C'!I27</f>
        <v>1.304E-2</v>
      </c>
      <c r="K24" s="353"/>
      <c r="L24" s="27" t="s">
        <v>187</v>
      </c>
      <c r="N24" s="353">
        <f>J24-F24</f>
        <v>3.7499999999999999E-3</v>
      </c>
      <c r="O24" s="350"/>
      <c r="P24" s="351">
        <f t="shared" si="3"/>
        <v>0.4</v>
      </c>
      <c r="Q24" s="144"/>
      <c r="S24" s="354">
        <f>S23-D23</f>
        <v>-5274</v>
      </c>
      <c r="U24" s="27">
        <f>ROUND(S24*F24,2)</f>
        <v>-49</v>
      </c>
      <c r="V24" s="27">
        <f>ROUND(S24*J24,2)</f>
        <v>-68.77</v>
      </c>
      <c r="X24" s="347"/>
    </row>
    <row r="25" spans="2:24" x14ac:dyDescent="0.35">
      <c r="B25" s="68"/>
      <c r="F25" s="353"/>
      <c r="G25" s="353"/>
      <c r="N25" s="353"/>
      <c r="O25" s="353"/>
      <c r="P25" s="353"/>
      <c r="Q25" s="144"/>
      <c r="U25" s="352">
        <f>SUM(U23:U24)</f>
        <v>914.03</v>
      </c>
      <c r="V25" s="352">
        <f>SUM(V23:V24)</f>
        <v>1287.21</v>
      </c>
      <c r="W25" s="352">
        <f>V25-U25</f>
        <v>373.18000000000006</v>
      </c>
      <c r="X25" s="355">
        <f>ROUND(W25/U25,2)</f>
        <v>0.41</v>
      </c>
    </row>
    <row r="26" spans="2:24" x14ac:dyDescent="0.35">
      <c r="B26" s="68"/>
      <c r="C26" s="322" t="s">
        <v>188</v>
      </c>
      <c r="F26" s="353"/>
      <c r="G26" s="353"/>
      <c r="N26" s="353"/>
      <c r="O26" s="353"/>
      <c r="P26" s="353"/>
      <c r="Q26" s="144"/>
      <c r="X26" s="347"/>
    </row>
    <row r="27" spans="2:24" x14ac:dyDescent="0.35">
      <c r="B27" s="68"/>
      <c r="C27" s="316"/>
      <c r="D27" s="317"/>
      <c r="E27" s="317"/>
      <c r="F27" s="353">
        <f>'Table C'!F30</f>
        <v>4.5199999999999997E-3</v>
      </c>
      <c r="G27" s="353"/>
      <c r="H27" s="27" t="s">
        <v>187</v>
      </c>
      <c r="J27" s="353">
        <f>'Table C'!I30</f>
        <v>6.3599999999999993E-3</v>
      </c>
      <c r="K27" s="353"/>
      <c r="L27" s="27" t="s">
        <v>187</v>
      </c>
      <c r="N27" s="353">
        <f>J27-F27</f>
        <v>1.8399999999999996E-3</v>
      </c>
      <c r="O27" s="350"/>
      <c r="P27" s="351">
        <f>ROUND(N27/F27,2)</f>
        <v>0.41</v>
      </c>
      <c r="Q27" s="144"/>
      <c r="S27" s="62">
        <f>F41</f>
        <v>523333</v>
      </c>
      <c r="U27" s="352">
        <f>ROUND(S27*F27,2)</f>
        <v>2365.4699999999998</v>
      </c>
      <c r="V27" s="352">
        <f>ROUND(S27*J27,2)</f>
        <v>3328.4</v>
      </c>
      <c r="W27" s="352">
        <f>V27-U27</f>
        <v>962.93000000000029</v>
      </c>
      <c r="X27" s="355">
        <f>ROUND(W27/U27,2)</f>
        <v>0.41</v>
      </c>
    </row>
    <row r="28" spans="2:24" x14ac:dyDescent="0.35">
      <c r="B28" s="69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7"/>
    </row>
    <row r="31" spans="2:24" x14ac:dyDescent="0.35">
      <c r="B31" s="6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23"/>
    </row>
    <row r="32" spans="2:24" x14ac:dyDescent="0.35">
      <c r="B32" s="68"/>
      <c r="C32" s="421" t="s">
        <v>426</v>
      </c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144"/>
    </row>
    <row r="33" spans="2:18" x14ac:dyDescent="0.35">
      <c r="B33" s="68"/>
      <c r="O33" s="144"/>
    </row>
    <row r="34" spans="2:18" x14ac:dyDescent="0.35">
      <c r="B34" s="68"/>
      <c r="F34" s="129" t="s">
        <v>421</v>
      </c>
      <c r="G34" s="129"/>
      <c r="H34" s="129" t="s">
        <v>359</v>
      </c>
      <c r="J34" s="129" t="s">
        <v>359</v>
      </c>
      <c r="K34" s="129"/>
      <c r="O34" s="144"/>
    </row>
    <row r="35" spans="2:18" x14ac:dyDescent="0.35">
      <c r="B35" s="68"/>
      <c r="F35" s="129" t="s">
        <v>123</v>
      </c>
      <c r="G35" s="129"/>
      <c r="H35" s="129" t="s">
        <v>123</v>
      </c>
      <c r="J35" s="129" t="s">
        <v>123</v>
      </c>
      <c r="K35" s="129"/>
      <c r="L35" s="421" t="s">
        <v>375</v>
      </c>
      <c r="M35" s="421"/>
      <c r="N35" s="421"/>
      <c r="O35" s="144"/>
    </row>
    <row r="36" spans="2:18" x14ac:dyDescent="0.35">
      <c r="B36" s="68"/>
      <c r="F36" s="288" t="s">
        <v>146</v>
      </c>
      <c r="G36" s="129"/>
      <c r="H36" s="288" t="s">
        <v>422</v>
      </c>
      <c r="J36" s="288" t="s">
        <v>422</v>
      </c>
      <c r="K36" s="129"/>
      <c r="L36" s="288" t="s">
        <v>376</v>
      </c>
      <c r="N36" s="288" t="s">
        <v>377</v>
      </c>
      <c r="O36" s="144"/>
    </row>
    <row r="37" spans="2:18" x14ac:dyDescent="0.35">
      <c r="B37" s="68"/>
      <c r="C37" s="62" t="s">
        <v>322</v>
      </c>
      <c r="F37" s="62">
        <f>ROUND('ExBA - Beg. Rates'!E41/'ExBA - Beg. Rates'!D36,0)</f>
        <v>3020</v>
      </c>
      <c r="G37" s="129"/>
      <c r="H37" s="352">
        <f>U8</f>
        <v>43.99</v>
      </c>
      <c r="J37" s="352">
        <f>V8</f>
        <v>61.92</v>
      </c>
      <c r="K37" s="129"/>
      <c r="L37" s="352">
        <f>J37-H37</f>
        <v>17.93</v>
      </c>
      <c r="N37" s="351">
        <f>ROUND(L37/H37,2)</f>
        <v>0.41</v>
      </c>
      <c r="O37" s="144"/>
      <c r="R37" s="62">
        <v>3020</v>
      </c>
    </row>
    <row r="38" spans="2:18" x14ac:dyDescent="0.35">
      <c r="B38" s="68"/>
      <c r="C38" s="62" t="s">
        <v>177</v>
      </c>
      <c r="F38" s="62">
        <f>ROUND('ExBA - Beg. Rates'!E60/'ExBA - Beg. Rates'!D56,0)</f>
        <v>5381</v>
      </c>
      <c r="G38" s="129"/>
      <c r="H38" s="352">
        <f>U15</f>
        <v>71.81</v>
      </c>
      <c r="J38" s="352">
        <f>V15</f>
        <v>101.13000000000001</v>
      </c>
      <c r="K38" s="129"/>
      <c r="L38" s="352">
        <f t="shared" ref="L38:L41" si="4">J38-H38</f>
        <v>29.320000000000007</v>
      </c>
      <c r="N38" s="351">
        <f t="shared" ref="N38:N41" si="5">ROUND(L38/H38,2)</f>
        <v>0.41</v>
      </c>
      <c r="O38" s="144"/>
      <c r="R38" s="62">
        <v>5381</v>
      </c>
    </row>
    <row r="39" spans="2:18" x14ac:dyDescent="0.35">
      <c r="B39" s="68"/>
      <c r="C39" s="62" t="s">
        <v>178</v>
      </c>
      <c r="F39" s="62">
        <f>ROUND('ExBA - Beg. Rates'!E74/'ExBA - Beg. Rates'!D72,0)</f>
        <v>132045</v>
      </c>
      <c r="G39" s="62"/>
      <c r="H39" s="352">
        <f>U21</f>
        <v>1259.28</v>
      </c>
      <c r="J39" s="352">
        <f>V21</f>
        <v>1768.38</v>
      </c>
      <c r="L39" s="352">
        <f t="shared" si="4"/>
        <v>509.10000000000014</v>
      </c>
      <c r="N39" s="351">
        <f t="shared" si="5"/>
        <v>0.4</v>
      </c>
      <c r="O39" s="144"/>
      <c r="R39" s="62">
        <v>132045</v>
      </c>
    </row>
    <row r="40" spans="2:18" x14ac:dyDescent="0.35">
      <c r="B40" s="68"/>
      <c r="C40" s="62" t="s">
        <v>179</v>
      </c>
      <c r="F40" s="62">
        <f>ROUND('ExBA - Beg. Rates'!E88/'ExBA - Beg. Rates'!D86,0)</f>
        <v>94726</v>
      </c>
      <c r="G40" s="62"/>
      <c r="H40" s="352">
        <f>U25</f>
        <v>914.03</v>
      </c>
      <c r="J40" s="352">
        <f>V25</f>
        <v>1287.21</v>
      </c>
      <c r="L40" s="352">
        <f t="shared" si="4"/>
        <v>373.18000000000006</v>
      </c>
      <c r="N40" s="351">
        <f t="shared" si="5"/>
        <v>0.41</v>
      </c>
      <c r="O40" s="144"/>
      <c r="R40" s="62">
        <v>94726</v>
      </c>
    </row>
    <row r="41" spans="2:18" x14ac:dyDescent="0.35">
      <c r="B41" s="68"/>
      <c r="C41" s="62" t="s">
        <v>188</v>
      </c>
      <c r="F41" s="62">
        <f>ROUND('ExBA - Beg. Rates'!E101/'ExBA - Beg. Rates'!D100,0)</f>
        <v>523333</v>
      </c>
      <c r="G41" s="62"/>
      <c r="H41" s="352">
        <f>U27</f>
        <v>2365.4699999999998</v>
      </c>
      <c r="J41" s="352">
        <f>V27</f>
        <v>3328.4</v>
      </c>
      <c r="L41" s="352">
        <f t="shared" si="4"/>
        <v>962.93000000000029</v>
      </c>
      <c r="N41" s="351">
        <f t="shared" si="5"/>
        <v>0.41</v>
      </c>
      <c r="O41" s="144"/>
      <c r="R41" s="62">
        <v>523333</v>
      </c>
    </row>
    <row r="42" spans="2:18" x14ac:dyDescent="0.35">
      <c r="B42" s="69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7"/>
    </row>
    <row r="44" spans="2:18" x14ac:dyDescent="0.35">
      <c r="E44" s="325"/>
    </row>
  </sheetData>
  <mergeCells count="6">
    <mergeCell ref="C3:P3"/>
    <mergeCell ref="N4:P4"/>
    <mergeCell ref="F5:H5"/>
    <mergeCell ref="J5:L5"/>
    <mergeCell ref="L35:N35"/>
    <mergeCell ref="C32:N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2106-B77E-4B42-9E61-4EDBD2608B0B}">
  <dimension ref="A4:K52"/>
  <sheetViews>
    <sheetView showGridLines="0" workbookViewId="0">
      <selection activeCell="B11" sqref="B11:J51"/>
    </sheetView>
  </sheetViews>
  <sheetFormatPr defaultRowHeight="15.5" x14ac:dyDescent="0.35"/>
  <cols>
    <col min="1" max="1" width="2.765625" customWidth="1"/>
    <col min="3" max="3" width="2.765625" customWidth="1"/>
    <col min="4" max="4" width="12.765625" customWidth="1"/>
    <col min="5" max="5" width="2.765625" customWidth="1"/>
    <col min="6" max="6" width="12.765625" customWidth="1"/>
    <col min="7" max="7" width="2.765625" customWidth="1"/>
    <col min="8" max="8" width="12.765625" customWidth="1"/>
    <col min="9" max="9" width="2.765625" customWidth="1"/>
    <col min="10" max="10" width="12.765625" customWidth="1"/>
    <col min="11" max="11" width="2.765625" customWidth="1"/>
  </cols>
  <sheetData>
    <row r="4" spans="1:11" ht="22.5" x14ac:dyDescent="0.45">
      <c r="A4" s="245"/>
      <c r="B4" s="247"/>
      <c r="C4" s="426"/>
      <c r="D4" s="426"/>
      <c r="E4" s="426"/>
      <c r="F4" s="426"/>
      <c r="G4" s="426"/>
      <c r="H4" s="426"/>
      <c r="I4" s="426"/>
      <c r="J4" s="426"/>
      <c r="K4" s="248"/>
    </row>
    <row r="5" spans="1:11" ht="22.5" x14ac:dyDescent="0.45">
      <c r="A5" s="22"/>
      <c r="B5" s="425" t="s">
        <v>378</v>
      </c>
      <c r="C5" s="425"/>
      <c r="D5" s="425"/>
      <c r="E5" s="425"/>
      <c r="F5" s="425"/>
      <c r="G5" s="425"/>
      <c r="H5" s="425"/>
      <c r="I5" s="425"/>
      <c r="J5" s="425"/>
      <c r="K5" s="146"/>
    </row>
    <row r="6" spans="1:11" ht="22.5" x14ac:dyDescent="0.45">
      <c r="A6" s="22"/>
      <c r="B6" s="427" t="s">
        <v>379</v>
      </c>
      <c r="C6" s="427"/>
      <c r="D6" s="427"/>
      <c r="E6" s="427"/>
      <c r="F6" s="427"/>
      <c r="G6" s="427"/>
      <c r="H6" s="427"/>
      <c r="I6" s="427"/>
      <c r="J6" s="427"/>
      <c r="K6" s="146"/>
    </row>
    <row r="7" spans="1:11" ht="22.5" x14ac:dyDescent="0.45">
      <c r="A7" s="22"/>
      <c r="B7" s="425" t="str">
        <f>Adjustments!B1</f>
        <v>Morgan County Water District</v>
      </c>
      <c r="C7" s="425"/>
      <c r="D7" s="425"/>
      <c r="E7" s="425"/>
      <c r="F7" s="425"/>
      <c r="G7" s="425"/>
      <c r="H7" s="425"/>
      <c r="I7" s="425"/>
      <c r="J7" s="425"/>
      <c r="K7" s="146"/>
    </row>
    <row r="8" spans="1:11" ht="22.5" x14ac:dyDescent="0.45">
      <c r="A8" s="22"/>
      <c r="B8" s="335"/>
      <c r="C8" s="335"/>
      <c r="D8" s="335"/>
      <c r="E8" s="335"/>
      <c r="F8" s="335"/>
      <c r="G8" s="335"/>
      <c r="H8" s="335"/>
      <c r="I8" s="335"/>
      <c r="J8" s="335"/>
      <c r="K8" s="146"/>
    </row>
    <row r="9" spans="1:11" x14ac:dyDescent="0.35">
      <c r="A9" s="22"/>
      <c r="D9" s="336" t="s">
        <v>380</v>
      </c>
      <c r="F9" s="336" t="s">
        <v>381</v>
      </c>
      <c r="H9" s="337"/>
      <c r="J9" s="328"/>
      <c r="K9" s="146"/>
    </row>
    <row r="10" spans="1:11" x14ac:dyDescent="0.35">
      <c r="A10" s="22"/>
      <c r="D10" s="329" t="s">
        <v>382</v>
      </c>
      <c r="F10" s="329" t="s">
        <v>382</v>
      </c>
      <c r="H10" s="288" t="s">
        <v>383</v>
      </c>
      <c r="J10" s="330" t="s">
        <v>377</v>
      </c>
      <c r="K10" s="146"/>
    </row>
    <row r="11" spans="1:11" x14ac:dyDescent="0.35">
      <c r="A11" s="22"/>
      <c r="B11" s="322" t="s">
        <v>322</v>
      </c>
      <c r="K11" s="146"/>
    </row>
    <row r="12" spans="1:11" x14ac:dyDescent="0.35">
      <c r="A12" s="22"/>
      <c r="B12" s="74">
        <v>2000</v>
      </c>
      <c r="D12" s="161">
        <f>'34-Inch'!R21</f>
        <v>31.89</v>
      </c>
      <c r="F12" s="161">
        <f>'34-Inch'!Z21</f>
        <v>44.93</v>
      </c>
      <c r="H12" s="161">
        <f>F12-D12</f>
        <v>13.04</v>
      </c>
      <c r="J12" s="358">
        <f>ROUND(H12/D12,4)</f>
        <v>0.40889999999999999</v>
      </c>
      <c r="K12" s="146"/>
    </row>
    <row r="13" spans="1:11" x14ac:dyDescent="0.35">
      <c r="A13" s="22"/>
      <c r="B13" s="74">
        <v>4000</v>
      </c>
      <c r="D13" s="161">
        <f>'34-Inch'!R22</f>
        <v>55.61</v>
      </c>
      <c r="F13" s="161">
        <f>'34-Inch'!Z22</f>
        <v>78.25</v>
      </c>
      <c r="H13" s="161">
        <f t="shared" ref="H13:H21" si="0">F13-D13</f>
        <v>22.64</v>
      </c>
      <c r="J13" s="358">
        <f t="shared" ref="J13:J20" si="1">ROUND(H13/D13,4)</f>
        <v>0.40710000000000002</v>
      </c>
      <c r="K13" s="146"/>
    </row>
    <row r="14" spans="1:11" x14ac:dyDescent="0.35">
      <c r="A14" s="22"/>
      <c r="B14" s="74">
        <v>6000</v>
      </c>
      <c r="D14" s="161">
        <f>'34-Inch'!R23</f>
        <v>78.47</v>
      </c>
      <c r="F14" s="161">
        <f>'34-Inch'!Z23</f>
        <v>110.36</v>
      </c>
      <c r="H14" s="161">
        <f t="shared" si="0"/>
        <v>31.89</v>
      </c>
      <c r="J14" s="358">
        <f t="shared" si="1"/>
        <v>0.40639999999999998</v>
      </c>
      <c r="K14" s="146"/>
    </row>
    <row r="15" spans="1:11" x14ac:dyDescent="0.35">
      <c r="A15" s="22"/>
      <c r="B15" s="74">
        <v>8000</v>
      </c>
      <c r="D15" s="161">
        <f>'34-Inch'!R24</f>
        <v>100.47</v>
      </c>
      <c r="F15" s="161">
        <f>'34-Inch'!Z24</f>
        <v>141.26</v>
      </c>
      <c r="H15" s="161">
        <f t="shared" si="0"/>
        <v>40.789999999999992</v>
      </c>
      <c r="J15" s="358">
        <f t="shared" si="1"/>
        <v>0.40600000000000003</v>
      </c>
      <c r="K15" s="146"/>
    </row>
    <row r="16" spans="1:11" x14ac:dyDescent="0.35">
      <c r="A16" s="22"/>
      <c r="B16" s="74">
        <v>10000</v>
      </c>
      <c r="D16" s="161">
        <f>'34-Inch'!R25</f>
        <v>122.47</v>
      </c>
      <c r="F16" s="161">
        <f>'34-Inch'!Z25</f>
        <v>172.16</v>
      </c>
      <c r="H16" s="161">
        <f t="shared" si="0"/>
        <v>49.69</v>
      </c>
      <c r="J16" s="358">
        <f t="shared" si="1"/>
        <v>0.40570000000000001</v>
      </c>
      <c r="K16" s="146"/>
    </row>
    <row r="17" spans="1:11" x14ac:dyDescent="0.35">
      <c r="A17" s="22"/>
      <c r="B17" s="74">
        <v>12000</v>
      </c>
      <c r="D17" s="161">
        <f>'34-Inch'!R26</f>
        <v>142.76999999999998</v>
      </c>
      <c r="F17" s="161">
        <f>'34-Inch'!Z26</f>
        <v>200.66</v>
      </c>
      <c r="H17" s="161">
        <f t="shared" si="0"/>
        <v>57.890000000000015</v>
      </c>
      <c r="J17" s="358">
        <f t="shared" si="1"/>
        <v>0.40550000000000003</v>
      </c>
      <c r="K17" s="146"/>
    </row>
    <row r="18" spans="1:11" x14ac:dyDescent="0.35">
      <c r="A18" s="22"/>
      <c r="B18" s="74">
        <v>14000</v>
      </c>
      <c r="D18" s="161">
        <f>'34-Inch'!R27</f>
        <v>163.07</v>
      </c>
      <c r="F18" s="161">
        <f>'34-Inch'!Z27</f>
        <v>229.16</v>
      </c>
      <c r="H18" s="161">
        <f t="shared" si="0"/>
        <v>66.09</v>
      </c>
      <c r="J18" s="358">
        <f t="shared" si="1"/>
        <v>0.40529999999999999</v>
      </c>
      <c r="K18" s="146"/>
    </row>
    <row r="19" spans="1:11" x14ac:dyDescent="0.35">
      <c r="A19" s="22"/>
      <c r="B19" s="74">
        <v>16000</v>
      </c>
      <c r="D19" s="161">
        <f>'34-Inch'!R28</f>
        <v>183.37</v>
      </c>
      <c r="F19" s="161">
        <f>'34-Inch'!Z28</f>
        <v>257.65999999999997</v>
      </c>
      <c r="H19" s="161">
        <f t="shared" si="0"/>
        <v>74.289999999999964</v>
      </c>
      <c r="J19" s="358">
        <f t="shared" si="1"/>
        <v>0.40510000000000002</v>
      </c>
      <c r="K19" s="146"/>
    </row>
    <row r="20" spans="1:11" x14ac:dyDescent="0.35">
      <c r="A20" s="22"/>
      <c r="B20" s="74">
        <v>18000</v>
      </c>
      <c r="D20" s="161">
        <f>'34-Inch'!R29</f>
        <v>201.09</v>
      </c>
      <c r="F20" s="161">
        <f>'34-Inch'!Z29</f>
        <v>282.52999999999997</v>
      </c>
      <c r="H20" s="161">
        <f t="shared" si="0"/>
        <v>81.439999999999969</v>
      </c>
      <c r="J20" s="358">
        <f t="shared" si="1"/>
        <v>0.40500000000000003</v>
      </c>
      <c r="K20" s="146"/>
    </row>
    <row r="21" spans="1:11" x14ac:dyDescent="0.35">
      <c r="A21" s="22"/>
      <c r="B21" s="74">
        <v>20000</v>
      </c>
      <c r="D21" s="161">
        <f>'34-Inch'!R30</f>
        <v>219.67</v>
      </c>
      <c r="F21" s="161">
        <f>'34-Inch'!Z30</f>
        <v>308.61</v>
      </c>
      <c r="H21" s="161">
        <f t="shared" si="0"/>
        <v>88.940000000000026</v>
      </c>
      <c r="J21" s="358">
        <f>ROUND(H21/D21,4)</f>
        <v>0.40489999999999998</v>
      </c>
      <c r="K21" s="146"/>
    </row>
    <row r="22" spans="1:11" x14ac:dyDescent="0.35">
      <c r="A22" s="22"/>
      <c r="B22" s="27"/>
      <c r="J22" s="359"/>
      <c r="K22" s="146"/>
    </row>
    <row r="23" spans="1:11" x14ac:dyDescent="0.35">
      <c r="A23" s="22"/>
      <c r="B23" s="322" t="s">
        <v>177</v>
      </c>
      <c r="J23" s="359"/>
      <c r="K23" s="146"/>
    </row>
    <row r="24" spans="1:11" x14ac:dyDescent="0.35">
      <c r="A24" s="22"/>
      <c r="B24" s="74">
        <v>2000</v>
      </c>
      <c r="D24" s="60">
        <f>'1-Inch'!Q21</f>
        <v>67.62</v>
      </c>
      <c r="F24" s="60">
        <f>'1-Inch'!X21</f>
        <v>95.240000000000009</v>
      </c>
      <c r="H24" s="161">
        <f t="shared" ref="H24:H33" si="2">F24-D24</f>
        <v>27.620000000000005</v>
      </c>
      <c r="J24" s="358">
        <f t="shared" ref="J24:J33" si="3">ROUND(H24/D24,4)</f>
        <v>0.40849999999999997</v>
      </c>
      <c r="K24" s="146"/>
    </row>
    <row r="25" spans="1:11" x14ac:dyDescent="0.35">
      <c r="A25" s="22"/>
      <c r="B25" s="74">
        <v>4000</v>
      </c>
      <c r="D25" s="60">
        <f>'1-Inch'!Q22</f>
        <v>67.62</v>
      </c>
      <c r="F25" s="60">
        <f>'1-Inch'!X22</f>
        <v>95.240000000000009</v>
      </c>
      <c r="H25" s="161">
        <f t="shared" si="2"/>
        <v>27.620000000000005</v>
      </c>
      <c r="J25" s="358">
        <f t="shared" si="3"/>
        <v>0.40849999999999997</v>
      </c>
      <c r="K25" s="146"/>
    </row>
    <row r="26" spans="1:11" x14ac:dyDescent="0.35">
      <c r="A26" s="22"/>
      <c r="B26" s="74">
        <v>6000</v>
      </c>
      <c r="D26" s="60">
        <f>'1-Inch'!Q23</f>
        <v>78.62</v>
      </c>
      <c r="F26" s="60">
        <f>'1-Inch'!X23</f>
        <v>111.9</v>
      </c>
      <c r="H26" s="161">
        <f t="shared" si="2"/>
        <v>33.28</v>
      </c>
      <c r="J26" s="358">
        <f t="shared" si="3"/>
        <v>0.42330000000000001</v>
      </c>
      <c r="K26" s="146"/>
    </row>
    <row r="27" spans="1:11" x14ac:dyDescent="0.35">
      <c r="A27" s="22"/>
      <c r="B27" s="74">
        <v>8000</v>
      </c>
      <c r="D27" s="60">
        <f>'1-Inch'!Q24</f>
        <v>100.62</v>
      </c>
      <c r="F27" s="60">
        <f>'1-Inch'!X24</f>
        <v>145.22000000000003</v>
      </c>
      <c r="H27" s="161">
        <f t="shared" si="2"/>
        <v>44.600000000000023</v>
      </c>
      <c r="J27" s="358">
        <f t="shared" si="3"/>
        <v>0.44330000000000003</v>
      </c>
      <c r="K27" s="146"/>
    </row>
    <row r="28" spans="1:11" x14ac:dyDescent="0.35">
      <c r="A28" s="22"/>
      <c r="B28" s="74">
        <v>10000</v>
      </c>
      <c r="D28" s="60">
        <f>'1-Inch'!Q25</f>
        <v>122.62</v>
      </c>
      <c r="F28" s="60">
        <f>'1-Inch'!X25</f>
        <v>178.54000000000002</v>
      </c>
      <c r="H28" s="161">
        <f t="shared" si="2"/>
        <v>55.920000000000016</v>
      </c>
      <c r="J28" s="358">
        <f t="shared" si="3"/>
        <v>0.45600000000000002</v>
      </c>
      <c r="K28" s="146"/>
    </row>
    <row r="29" spans="1:11" x14ac:dyDescent="0.35">
      <c r="A29" s="22"/>
      <c r="B29" s="74">
        <v>12000</v>
      </c>
      <c r="D29" s="60">
        <f>'1-Inch'!Q26</f>
        <v>142.92000000000002</v>
      </c>
      <c r="F29" s="60">
        <f>'1-Inch'!X26</f>
        <v>209.44000000000003</v>
      </c>
      <c r="H29" s="161">
        <f t="shared" si="2"/>
        <v>66.52000000000001</v>
      </c>
      <c r="J29" s="358">
        <f t="shared" si="3"/>
        <v>0.46539999999999998</v>
      </c>
      <c r="K29" s="146"/>
    </row>
    <row r="30" spans="1:11" x14ac:dyDescent="0.35">
      <c r="A30" s="22"/>
      <c r="B30" s="74">
        <v>14000</v>
      </c>
      <c r="D30" s="60">
        <f>'1-Inch'!Q27</f>
        <v>163.22</v>
      </c>
      <c r="F30" s="60">
        <f>'1-Inch'!X27</f>
        <v>240.34000000000003</v>
      </c>
      <c r="H30" s="161">
        <f t="shared" si="2"/>
        <v>77.120000000000033</v>
      </c>
      <c r="J30" s="358">
        <f t="shared" si="3"/>
        <v>0.47249999999999998</v>
      </c>
      <c r="K30" s="146"/>
    </row>
    <row r="31" spans="1:11" x14ac:dyDescent="0.35">
      <c r="A31" s="22"/>
      <c r="B31" s="74">
        <v>16000</v>
      </c>
      <c r="D31" s="60">
        <f>'1-Inch'!Q28</f>
        <v>173.37</v>
      </c>
      <c r="F31" s="60">
        <f>'1-Inch'!X28</f>
        <v>255.79000000000002</v>
      </c>
      <c r="H31" s="161">
        <f t="shared" si="2"/>
        <v>82.420000000000016</v>
      </c>
      <c r="J31" s="358">
        <f t="shared" si="3"/>
        <v>0.47539999999999999</v>
      </c>
      <c r="K31" s="146"/>
    </row>
    <row r="32" spans="1:11" x14ac:dyDescent="0.35">
      <c r="A32" s="22"/>
      <c r="B32" s="74">
        <v>18000</v>
      </c>
      <c r="D32" s="60">
        <f>'1-Inch'!Q29</f>
        <v>201.24</v>
      </c>
      <c r="F32" s="60">
        <f>'1-Inch'!X29</f>
        <v>298.54000000000002</v>
      </c>
      <c r="H32" s="161">
        <f t="shared" si="2"/>
        <v>97.300000000000011</v>
      </c>
      <c r="J32" s="358">
        <f t="shared" si="3"/>
        <v>0.48349999999999999</v>
      </c>
      <c r="K32" s="146"/>
    </row>
    <row r="33" spans="1:11" x14ac:dyDescent="0.35">
      <c r="A33" s="22"/>
      <c r="B33" s="74">
        <v>20000</v>
      </c>
      <c r="D33" s="60">
        <f>'1-Inch'!Q30</f>
        <v>219.82</v>
      </c>
      <c r="F33" s="60">
        <f>'1-Inch'!X30</f>
        <v>327.04000000000002</v>
      </c>
      <c r="H33" s="161">
        <f t="shared" si="2"/>
        <v>107.22000000000003</v>
      </c>
      <c r="J33" s="358">
        <f t="shared" si="3"/>
        <v>0.48780000000000001</v>
      </c>
      <c r="K33" s="146"/>
    </row>
    <row r="34" spans="1:11" x14ac:dyDescent="0.35">
      <c r="A34" s="22"/>
      <c r="B34" s="74"/>
      <c r="J34" s="359"/>
      <c r="K34" s="146"/>
    </row>
    <row r="35" spans="1:11" x14ac:dyDescent="0.35">
      <c r="A35" s="22"/>
      <c r="B35" s="322" t="s">
        <v>178</v>
      </c>
      <c r="J35" s="359"/>
      <c r="K35" s="146"/>
    </row>
    <row r="36" spans="1:11" x14ac:dyDescent="0.35">
      <c r="A36" s="22"/>
      <c r="B36" s="73">
        <v>5000</v>
      </c>
      <c r="D36" s="60">
        <f>'2-Inch'!O17</f>
        <v>171.93</v>
      </c>
      <c r="F36" s="60">
        <f>'2-Inch'!T17</f>
        <v>240.58</v>
      </c>
      <c r="H36" s="161">
        <f t="shared" ref="H36:H41" si="4">F36-D36</f>
        <v>68.650000000000006</v>
      </c>
      <c r="J36" s="358">
        <f t="shared" ref="J36:J41" si="5">ROUND(H36/D36,4)</f>
        <v>0.39929999999999999</v>
      </c>
      <c r="K36" s="146"/>
    </row>
    <row r="37" spans="1:11" x14ac:dyDescent="0.35">
      <c r="A37" s="22"/>
      <c r="B37" s="73">
        <v>10000</v>
      </c>
      <c r="D37" s="60">
        <f>'2-Inch'!O18</f>
        <v>171.93</v>
      </c>
      <c r="F37" s="60">
        <f>'2-Inch'!T18</f>
        <v>240.58</v>
      </c>
      <c r="H37" s="161">
        <f t="shared" si="4"/>
        <v>68.650000000000006</v>
      </c>
      <c r="J37" s="358">
        <f t="shared" si="5"/>
        <v>0.39929999999999999</v>
      </c>
      <c r="K37" s="146"/>
    </row>
    <row r="38" spans="1:11" x14ac:dyDescent="0.35">
      <c r="A38" s="22"/>
      <c r="B38" s="73">
        <v>15000</v>
      </c>
      <c r="D38" s="60">
        <f>'2-Inch'!O19</f>
        <v>171.93</v>
      </c>
      <c r="F38" s="60">
        <f>'2-Inch'!T19</f>
        <v>240.58</v>
      </c>
      <c r="H38" s="161">
        <f t="shared" si="4"/>
        <v>68.650000000000006</v>
      </c>
      <c r="J38" s="358">
        <f t="shared" si="5"/>
        <v>0.39929999999999999</v>
      </c>
      <c r="K38" s="146"/>
    </row>
    <row r="39" spans="1:11" x14ac:dyDescent="0.35">
      <c r="A39" s="22"/>
      <c r="B39" s="73">
        <v>20000</v>
      </c>
      <c r="D39" s="60">
        <f>'2-Inch'!O20</f>
        <v>218.38</v>
      </c>
      <c r="F39" s="60">
        <f>'2-Inch'!T20</f>
        <v>305.83000000000004</v>
      </c>
      <c r="H39" s="161">
        <f t="shared" si="4"/>
        <v>87.450000000000045</v>
      </c>
      <c r="J39" s="358">
        <f t="shared" si="5"/>
        <v>0.40039999999999998</v>
      </c>
      <c r="K39" s="146"/>
    </row>
    <row r="40" spans="1:11" x14ac:dyDescent="0.35">
      <c r="A40" s="22"/>
      <c r="B40" s="73">
        <v>25000</v>
      </c>
      <c r="D40" s="60">
        <f>'2-Inch'!O21</f>
        <v>264.83</v>
      </c>
      <c r="F40" s="60">
        <f>'2-Inch'!T21</f>
        <v>371.08000000000004</v>
      </c>
      <c r="H40" s="161">
        <f t="shared" si="4"/>
        <v>106.25000000000006</v>
      </c>
      <c r="J40" s="358">
        <f t="shared" si="5"/>
        <v>0.4012</v>
      </c>
      <c r="K40" s="146"/>
    </row>
    <row r="41" spans="1:11" x14ac:dyDescent="0.35">
      <c r="A41" s="22"/>
      <c r="B41" s="73">
        <v>30000</v>
      </c>
      <c r="D41" s="60">
        <f>'2-Inch'!O22</f>
        <v>311.27999999999997</v>
      </c>
      <c r="F41" s="60">
        <f>'2-Inch'!T22</f>
        <v>436.33000000000004</v>
      </c>
      <c r="H41" s="161">
        <f t="shared" si="4"/>
        <v>125.05000000000007</v>
      </c>
      <c r="J41" s="358">
        <f t="shared" si="5"/>
        <v>0.4017</v>
      </c>
      <c r="K41" s="146"/>
    </row>
    <row r="42" spans="1:11" x14ac:dyDescent="0.35">
      <c r="A42" s="22"/>
      <c r="B42" s="27"/>
      <c r="J42" s="359"/>
      <c r="K42" s="146"/>
    </row>
    <row r="43" spans="1:11" x14ac:dyDescent="0.35">
      <c r="A43" s="22"/>
      <c r="B43" s="322" t="s">
        <v>179</v>
      </c>
      <c r="J43" s="359"/>
      <c r="K43" s="146"/>
    </row>
    <row r="44" spans="1:11" x14ac:dyDescent="0.35">
      <c r="A44" s="22"/>
      <c r="B44" s="73">
        <v>60000</v>
      </c>
      <c r="D44" s="60">
        <f>'6-Inch'!O16</f>
        <v>963.03</v>
      </c>
      <c r="F44" s="60">
        <f>'6-Inch'!T16</f>
        <v>1347.33</v>
      </c>
      <c r="H44" s="161">
        <f t="shared" ref="H44" si="6">F44-D44</f>
        <v>384.29999999999995</v>
      </c>
      <c r="J44" s="358">
        <f t="shared" ref="J44:J48" si="7">ROUND(H44/D44,4)</f>
        <v>0.39910000000000001</v>
      </c>
      <c r="K44" s="146"/>
    </row>
    <row r="45" spans="1:11" x14ac:dyDescent="0.35">
      <c r="A45" s="22"/>
      <c r="B45" s="73">
        <v>80000</v>
      </c>
      <c r="D45" s="60">
        <f>'6-Inch'!O17</f>
        <v>963.03</v>
      </c>
      <c r="F45" s="60">
        <f>'6-Inch'!T17</f>
        <v>1347.33</v>
      </c>
      <c r="H45" s="161">
        <f t="shared" ref="H45:H48" si="8">F45-D45</f>
        <v>384.29999999999995</v>
      </c>
      <c r="J45" s="358">
        <f t="shared" si="7"/>
        <v>0.39910000000000001</v>
      </c>
      <c r="K45" s="146"/>
    </row>
    <row r="46" spans="1:11" x14ac:dyDescent="0.35">
      <c r="A46" s="22"/>
      <c r="B46" s="73">
        <v>100000</v>
      </c>
      <c r="D46" s="60">
        <f>'6-Inch'!O18</f>
        <v>963.03</v>
      </c>
      <c r="F46" s="60">
        <f>'6-Inch'!T18</f>
        <v>1347.33</v>
      </c>
      <c r="H46" s="161">
        <f t="shared" si="8"/>
        <v>384.29999999999995</v>
      </c>
      <c r="J46" s="358">
        <f t="shared" si="7"/>
        <v>0.39910000000000001</v>
      </c>
      <c r="K46" s="146"/>
    </row>
    <row r="47" spans="1:11" x14ac:dyDescent="0.35">
      <c r="A47" s="22"/>
      <c r="B47" s="73">
        <v>120000</v>
      </c>
      <c r="D47" s="60">
        <f>'6-Inch'!O19</f>
        <v>1148.83</v>
      </c>
      <c r="F47" s="60">
        <f>'6-Inch'!T19</f>
        <v>1608.33</v>
      </c>
      <c r="H47" s="161">
        <f t="shared" si="8"/>
        <v>459.5</v>
      </c>
      <c r="J47" s="358">
        <f t="shared" si="7"/>
        <v>0.4</v>
      </c>
      <c r="K47" s="146"/>
    </row>
    <row r="48" spans="1:11" x14ac:dyDescent="0.35">
      <c r="A48" s="22"/>
      <c r="B48" s="73">
        <v>140000</v>
      </c>
      <c r="D48" s="60">
        <f>'6-Inch'!O20</f>
        <v>1334.6299999999999</v>
      </c>
      <c r="F48" s="60">
        <f>'6-Inch'!T20</f>
        <v>1869.33</v>
      </c>
      <c r="H48" s="161">
        <f t="shared" si="8"/>
        <v>534.70000000000005</v>
      </c>
      <c r="J48" s="358">
        <f t="shared" si="7"/>
        <v>0.40060000000000001</v>
      </c>
      <c r="K48" s="146"/>
    </row>
    <row r="49" spans="1:11" x14ac:dyDescent="0.35">
      <c r="A49" s="22"/>
      <c r="B49" s="322"/>
      <c r="J49" s="359"/>
      <c r="K49" s="146"/>
    </row>
    <row r="50" spans="1:11" x14ac:dyDescent="0.35">
      <c r="A50" s="22"/>
      <c r="B50" s="322" t="s">
        <v>188</v>
      </c>
      <c r="J50" s="359"/>
      <c r="K50" s="146"/>
    </row>
    <row r="51" spans="1:11" x14ac:dyDescent="0.35">
      <c r="A51" s="22"/>
      <c r="B51" s="73">
        <f>ROUND('ExBA - Beg. Rates'!C94/'ExBA - Beg. Rates'!D94,0)</f>
        <v>523333</v>
      </c>
      <c r="D51" s="60">
        <f>ROUND(B51*'Table C'!F30,2)</f>
        <v>2365.4699999999998</v>
      </c>
      <c r="F51" s="60">
        <f>ROUND(B51*'Table C'!I30,2)</f>
        <v>3328.4</v>
      </c>
      <c r="H51" s="161">
        <f t="shared" ref="H51" si="9">F51-D51</f>
        <v>962.93000000000029</v>
      </c>
      <c r="J51" s="358">
        <f>ROUND(H51/D51,4)</f>
        <v>0.40710000000000002</v>
      </c>
      <c r="K51" s="146"/>
    </row>
    <row r="52" spans="1:11" x14ac:dyDescent="0.35">
      <c r="A52" s="250"/>
      <c r="B52" s="56"/>
      <c r="C52" s="56"/>
      <c r="D52" s="56"/>
      <c r="E52" s="56"/>
      <c r="F52" s="56"/>
      <c r="G52" s="56"/>
      <c r="H52" s="56"/>
      <c r="I52" s="56"/>
      <c r="J52" s="56"/>
      <c r="K52" s="252"/>
    </row>
  </sheetData>
  <mergeCells count="4">
    <mergeCell ref="B7:J7"/>
    <mergeCell ref="C4:J4"/>
    <mergeCell ref="B5:J5"/>
    <mergeCell ref="B6:J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C004-D5E9-4F84-97DF-729DAFFF2E6A}">
  <dimension ref="C3:Z50"/>
  <sheetViews>
    <sheetView topLeftCell="B1" workbookViewId="0">
      <selection activeCell="B1" sqref="A1:XFD1048576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14" customWidth="1"/>
    <col min="7" max="7" width="10.765625" style="27" customWidth="1"/>
    <col min="8" max="8" width="1.23046875" style="27" customWidth="1"/>
    <col min="9" max="9" width="10.765625" style="314" customWidth="1"/>
    <col min="10" max="10" width="10.765625" style="27" customWidth="1"/>
    <col min="11" max="11" width="8.84375" style="331"/>
    <col min="12" max="12" width="11.4609375" style="73" bestFit="1" customWidth="1"/>
    <col min="13" max="15" width="10.4609375" style="73" bestFit="1" customWidth="1"/>
    <col min="16" max="17" width="11.4609375" style="73" bestFit="1" customWidth="1"/>
    <col min="20" max="20" width="11.4609375" style="73" bestFit="1" customWidth="1"/>
    <col min="21" max="23" width="10.4609375" style="73" bestFit="1" customWidth="1"/>
    <col min="24" max="25" width="11.4609375" style="73" bestFit="1" customWidth="1"/>
  </cols>
  <sheetData>
    <row r="3" spans="3:26" x14ac:dyDescent="0.35">
      <c r="C3"/>
      <c r="D3"/>
      <c r="E3"/>
      <c r="F3"/>
      <c r="G3"/>
      <c r="H3"/>
      <c r="I3"/>
      <c r="J3"/>
    </row>
    <row r="4" spans="3:26" x14ac:dyDescent="0.35">
      <c r="C4"/>
      <c r="D4"/>
      <c r="E4"/>
      <c r="F4"/>
      <c r="G4"/>
      <c r="H4"/>
      <c r="I4"/>
      <c r="J4"/>
    </row>
    <row r="5" spans="3:26" x14ac:dyDescent="0.35">
      <c r="C5"/>
      <c r="D5"/>
      <c r="E5"/>
      <c r="F5"/>
      <c r="G5"/>
      <c r="H5"/>
      <c r="I5"/>
      <c r="J5"/>
    </row>
    <row r="7" spans="3:26" x14ac:dyDescent="0.35">
      <c r="C7" s="313"/>
      <c r="I7" s="315"/>
      <c r="L7" s="428" t="s">
        <v>384</v>
      </c>
      <c r="M7" s="428"/>
      <c r="N7" s="428"/>
      <c r="O7" s="428"/>
      <c r="P7" s="428"/>
      <c r="Q7" s="428"/>
      <c r="R7" s="428"/>
      <c r="T7" s="428" t="s">
        <v>384</v>
      </c>
      <c r="U7" s="428"/>
      <c r="V7" s="428"/>
      <c r="W7" s="428"/>
      <c r="X7" s="428"/>
      <c r="Y7" s="428"/>
      <c r="Z7" s="428"/>
    </row>
    <row r="8" spans="3:26" x14ac:dyDescent="0.35">
      <c r="C8" s="322" t="s">
        <v>322</v>
      </c>
      <c r="F8" s="421" t="s">
        <v>374</v>
      </c>
      <c r="G8" s="421"/>
      <c r="I8" s="421" t="s">
        <v>373</v>
      </c>
      <c r="J8" s="421"/>
      <c r="M8" s="332">
        <v>2000</v>
      </c>
      <c r="N8" s="332">
        <v>3000</v>
      </c>
      <c r="O8" s="332">
        <v>5000</v>
      </c>
      <c r="P8" s="332">
        <v>5000</v>
      </c>
      <c r="Q8" s="332">
        <v>15000</v>
      </c>
      <c r="U8" s="332">
        <v>2000</v>
      </c>
      <c r="V8" s="332">
        <v>3000</v>
      </c>
      <c r="W8" s="332">
        <v>5000</v>
      </c>
      <c r="X8" s="332">
        <v>5000</v>
      </c>
      <c r="Y8" s="332">
        <v>15000</v>
      </c>
    </row>
    <row r="9" spans="3:26" x14ac:dyDescent="0.35">
      <c r="C9" s="316" t="s">
        <v>53</v>
      </c>
      <c r="D9" s="317">
        <v>2000</v>
      </c>
      <c r="E9" s="253" t="s">
        <v>148</v>
      </c>
      <c r="F9" s="318">
        <v>31.89</v>
      </c>
      <c r="G9" s="27" t="s">
        <v>186</v>
      </c>
      <c r="I9" s="318">
        <f>'Table C'!I9</f>
        <v>44.93</v>
      </c>
      <c r="J9" s="27" t="s">
        <v>186</v>
      </c>
      <c r="K9" s="331">
        <f>F9</f>
        <v>31.89</v>
      </c>
      <c r="M9" s="60">
        <f>F9</f>
        <v>31.89</v>
      </c>
      <c r="N9" s="333">
        <f>F10</f>
        <v>1.1860000000000001E-2</v>
      </c>
      <c r="O9" s="333">
        <f>F11</f>
        <v>1.0999999999999999E-2</v>
      </c>
      <c r="P9" s="333">
        <f>F12</f>
        <v>1.0149999999999999E-2</v>
      </c>
      <c r="Q9" s="333">
        <f>F13</f>
        <v>9.2899999999999996E-3</v>
      </c>
      <c r="U9" s="60">
        <f>I9</f>
        <v>44.93</v>
      </c>
      <c r="V9" s="333">
        <f>I10</f>
        <v>1.6660000000000001E-2</v>
      </c>
      <c r="W9" s="333">
        <f>I11</f>
        <v>1.545E-2</v>
      </c>
      <c r="X9" s="333">
        <f>I12</f>
        <v>1.4249999999999999E-2</v>
      </c>
      <c r="Y9" s="333">
        <f>I13</f>
        <v>1.304E-2</v>
      </c>
    </row>
    <row r="10" spans="3:26" x14ac:dyDescent="0.35">
      <c r="C10" s="316" t="s">
        <v>54</v>
      </c>
      <c r="D10" s="317">
        <v>3000</v>
      </c>
      <c r="E10" s="253" t="s">
        <v>148</v>
      </c>
      <c r="F10" s="319">
        <v>1.1860000000000001E-2</v>
      </c>
      <c r="G10" s="27" t="s">
        <v>187</v>
      </c>
      <c r="I10" s="319">
        <f>'Table C'!I10</f>
        <v>1.6660000000000001E-2</v>
      </c>
      <c r="J10" s="27" t="s">
        <v>187</v>
      </c>
      <c r="K10" s="331">
        <f>D10*F10</f>
        <v>35.580000000000005</v>
      </c>
      <c r="L10" s="73">
        <v>2000</v>
      </c>
      <c r="M10" s="73">
        <v>2000</v>
      </c>
      <c r="T10" s="73">
        <v>2000</v>
      </c>
      <c r="U10" s="73">
        <v>2000</v>
      </c>
    </row>
    <row r="11" spans="3:26" x14ac:dyDescent="0.35">
      <c r="C11" s="316" t="s">
        <v>54</v>
      </c>
      <c r="D11" s="317">
        <v>5000</v>
      </c>
      <c r="E11" s="253" t="s">
        <v>148</v>
      </c>
      <c r="F11" s="319">
        <v>1.0999999999999999E-2</v>
      </c>
      <c r="G11" s="27" t="s">
        <v>187</v>
      </c>
      <c r="I11" s="319">
        <f>'Table C'!I11</f>
        <v>1.545E-2</v>
      </c>
      <c r="J11" s="27" t="s">
        <v>187</v>
      </c>
      <c r="K11" s="331">
        <f>D11*F11</f>
        <v>55</v>
      </c>
      <c r="L11" s="73">
        <v>4000</v>
      </c>
      <c r="M11" s="73">
        <f>L11-D9</f>
        <v>2000</v>
      </c>
      <c r="N11" s="62">
        <f>L11-M11</f>
        <v>2000</v>
      </c>
      <c r="R11" s="73">
        <f>SUM(M11:Q11)</f>
        <v>4000</v>
      </c>
      <c r="T11" s="73">
        <v>4000</v>
      </c>
      <c r="U11" s="73">
        <v>2000</v>
      </c>
      <c r="V11" s="62">
        <f>T11-U11</f>
        <v>2000</v>
      </c>
      <c r="Z11" s="73">
        <f>SUM(U11:Y11)</f>
        <v>4000</v>
      </c>
    </row>
    <row r="12" spans="3:26" x14ac:dyDescent="0.35">
      <c r="C12" s="316" t="s">
        <v>54</v>
      </c>
      <c r="D12" s="317">
        <v>5000</v>
      </c>
      <c r="E12" s="253" t="s">
        <v>148</v>
      </c>
      <c r="F12" s="319">
        <v>1.0149999999999999E-2</v>
      </c>
      <c r="G12" s="27" t="s">
        <v>187</v>
      </c>
      <c r="I12" s="319">
        <f>'Table C'!I12</f>
        <v>1.4249999999999999E-2</v>
      </c>
      <c r="J12" s="27" t="s">
        <v>187</v>
      </c>
      <c r="K12" s="331">
        <f>D12*F12</f>
        <v>50.75</v>
      </c>
      <c r="L12" s="73">
        <v>6000</v>
      </c>
      <c r="M12" s="73">
        <v>2000</v>
      </c>
      <c r="N12" s="73">
        <v>3000</v>
      </c>
      <c r="O12" s="73">
        <f>L12-M12-N12</f>
        <v>1000</v>
      </c>
      <c r="R12" s="73">
        <f t="shared" ref="R12:R19" si="0">SUM(M12:Q12)</f>
        <v>6000</v>
      </c>
      <c r="T12" s="73">
        <v>6000</v>
      </c>
      <c r="U12" s="73">
        <v>2000</v>
      </c>
      <c r="V12" s="73">
        <v>3000</v>
      </c>
      <c r="W12" s="73">
        <f>T12-U12-V12</f>
        <v>1000</v>
      </c>
      <c r="Z12" s="73">
        <f t="shared" ref="Z12:Z19" si="1">SUM(U12:Y12)</f>
        <v>6000</v>
      </c>
    </row>
    <row r="13" spans="3:26" x14ac:dyDescent="0.35">
      <c r="C13" s="316" t="s">
        <v>98</v>
      </c>
      <c r="D13" s="317">
        <v>15000</v>
      </c>
      <c r="E13" s="253" t="s">
        <v>148</v>
      </c>
      <c r="F13" s="319">
        <v>9.2899999999999996E-3</v>
      </c>
      <c r="G13" s="27" t="s">
        <v>187</v>
      </c>
      <c r="I13" s="319">
        <f>'Table C'!I13</f>
        <v>1.304E-2</v>
      </c>
      <c r="J13" s="27" t="s">
        <v>187</v>
      </c>
      <c r="L13" s="73">
        <v>8000</v>
      </c>
      <c r="M13" s="73">
        <v>2000</v>
      </c>
      <c r="N13" s="73">
        <v>3000</v>
      </c>
      <c r="O13" s="73">
        <f>L13-M8-N8</f>
        <v>3000</v>
      </c>
      <c r="R13" s="73">
        <f t="shared" si="0"/>
        <v>8000</v>
      </c>
      <c r="T13" s="73">
        <v>8000</v>
      </c>
      <c r="U13" s="73">
        <v>2000</v>
      </c>
      <c r="V13" s="73">
        <v>3000</v>
      </c>
      <c r="W13" s="73">
        <f>T13-U8-V8</f>
        <v>3000</v>
      </c>
      <c r="Z13" s="73">
        <f t="shared" si="1"/>
        <v>8000</v>
      </c>
    </row>
    <row r="14" spans="3:26" x14ac:dyDescent="0.35">
      <c r="E14" s="253"/>
      <c r="F14" s="27"/>
      <c r="L14" s="73">
        <v>10000</v>
      </c>
      <c r="M14" s="73">
        <v>2000</v>
      </c>
      <c r="N14" s="73">
        <v>3000</v>
      </c>
      <c r="O14" s="73">
        <f>L14-M8-N8</f>
        <v>5000</v>
      </c>
      <c r="R14" s="73">
        <f t="shared" si="0"/>
        <v>10000</v>
      </c>
      <c r="T14" s="73">
        <v>10000</v>
      </c>
      <c r="U14" s="73">
        <v>2000</v>
      </c>
      <c r="V14" s="73">
        <v>3000</v>
      </c>
      <c r="W14" s="73">
        <f>T14-U8-V8</f>
        <v>5000</v>
      </c>
      <c r="Z14" s="73">
        <f t="shared" si="1"/>
        <v>10000</v>
      </c>
    </row>
    <row r="15" spans="3:26" x14ac:dyDescent="0.35">
      <c r="E15" s="253"/>
      <c r="F15" s="27"/>
      <c r="L15" s="73">
        <v>12000</v>
      </c>
      <c r="M15" s="73">
        <v>2000</v>
      </c>
      <c r="N15" s="73">
        <v>3000</v>
      </c>
      <c r="O15" s="73">
        <v>5000</v>
      </c>
      <c r="P15" s="73">
        <f>L15-M15-N15-O15</f>
        <v>2000</v>
      </c>
      <c r="R15" s="73">
        <f t="shared" si="0"/>
        <v>12000</v>
      </c>
      <c r="T15" s="73">
        <v>12000</v>
      </c>
      <c r="U15" s="73">
        <v>2000</v>
      </c>
      <c r="V15" s="73">
        <v>3000</v>
      </c>
      <c r="W15" s="73">
        <v>5000</v>
      </c>
      <c r="X15" s="73">
        <f>T15-U15-V15-W15</f>
        <v>2000</v>
      </c>
      <c r="Z15" s="73">
        <f t="shared" si="1"/>
        <v>12000</v>
      </c>
    </row>
    <row r="16" spans="3:26" x14ac:dyDescent="0.35">
      <c r="E16" s="253"/>
      <c r="F16" s="27"/>
      <c r="L16" s="73">
        <v>14000</v>
      </c>
      <c r="M16" s="73">
        <v>2000</v>
      </c>
      <c r="N16" s="73">
        <v>3000</v>
      </c>
      <c r="O16" s="73">
        <v>5000</v>
      </c>
      <c r="P16" s="73">
        <f>L16-M16-N16-O16</f>
        <v>4000</v>
      </c>
      <c r="R16" s="73">
        <f t="shared" si="0"/>
        <v>14000</v>
      </c>
      <c r="T16" s="73">
        <v>14000</v>
      </c>
      <c r="U16" s="73">
        <v>2000</v>
      </c>
      <c r="V16" s="73">
        <v>3000</v>
      </c>
      <c r="W16" s="73">
        <v>5000</v>
      </c>
      <c r="X16" s="73">
        <f>T16-U16-V16-W16</f>
        <v>4000</v>
      </c>
      <c r="Z16" s="73">
        <f t="shared" si="1"/>
        <v>14000</v>
      </c>
    </row>
    <row r="17" spans="5:26" x14ac:dyDescent="0.35">
      <c r="E17" s="253"/>
      <c r="F17" s="27"/>
      <c r="L17" s="73">
        <v>16000</v>
      </c>
      <c r="M17" s="73">
        <v>2000</v>
      </c>
      <c r="N17" s="73">
        <v>3000</v>
      </c>
      <c r="O17" s="73">
        <v>5000</v>
      </c>
      <c r="P17" s="73">
        <f>L17-M17-N17-O17</f>
        <v>6000</v>
      </c>
      <c r="R17" s="73">
        <f t="shared" si="0"/>
        <v>16000</v>
      </c>
      <c r="T17" s="73">
        <v>16000</v>
      </c>
      <c r="U17" s="73">
        <v>2000</v>
      </c>
      <c r="V17" s="73">
        <v>3000</v>
      </c>
      <c r="W17" s="73">
        <v>5000</v>
      </c>
      <c r="X17" s="73">
        <f>T17-U17-V17-W17</f>
        <v>6000</v>
      </c>
      <c r="Z17" s="73">
        <f t="shared" si="1"/>
        <v>16000</v>
      </c>
    </row>
    <row r="18" spans="5:26" x14ac:dyDescent="0.35">
      <c r="E18" s="253"/>
      <c r="F18" s="27"/>
      <c r="L18" s="73">
        <v>18000</v>
      </c>
      <c r="M18" s="73">
        <v>2000</v>
      </c>
      <c r="N18" s="73">
        <v>3000</v>
      </c>
      <c r="O18" s="73">
        <v>5000</v>
      </c>
      <c r="P18" s="73">
        <v>5000</v>
      </c>
      <c r="Q18" s="73">
        <f>L18-M18-N18-O18-P18</f>
        <v>3000</v>
      </c>
      <c r="R18" s="73">
        <f t="shared" si="0"/>
        <v>18000</v>
      </c>
      <c r="T18" s="73">
        <v>18000</v>
      </c>
      <c r="U18" s="73">
        <v>2000</v>
      </c>
      <c r="V18" s="73">
        <v>3000</v>
      </c>
      <c r="W18" s="73">
        <v>5000</v>
      </c>
      <c r="X18" s="73">
        <v>5000</v>
      </c>
      <c r="Y18" s="73">
        <f>T18-U18-V18-W18-X18</f>
        <v>3000</v>
      </c>
      <c r="Z18" s="73">
        <f t="shared" si="1"/>
        <v>18000</v>
      </c>
    </row>
    <row r="19" spans="5:26" x14ac:dyDescent="0.35">
      <c r="E19" s="253"/>
      <c r="F19" s="27"/>
      <c r="L19" s="73">
        <v>20000</v>
      </c>
      <c r="M19" s="73">
        <v>2000</v>
      </c>
      <c r="N19" s="73">
        <v>3000</v>
      </c>
      <c r="O19" s="73">
        <v>5000</v>
      </c>
      <c r="P19" s="73">
        <v>5000</v>
      </c>
      <c r="Q19" s="73">
        <f>+L19-M19-N19-O19-P19</f>
        <v>5000</v>
      </c>
      <c r="R19" s="73">
        <f t="shared" si="0"/>
        <v>20000</v>
      </c>
      <c r="T19" s="73">
        <v>20000</v>
      </c>
      <c r="U19" s="73">
        <v>2000</v>
      </c>
      <c r="V19" s="73">
        <v>3000</v>
      </c>
      <c r="W19" s="73">
        <v>5000</v>
      </c>
      <c r="X19" s="73">
        <v>5000</v>
      </c>
      <c r="Y19" s="73">
        <f>+T19-U19-V19-W19-X19</f>
        <v>5000</v>
      </c>
      <c r="Z19" s="73">
        <f t="shared" si="1"/>
        <v>20000</v>
      </c>
    </row>
    <row r="20" spans="5:26" x14ac:dyDescent="0.35">
      <c r="E20" s="253"/>
      <c r="F20" s="27"/>
    </row>
    <row r="21" spans="5:26" x14ac:dyDescent="0.35">
      <c r="E21" s="253"/>
      <c r="F21" s="27"/>
      <c r="L21" s="73">
        <v>2000</v>
      </c>
      <c r="M21" s="60">
        <f>M9</f>
        <v>31.89</v>
      </c>
      <c r="N21" s="60"/>
      <c r="O21" s="60"/>
      <c r="P21" s="60"/>
      <c r="Q21" s="60"/>
      <c r="R21" s="60">
        <f>SUM(M21:Q21)</f>
        <v>31.89</v>
      </c>
      <c r="T21" s="73">
        <v>2000</v>
      </c>
      <c r="U21" s="60">
        <f>U9</f>
        <v>44.93</v>
      </c>
      <c r="V21" s="60"/>
      <c r="W21" s="60"/>
      <c r="X21" s="60"/>
      <c r="Y21" s="60"/>
      <c r="Z21" s="60">
        <f>SUM(U21:Y21)</f>
        <v>44.93</v>
      </c>
    </row>
    <row r="22" spans="5:26" x14ac:dyDescent="0.35">
      <c r="E22" s="253"/>
      <c r="F22" s="27"/>
      <c r="L22" s="73">
        <v>4000</v>
      </c>
      <c r="M22" s="60">
        <f>M21</f>
        <v>31.89</v>
      </c>
      <c r="N22" s="60">
        <f>N11*N$9</f>
        <v>23.720000000000002</v>
      </c>
      <c r="O22" s="60"/>
      <c r="P22" s="60"/>
      <c r="Q22" s="60"/>
      <c r="R22" s="60">
        <f t="shared" ref="R22:R30" si="2">SUM(M22:Q22)</f>
        <v>55.61</v>
      </c>
      <c r="T22" s="73">
        <v>4000</v>
      </c>
      <c r="U22" s="60">
        <f>U21</f>
        <v>44.93</v>
      </c>
      <c r="V22" s="60">
        <f>V11*V$9</f>
        <v>33.32</v>
      </c>
      <c r="W22" s="60"/>
      <c r="X22" s="60"/>
      <c r="Y22" s="60"/>
      <c r="Z22" s="60">
        <f t="shared" ref="Z22:Z30" si="3">SUM(U22:Y22)</f>
        <v>78.25</v>
      </c>
    </row>
    <row r="23" spans="5:26" x14ac:dyDescent="0.35">
      <c r="E23" s="253"/>
      <c r="F23" s="27"/>
      <c r="L23" s="73">
        <v>6000</v>
      </c>
      <c r="M23" s="60">
        <f t="shared" ref="M23:M30" si="4">M22</f>
        <v>31.89</v>
      </c>
      <c r="N23" s="60">
        <f t="shared" ref="N23:O30" si="5">N12*N$9</f>
        <v>35.580000000000005</v>
      </c>
      <c r="O23" s="60">
        <f t="shared" si="5"/>
        <v>11</v>
      </c>
      <c r="P23" s="60"/>
      <c r="Q23" s="60"/>
      <c r="R23" s="60">
        <f t="shared" si="2"/>
        <v>78.47</v>
      </c>
      <c r="T23" s="73">
        <v>6000</v>
      </c>
      <c r="U23" s="60">
        <f t="shared" ref="U23:U30" si="6">U22</f>
        <v>44.93</v>
      </c>
      <c r="V23" s="60">
        <f t="shared" ref="V23:W25" si="7">V12*V$9</f>
        <v>49.980000000000004</v>
      </c>
      <c r="W23" s="60">
        <f t="shared" si="7"/>
        <v>15.450000000000001</v>
      </c>
      <c r="X23" s="60"/>
      <c r="Y23" s="60"/>
      <c r="Z23" s="60">
        <f t="shared" si="3"/>
        <v>110.36</v>
      </c>
    </row>
    <row r="24" spans="5:26" x14ac:dyDescent="0.35">
      <c r="E24" s="253"/>
      <c r="F24" s="27"/>
      <c r="L24" s="73">
        <v>8000</v>
      </c>
      <c r="M24" s="60">
        <f t="shared" si="4"/>
        <v>31.89</v>
      </c>
      <c r="N24" s="60">
        <f t="shared" si="5"/>
        <v>35.580000000000005</v>
      </c>
      <c r="O24" s="60">
        <f t="shared" ref="O24" si="8">O13*O$9</f>
        <v>33</v>
      </c>
      <c r="P24" s="60"/>
      <c r="Q24" s="60"/>
      <c r="R24" s="60">
        <f t="shared" si="2"/>
        <v>100.47</v>
      </c>
      <c r="T24" s="73">
        <v>8000</v>
      </c>
      <c r="U24" s="60">
        <f t="shared" si="6"/>
        <v>44.93</v>
      </c>
      <c r="V24" s="60">
        <f t="shared" ref="V24" si="9">V13*V$9</f>
        <v>49.980000000000004</v>
      </c>
      <c r="W24" s="60">
        <f t="shared" si="7"/>
        <v>46.35</v>
      </c>
      <c r="X24" s="60"/>
      <c r="Y24" s="60"/>
      <c r="Z24" s="60">
        <f t="shared" si="3"/>
        <v>141.26</v>
      </c>
    </row>
    <row r="25" spans="5:26" x14ac:dyDescent="0.35">
      <c r="E25" s="253"/>
      <c r="F25" s="27"/>
      <c r="L25" s="73">
        <v>10000</v>
      </c>
      <c r="M25" s="60">
        <f t="shared" si="4"/>
        <v>31.89</v>
      </c>
      <c r="N25" s="60">
        <f t="shared" si="5"/>
        <v>35.580000000000005</v>
      </c>
      <c r="O25" s="60">
        <f t="shared" ref="O25" si="10">O14*O$9</f>
        <v>55</v>
      </c>
      <c r="P25" s="60"/>
      <c r="Q25" s="60"/>
      <c r="R25" s="60">
        <f t="shared" si="2"/>
        <v>122.47</v>
      </c>
      <c r="T25" s="73">
        <v>10000</v>
      </c>
      <c r="U25" s="60">
        <f t="shared" si="6"/>
        <v>44.93</v>
      </c>
      <c r="V25" s="60">
        <f t="shared" ref="V25" si="11">V14*V$9</f>
        <v>49.980000000000004</v>
      </c>
      <c r="W25" s="60">
        <f t="shared" si="7"/>
        <v>77.25</v>
      </c>
      <c r="X25" s="60"/>
      <c r="Y25" s="60"/>
      <c r="Z25" s="60">
        <f t="shared" si="3"/>
        <v>172.16</v>
      </c>
    </row>
    <row r="26" spans="5:26" x14ac:dyDescent="0.35">
      <c r="E26" s="253"/>
      <c r="F26" s="27"/>
      <c r="L26" s="73">
        <v>12000</v>
      </c>
      <c r="M26" s="60">
        <f t="shared" si="4"/>
        <v>31.89</v>
      </c>
      <c r="N26" s="60">
        <f t="shared" si="5"/>
        <v>35.580000000000005</v>
      </c>
      <c r="O26" s="60">
        <f t="shared" ref="O26:P26" si="12">O15*O$9</f>
        <v>55</v>
      </c>
      <c r="P26" s="60">
        <f t="shared" si="12"/>
        <v>20.299999999999997</v>
      </c>
      <c r="Q26" s="60"/>
      <c r="R26" s="60">
        <f t="shared" si="2"/>
        <v>142.76999999999998</v>
      </c>
      <c r="T26" s="73">
        <v>12000</v>
      </c>
      <c r="U26" s="60">
        <f t="shared" si="6"/>
        <v>44.93</v>
      </c>
      <c r="V26" s="60">
        <f t="shared" ref="V26:X26" si="13">V15*V$9</f>
        <v>49.980000000000004</v>
      </c>
      <c r="W26" s="60">
        <f t="shared" si="13"/>
        <v>77.25</v>
      </c>
      <c r="X26" s="60">
        <f t="shared" si="13"/>
        <v>28.499999999999996</v>
      </c>
      <c r="Y26" s="60"/>
      <c r="Z26" s="60">
        <f t="shared" si="3"/>
        <v>200.66</v>
      </c>
    </row>
    <row r="27" spans="5:26" x14ac:dyDescent="0.35">
      <c r="E27" s="253"/>
      <c r="F27" s="27"/>
      <c r="L27" s="73">
        <v>14000</v>
      </c>
      <c r="M27" s="60">
        <f t="shared" si="4"/>
        <v>31.89</v>
      </c>
      <c r="N27" s="60">
        <f t="shared" si="5"/>
        <v>35.580000000000005</v>
      </c>
      <c r="O27" s="60">
        <f t="shared" ref="O27:P27" si="14">O16*O$9</f>
        <v>55</v>
      </c>
      <c r="P27" s="60">
        <f t="shared" si="14"/>
        <v>40.599999999999994</v>
      </c>
      <c r="Q27" s="60"/>
      <c r="R27" s="60">
        <f t="shared" si="2"/>
        <v>163.07</v>
      </c>
      <c r="T27" s="73">
        <v>14000</v>
      </c>
      <c r="U27" s="60">
        <f t="shared" si="6"/>
        <v>44.93</v>
      </c>
      <c r="V27" s="60">
        <f t="shared" ref="V27:X27" si="15">V16*V$9</f>
        <v>49.980000000000004</v>
      </c>
      <c r="W27" s="60">
        <f t="shared" si="15"/>
        <v>77.25</v>
      </c>
      <c r="X27" s="60">
        <f t="shared" si="15"/>
        <v>56.999999999999993</v>
      </c>
      <c r="Y27" s="60"/>
      <c r="Z27" s="60">
        <f t="shared" si="3"/>
        <v>229.16</v>
      </c>
    </row>
    <row r="28" spans="5:26" x14ac:dyDescent="0.35">
      <c r="E28" s="253"/>
      <c r="F28" s="27"/>
      <c r="L28" s="73">
        <v>16000</v>
      </c>
      <c r="M28" s="60">
        <f t="shared" si="4"/>
        <v>31.89</v>
      </c>
      <c r="N28" s="60">
        <f t="shared" si="5"/>
        <v>35.580000000000005</v>
      </c>
      <c r="O28" s="60">
        <f t="shared" ref="O28:P28" si="16">O17*O$9</f>
        <v>55</v>
      </c>
      <c r="P28" s="60">
        <f t="shared" si="16"/>
        <v>60.9</v>
      </c>
      <c r="Q28" s="60"/>
      <c r="R28" s="60">
        <f t="shared" si="2"/>
        <v>183.37</v>
      </c>
      <c r="T28" s="73">
        <v>16000</v>
      </c>
      <c r="U28" s="60">
        <f t="shared" si="6"/>
        <v>44.93</v>
      </c>
      <c r="V28" s="60">
        <f t="shared" ref="V28:X28" si="17">V17*V$9</f>
        <v>49.980000000000004</v>
      </c>
      <c r="W28" s="60">
        <f t="shared" si="17"/>
        <v>77.25</v>
      </c>
      <c r="X28" s="60">
        <f t="shared" si="17"/>
        <v>85.499999999999986</v>
      </c>
      <c r="Y28" s="60"/>
      <c r="Z28" s="60">
        <f t="shared" si="3"/>
        <v>257.65999999999997</v>
      </c>
    </row>
    <row r="29" spans="5:26" x14ac:dyDescent="0.35">
      <c r="E29" s="253"/>
      <c r="F29" s="27"/>
      <c r="L29" s="73">
        <v>18000</v>
      </c>
      <c r="M29" s="60">
        <f t="shared" si="4"/>
        <v>31.89</v>
      </c>
      <c r="N29" s="60">
        <f t="shared" si="5"/>
        <v>35.580000000000005</v>
      </c>
      <c r="O29" s="60">
        <f t="shared" ref="O29:Q30" si="18">O18*O$9</f>
        <v>55</v>
      </c>
      <c r="P29" s="60">
        <f t="shared" si="18"/>
        <v>50.75</v>
      </c>
      <c r="Q29" s="60">
        <f t="shared" si="18"/>
        <v>27.869999999999997</v>
      </c>
      <c r="R29" s="60">
        <f t="shared" si="2"/>
        <v>201.09</v>
      </c>
      <c r="T29" s="73">
        <v>18000</v>
      </c>
      <c r="U29" s="60">
        <f t="shared" si="6"/>
        <v>44.93</v>
      </c>
      <c r="V29" s="60">
        <f t="shared" ref="V29:Y29" si="19">V18*V$9</f>
        <v>49.980000000000004</v>
      </c>
      <c r="W29" s="60">
        <f t="shared" si="19"/>
        <v>77.25</v>
      </c>
      <c r="X29" s="60">
        <f t="shared" si="19"/>
        <v>71.25</v>
      </c>
      <c r="Y29" s="60">
        <f t="shared" si="19"/>
        <v>39.119999999999997</v>
      </c>
      <c r="Z29" s="60">
        <f t="shared" si="3"/>
        <v>282.52999999999997</v>
      </c>
    </row>
    <row r="30" spans="5:26" x14ac:dyDescent="0.35">
      <c r="E30" s="253"/>
      <c r="F30" s="27"/>
      <c r="L30" s="73">
        <v>20000</v>
      </c>
      <c r="M30" s="60">
        <f t="shared" si="4"/>
        <v>31.89</v>
      </c>
      <c r="N30" s="60">
        <f t="shared" si="5"/>
        <v>35.580000000000005</v>
      </c>
      <c r="O30" s="60">
        <f t="shared" ref="O30:P30" si="20">O19*O$9</f>
        <v>55</v>
      </c>
      <c r="P30" s="60">
        <f t="shared" si="20"/>
        <v>50.75</v>
      </c>
      <c r="Q30" s="60">
        <f t="shared" si="18"/>
        <v>46.449999999999996</v>
      </c>
      <c r="R30" s="60">
        <f t="shared" si="2"/>
        <v>219.67</v>
      </c>
      <c r="T30" s="73">
        <v>20000</v>
      </c>
      <c r="U30" s="60">
        <f t="shared" si="6"/>
        <v>44.93</v>
      </c>
      <c r="V30" s="60">
        <f t="shared" ref="V30:Y30" si="21">V19*V$9</f>
        <v>49.980000000000004</v>
      </c>
      <c r="W30" s="60">
        <f t="shared" si="21"/>
        <v>77.25</v>
      </c>
      <c r="X30" s="60">
        <f t="shared" si="21"/>
        <v>71.25</v>
      </c>
      <c r="Y30" s="60">
        <f t="shared" si="21"/>
        <v>65.2</v>
      </c>
      <c r="Z30" s="60">
        <f t="shared" si="3"/>
        <v>308.61</v>
      </c>
    </row>
    <row r="31" spans="5:26" x14ac:dyDescent="0.35">
      <c r="E31" s="253"/>
      <c r="F31" s="27"/>
    </row>
    <row r="32" spans="5:26" x14ac:dyDescent="0.35">
      <c r="E32" s="253"/>
      <c r="F32" s="27"/>
    </row>
    <row r="33" spans="3:10" x14ac:dyDescent="0.35">
      <c r="E33" s="253"/>
      <c r="F33" s="27"/>
    </row>
    <row r="34" spans="3:10" x14ac:dyDescent="0.35">
      <c r="C34" s="322" t="s">
        <v>177</v>
      </c>
      <c r="E34" s="253"/>
      <c r="F34" s="27"/>
    </row>
    <row r="35" spans="3:10" x14ac:dyDescent="0.35">
      <c r="C35" s="316" t="s">
        <v>53</v>
      </c>
      <c r="D35" s="317">
        <v>5000</v>
      </c>
      <c r="E35" s="253" t="s">
        <v>148</v>
      </c>
      <c r="F35" s="318">
        <v>31.89</v>
      </c>
      <c r="G35" s="27" t="s">
        <v>186</v>
      </c>
      <c r="I35" s="318">
        <f>'Table C'!I16</f>
        <v>95.240000000000009</v>
      </c>
      <c r="J35" s="27" t="s">
        <v>186</v>
      </c>
    </row>
    <row r="36" spans="3:10" x14ac:dyDescent="0.35">
      <c r="C36" s="316" t="s">
        <v>54</v>
      </c>
      <c r="D36" s="317">
        <v>5000</v>
      </c>
      <c r="E36" s="253" t="s">
        <v>148</v>
      </c>
      <c r="F36" s="319">
        <v>1.0999999999999999E-2</v>
      </c>
      <c r="G36" s="27" t="s">
        <v>187</v>
      </c>
      <c r="I36" s="319">
        <f>'Table C'!I17</f>
        <v>1.545E-2</v>
      </c>
      <c r="J36" s="27" t="s">
        <v>187</v>
      </c>
    </row>
    <row r="37" spans="3:10" x14ac:dyDescent="0.35">
      <c r="C37" s="316" t="s">
        <v>54</v>
      </c>
      <c r="D37" s="317">
        <v>5000</v>
      </c>
      <c r="E37" s="253" t="s">
        <v>148</v>
      </c>
      <c r="F37" s="319">
        <v>1.0149999999999999E-2</v>
      </c>
      <c r="G37" s="27" t="s">
        <v>187</v>
      </c>
      <c r="I37" s="319">
        <f>'Table C'!I18</f>
        <v>1.4249999999999999E-2</v>
      </c>
      <c r="J37" s="27" t="s">
        <v>187</v>
      </c>
    </row>
    <row r="38" spans="3:10" x14ac:dyDescent="0.35">
      <c r="C38" s="316" t="s">
        <v>98</v>
      </c>
      <c r="D38" s="317">
        <v>15000</v>
      </c>
      <c r="E38" s="253" t="s">
        <v>148</v>
      </c>
      <c r="F38" s="319">
        <v>9.2899999999999996E-3</v>
      </c>
      <c r="G38" s="27" t="s">
        <v>187</v>
      </c>
      <c r="I38" s="319">
        <f>'Table C'!I19</f>
        <v>1.304E-2</v>
      </c>
      <c r="J38" s="27" t="s">
        <v>187</v>
      </c>
    </row>
    <row r="39" spans="3:10" x14ac:dyDescent="0.35">
      <c r="C39" s="316"/>
      <c r="D39" s="317"/>
      <c r="E39" s="253"/>
      <c r="F39" s="321"/>
    </row>
    <row r="40" spans="3:10" x14ac:dyDescent="0.35">
      <c r="C40" s="322" t="s">
        <v>178</v>
      </c>
      <c r="E40" s="253"/>
      <c r="F40" s="27"/>
    </row>
    <row r="41" spans="3:10" x14ac:dyDescent="0.35">
      <c r="C41" s="316" t="s">
        <v>53</v>
      </c>
      <c r="D41" s="317">
        <v>15000</v>
      </c>
      <c r="E41" s="253" t="s">
        <v>148</v>
      </c>
      <c r="F41" s="318">
        <v>171.93</v>
      </c>
      <c r="G41" s="27" t="s">
        <v>186</v>
      </c>
      <c r="I41" s="318">
        <f>'Table C'!I22</f>
        <v>242.11</v>
      </c>
      <c r="J41" s="27" t="s">
        <v>186</v>
      </c>
    </row>
    <row r="42" spans="3:10" x14ac:dyDescent="0.35">
      <c r="C42" s="316" t="s">
        <v>98</v>
      </c>
      <c r="D42" s="317">
        <v>15000</v>
      </c>
      <c r="E42" s="253" t="s">
        <v>148</v>
      </c>
      <c r="F42" s="319">
        <v>9.2899999999999996E-3</v>
      </c>
      <c r="G42" s="27" t="s">
        <v>187</v>
      </c>
      <c r="I42" s="319">
        <f>'Table C'!I23</f>
        <v>1.304E-2</v>
      </c>
      <c r="J42" s="27" t="s">
        <v>187</v>
      </c>
    </row>
    <row r="43" spans="3:10" x14ac:dyDescent="0.35">
      <c r="E43" s="253"/>
      <c r="F43" s="319"/>
    </row>
    <row r="44" spans="3:10" x14ac:dyDescent="0.35">
      <c r="C44" s="322" t="s">
        <v>179</v>
      </c>
      <c r="E44" s="253"/>
      <c r="F44" s="319"/>
    </row>
    <row r="45" spans="3:10" x14ac:dyDescent="0.35">
      <c r="C45" s="316" t="s">
        <v>53</v>
      </c>
      <c r="D45" s="317">
        <v>100000</v>
      </c>
      <c r="E45" s="253" t="s">
        <v>148</v>
      </c>
      <c r="F45" s="318">
        <v>963.03</v>
      </c>
      <c r="G45" s="27" t="s">
        <v>186</v>
      </c>
      <c r="I45" s="318">
        <f>'Table C'!I26</f>
        <v>1355.98</v>
      </c>
      <c r="J45" s="27" t="s">
        <v>186</v>
      </c>
    </row>
    <row r="46" spans="3:10" x14ac:dyDescent="0.35">
      <c r="C46" s="316" t="s">
        <v>98</v>
      </c>
      <c r="D46" s="317">
        <v>100000</v>
      </c>
      <c r="E46" s="253" t="s">
        <v>148</v>
      </c>
      <c r="F46" s="319">
        <v>9.2899999999999996E-3</v>
      </c>
      <c r="G46" s="27" t="s">
        <v>187</v>
      </c>
      <c r="I46" s="319">
        <f>'Table C'!I27</f>
        <v>1.304E-2</v>
      </c>
      <c r="J46" s="27" t="s">
        <v>187</v>
      </c>
    </row>
    <row r="47" spans="3:10" x14ac:dyDescent="0.35">
      <c r="F47" s="319"/>
    </row>
    <row r="48" spans="3:10" x14ac:dyDescent="0.35">
      <c r="C48" s="322" t="s">
        <v>188</v>
      </c>
      <c r="F48" s="319"/>
    </row>
    <row r="49" spans="3:10" x14ac:dyDescent="0.35">
      <c r="C49" s="316"/>
      <c r="D49" s="317"/>
      <c r="E49" s="317"/>
      <c r="F49" s="319">
        <v>4.5199999999999997E-3</v>
      </c>
      <c r="G49" s="27" t="s">
        <v>187</v>
      </c>
      <c r="I49" s="319">
        <f>'Table C'!I30</f>
        <v>6.3599999999999993E-3</v>
      </c>
      <c r="J49" s="27" t="s">
        <v>187</v>
      </c>
    </row>
    <row r="50" spans="3:10" x14ac:dyDescent="0.35">
      <c r="C50" s="325"/>
      <c r="D50" s="325"/>
      <c r="E50" s="325"/>
      <c r="F50" s="326"/>
      <c r="G50" s="325"/>
      <c r="H50" s="325"/>
      <c r="I50" s="326"/>
      <c r="J50" s="325"/>
    </row>
  </sheetData>
  <mergeCells count="4">
    <mergeCell ref="F8:G8"/>
    <mergeCell ref="I8:J8"/>
    <mergeCell ref="L7:R7"/>
    <mergeCell ref="T7:Z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1B50-32E4-4D60-8175-C66EF35998E9}">
  <dimension ref="C3:X50"/>
  <sheetViews>
    <sheetView topLeftCell="G1" workbookViewId="0">
      <selection activeCell="Q11" sqref="Q11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14" customWidth="1"/>
    <col min="7" max="7" width="10.765625" style="27" customWidth="1"/>
    <col min="8" max="8" width="1.23046875" style="27" customWidth="1"/>
    <col min="9" max="9" width="10.765625" style="314" customWidth="1"/>
    <col min="10" max="10" width="10.765625" style="27" customWidth="1"/>
    <col min="11" max="11" width="8.84375" style="331"/>
    <col min="12" max="12" width="11.4609375" style="73" bestFit="1" customWidth="1"/>
    <col min="13" max="14" width="10.4609375" style="73" bestFit="1" customWidth="1"/>
    <col min="15" max="16" width="11.4609375" style="73" bestFit="1" customWidth="1"/>
    <col min="19" max="19" width="11.4609375" style="73" bestFit="1" customWidth="1"/>
    <col min="20" max="21" width="10.4609375" style="73" bestFit="1" customWidth="1"/>
    <col min="22" max="23" width="11.4609375" style="73" bestFit="1" customWidth="1"/>
  </cols>
  <sheetData>
    <row r="3" spans="3:24" x14ac:dyDescent="0.35">
      <c r="C3"/>
      <c r="D3"/>
      <c r="E3"/>
      <c r="F3"/>
      <c r="G3"/>
      <c r="H3"/>
      <c r="I3"/>
      <c r="J3"/>
    </row>
    <row r="4" spans="3:24" x14ac:dyDescent="0.35">
      <c r="C4"/>
      <c r="D4"/>
      <c r="E4"/>
      <c r="F4"/>
      <c r="G4"/>
      <c r="H4"/>
      <c r="I4"/>
      <c r="J4"/>
    </row>
    <row r="5" spans="3:24" x14ac:dyDescent="0.35">
      <c r="C5"/>
      <c r="D5"/>
      <c r="E5"/>
      <c r="F5"/>
      <c r="G5"/>
      <c r="H5"/>
      <c r="I5"/>
      <c r="J5"/>
    </row>
    <row r="7" spans="3:24" x14ac:dyDescent="0.35">
      <c r="C7" s="313"/>
      <c r="I7" s="315"/>
      <c r="L7" s="428" t="s">
        <v>384</v>
      </c>
      <c r="M7" s="428"/>
      <c r="N7" s="428"/>
      <c r="O7" s="428"/>
      <c r="P7" s="428"/>
      <c r="Q7" s="428"/>
      <c r="S7" s="428" t="s">
        <v>384</v>
      </c>
      <c r="T7" s="428"/>
      <c r="U7" s="428"/>
      <c r="V7" s="428"/>
      <c r="W7" s="428"/>
      <c r="X7" s="428"/>
    </row>
    <row r="8" spans="3:24" x14ac:dyDescent="0.35">
      <c r="C8" s="322" t="s">
        <v>322</v>
      </c>
      <c r="F8" s="421" t="s">
        <v>374</v>
      </c>
      <c r="G8" s="421"/>
      <c r="I8" s="421" t="s">
        <v>373</v>
      </c>
      <c r="J8" s="421"/>
      <c r="M8" s="332">
        <f>D9</f>
        <v>5000</v>
      </c>
      <c r="N8" s="332">
        <v>5000</v>
      </c>
      <c r="O8" s="332">
        <v>5000</v>
      </c>
      <c r="P8" s="332">
        <v>15000</v>
      </c>
      <c r="T8" s="332">
        <v>2000</v>
      </c>
      <c r="U8" s="332">
        <v>5000</v>
      </c>
      <c r="V8" s="332">
        <v>5000</v>
      </c>
      <c r="W8" s="332">
        <v>15000</v>
      </c>
    </row>
    <row r="9" spans="3:24" x14ac:dyDescent="0.35">
      <c r="C9" s="316" t="s">
        <v>53</v>
      </c>
      <c r="D9" s="317">
        <v>5000</v>
      </c>
      <c r="E9" s="253" t="s">
        <v>148</v>
      </c>
      <c r="F9" s="318">
        <f>'Rates Comp'!F19</f>
        <v>67.62</v>
      </c>
      <c r="G9" s="27" t="s">
        <v>186</v>
      </c>
      <c r="I9" s="318">
        <f>'Rates Comp'!L19</f>
        <v>95.240000000000009</v>
      </c>
      <c r="J9" s="27" t="s">
        <v>186</v>
      </c>
      <c r="M9" s="318">
        <f>F9</f>
        <v>67.62</v>
      </c>
      <c r="N9" s="319">
        <f>F10</f>
        <v>1.0999999999999999E-2</v>
      </c>
      <c r="O9" s="319">
        <f>F11</f>
        <v>1.0149999999999999E-2</v>
      </c>
      <c r="P9" s="319">
        <f>F12</f>
        <v>9.2899999999999996E-3</v>
      </c>
      <c r="T9" s="60">
        <f>I9</f>
        <v>95.240000000000009</v>
      </c>
      <c r="U9" s="333">
        <f>I10</f>
        <v>1.6660000000000001E-2</v>
      </c>
      <c r="V9" s="333">
        <f>I11</f>
        <v>1.545E-2</v>
      </c>
      <c r="W9" s="333">
        <f>I12</f>
        <v>1.4249999999999999E-2</v>
      </c>
    </row>
    <row r="10" spans="3:24" x14ac:dyDescent="0.35">
      <c r="C10" s="316" t="s">
        <v>54</v>
      </c>
      <c r="D10" s="317">
        <v>5000</v>
      </c>
      <c r="E10" s="253" t="s">
        <v>148</v>
      </c>
      <c r="F10" s="319">
        <f>'Rates Comp'!F20</f>
        <v>1.0999999999999999E-2</v>
      </c>
      <c r="G10" s="27" t="s">
        <v>187</v>
      </c>
      <c r="I10" s="319">
        <f>'Rates Comp'!L13</f>
        <v>1.6660000000000001E-2</v>
      </c>
      <c r="J10" s="27" t="s">
        <v>187</v>
      </c>
      <c r="L10" s="73">
        <v>2000</v>
      </c>
      <c r="M10" s="73">
        <v>2000</v>
      </c>
      <c r="S10" s="73">
        <v>2000</v>
      </c>
      <c r="T10" s="73">
        <f>M10</f>
        <v>2000</v>
      </c>
    </row>
    <row r="11" spans="3:24" x14ac:dyDescent="0.35">
      <c r="C11" s="316" t="s">
        <v>54</v>
      </c>
      <c r="D11" s="317">
        <v>5000</v>
      </c>
      <c r="E11" s="253" t="s">
        <v>148</v>
      </c>
      <c r="F11" s="319">
        <f>'Rates Comp'!F21</f>
        <v>1.0149999999999999E-2</v>
      </c>
      <c r="G11" s="27" t="s">
        <v>187</v>
      </c>
      <c r="I11" s="319">
        <f>'Rates Comp'!L14</f>
        <v>1.545E-2</v>
      </c>
      <c r="J11" s="27" t="s">
        <v>187</v>
      </c>
      <c r="L11" s="73">
        <v>4000</v>
      </c>
      <c r="M11" s="73">
        <v>3000</v>
      </c>
      <c r="N11" s="73">
        <f>L11-M11</f>
        <v>1000</v>
      </c>
      <c r="Q11" s="73">
        <f t="shared" ref="Q11:Q19" si="0">SUM(M11:P11)</f>
        <v>4000</v>
      </c>
      <c r="S11" s="73">
        <v>4000</v>
      </c>
      <c r="T11" s="73">
        <f t="shared" ref="T11:T19" si="1">M11</f>
        <v>3000</v>
      </c>
      <c r="U11" s="73">
        <f>N11</f>
        <v>1000</v>
      </c>
      <c r="X11" s="73">
        <f t="shared" ref="X11:X19" si="2">SUM(T11:W11)</f>
        <v>4000</v>
      </c>
    </row>
    <row r="12" spans="3:24" x14ac:dyDescent="0.35">
      <c r="C12" s="316" t="s">
        <v>98</v>
      </c>
      <c r="D12" s="317">
        <v>15000</v>
      </c>
      <c r="E12" s="253" t="s">
        <v>148</v>
      </c>
      <c r="F12" s="319">
        <f>'Rates Comp'!F22</f>
        <v>9.2899999999999996E-3</v>
      </c>
      <c r="G12" s="27" t="s">
        <v>187</v>
      </c>
      <c r="I12" s="319">
        <f>'Rates Comp'!L15</f>
        <v>1.4249999999999999E-2</v>
      </c>
      <c r="J12" s="27" t="s">
        <v>187</v>
      </c>
      <c r="L12" s="73">
        <v>6000</v>
      </c>
      <c r="M12" s="73">
        <v>5000</v>
      </c>
      <c r="N12" s="73">
        <v>1000</v>
      </c>
      <c r="Q12" s="73">
        <f t="shared" si="0"/>
        <v>6000</v>
      </c>
      <c r="S12" s="73">
        <v>6000</v>
      </c>
      <c r="T12" s="73">
        <f t="shared" si="1"/>
        <v>5000</v>
      </c>
      <c r="U12" s="73">
        <f t="shared" ref="U12:W19" si="3">N12</f>
        <v>1000</v>
      </c>
      <c r="X12" s="73">
        <f t="shared" si="2"/>
        <v>6000</v>
      </c>
    </row>
    <row r="13" spans="3:24" x14ac:dyDescent="0.35">
      <c r="L13" s="73">
        <v>8000</v>
      </c>
      <c r="M13" s="73">
        <v>5000</v>
      </c>
      <c r="N13" s="73">
        <v>3000</v>
      </c>
      <c r="Q13" s="73">
        <f t="shared" si="0"/>
        <v>8000</v>
      </c>
      <c r="S13" s="73">
        <v>8000</v>
      </c>
      <c r="T13" s="73">
        <f t="shared" si="1"/>
        <v>5000</v>
      </c>
      <c r="U13" s="73">
        <f t="shared" si="3"/>
        <v>3000</v>
      </c>
      <c r="X13" s="73">
        <f t="shared" si="2"/>
        <v>8000</v>
      </c>
    </row>
    <row r="14" spans="3:24" x14ac:dyDescent="0.35">
      <c r="E14" s="253"/>
      <c r="F14" s="27"/>
      <c r="L14" s="73">
        <v>10000</v>
      </c>
      <c r="M14" s="73">
        <v>5000</v>
      </c>
      <c r="N14" s="73">
        <v>5000</v>
      </c>
      <c r="Q14" s="73">
        <f t="shared" si="0"/>
        <v>10000</v>
      </c>
      <c r="S14" s="73">
        <v>10000</v>
      </c>
      <c r="T14" s="73">
        <f t="shared" si="1"/>
        <v>5000</v>
      </c>
      <c r="U14" s="73">
        <f t="shared" si="3"/>
        <v>5000</v>
      </c>
      <c r="X14" s="73">
        <f t="shared" si="2"/>
        <v>10000</v>
      </c>
    </row>
    <row r="15" spans="3:24" x14ac:dyDescent="0.35">
      <c r="E15" s="253"/>
      <c r="F15" s="27"/>
      <c r="L15" s="73">
        <v>12000</v>
      </c>
      <c r="M15" s="73">
        <v>5000</v>
      </c>
      <c r="N15" s="73">
        <v>5000</v>
      </c>
      <c r="O15" s="73">
        <f>L15-M15-N15</f>
        <v>2000</v>
      </c>
      <c r="Q15" s="73">
        <f t="shared" si="0"/>
        <v>12000</v>
      </c>
      <c r="S15" s="73">
        <v>12000</v>
      </c>
      <c r="T15" s="73">
        <f t="shared" si="1"/>
        <v>5000</v>
      </c>
      <c r="U15" s="73">
        <f t="shared" si="3"/>
        <v>5000</v>
      </c>
      <c r="V15" s="73">
        <f t="shared" si="3"/>
        <v>2000</v>
      </c>
      <c r="X15" s="73">
        <f t="shared" si="2"/>
        <v>12000</v>
      </c>
    </row>
    <row r="16" spans="3:24" x14ac:dyDescent="0.35">
      <c r="E16" s="253"/>
      <c r="F16" s="27"/>
      <c r="L16" s="73">
        <v>14000</v>
      </c>
      <c r="M16" s="73">
        <v>5000</v>
      </c>
      <c r="N16" s="73">
        <v>5000</v>
      </c>
      <c r="O16" s="73">
        <f>L16-M16-N16</f>
        <v>4000</v>
      </c>
      <c r="Q16" s="73">
        <f t="shared" si="0"/>
        <v>14000</v>
      </c>
      <c r="S16" s="73">
        <v>14000</v>
      </c>
      <c r="T16" s="73">
        <f t="shared" si="1"/>
        <v>5000</v>
      </c>
      <c r="U16" s="73">
        <f t="shared" si="3"/>
        <v>5000</v>
      </c>
      <c r="V16" s="73">
        <f t="shared" si="3"/>
        <v>4000</v>
      </c>
      <c r="X16" s="73">
        <f t="shared" si="2"/>
        <v>14000</v>
      </c>
    </row>
    <row r="17" spans="5:24" x14ac:dyDescent="0.35">
      <c r="E17" s="253"/>
      <c r="F17" s="27"/>
      <c r="L17" s="73">
        <v>16000</v>
      </c>
      <c r="M17" s="73">
        <v>5000</v>
      </c>
      <c r="N17" s="73">
        <v>5000</v>
      </c>
      <c r="O17" s="73">
        <v>5000</v>
      </c>
      <c r="P17" s="73">
        <f>L17-M17-N17-O17</f>
        <v>1000</v>
      </c>
      <c r="Q17" s="73">
        <f t="shared" si="0"/>
        <v>16000</v>
      </c>
      <c r="S17" s="73">
        <v>16000</v>
      </c>
      <c r="T17" s="73">
        <f t="shared" si="1"/>
        <v>5000</v>
      </c>
      <c r="U17" s="73">
        <f t="shared" si="3"/>
        <v>5000</v>
      </c>
      <c r="V17" s="73">
        <f t="shared" si="3"/>
        <v>5000</v>
      </c>
      <c r="W17" s="73">
        <f t="shared" si="3"/>
        <v>1000</v>
      </c>
      <c r="X17" s="73">
        <f t="shared" si="2"/>
        <v>16000</v>
      </c>
    </row>
    <row r="18" spans="5:24" x14ac:dyDescent="0.35">
      <c r="E18" s="253"/>
      <c r="F18" s="27"/>
      <c r="L18" s="73">
        <v>18000</v>
      </c>
      <c r="M18" s="73">
        <v>5000</v>
      </c>
      <c r="N18" s="73">
        <v>5000</v>
      </c>
      <c r="O18" s="73">
        <v>5000</v>
      </c>
      <c r="P18" s="73">
        <f t="shared" ref="P18:P19" si="4">L18-M18-N18-O18</f>
        <v>3000</v>
      </c>
      <c r="Q18" s="73">
        <f t="shared" si="0"/>
        <v>18000</v>
      </c>
      <c r="S18" s="73">
        <v>18000</v>
      </c>
      <c r="T18" s="73">
        <f t="shared" si="1"/>
        <v>5000</v>
      </c>
      <c r="U18" s="73">
        <f t="shared" si="3"/>
        <v>5000</v>
      </c>
      <c r="V18" s="73">
        <f t="shared" si="3"/>
        <v>5000</v>
      </c>
      <c r="W18" s="73">
        <f t="shared" si="3"/>
        <v>3000</v>
      </c>
      <c r="X18" s="73">
        <f t="shared" si="2"/>
        <v>18000</v>
      </c>
    </row>
    <row r="19" spans="5:24" x14ac:dyDescent="0.35">
      <c r="E19" s="253"/>
      <c r="F19" s="27"/>
      <c r="L19" s="73">
        <v>20000</v>
      </c>
      <c r="M19" s="73">
        <v>5000</v>
      </c>
      <c r="N19" s="73">
        <v>5000</v>
      </c>
      <c r="O19" s="73">
        <v>5000</v>
      </c>
      <c r="P19" s="73">
        <f t="shared" si="4"/>
        <v>5000</v>
      </c>
      <c r="Q19" s="73">
        <f t="shared" si="0"/>
        <v>20000</v>
      </c>
      <c r="S19" s="73">
        <v>20000</v>
      </c>
      <c r="T19" s="73">
        <f t="shared" si="1"/>
        <v>5000</v>
      </c>
      <c r="U19" s="73">
        <f t="shared" si="3"/>
        <v>5000</v>
      </c>
      <c r="V19" s="73">
        <f t="shared" si="3"/>
        <v>5000</v>
      </c>
      <c r="W19" s="73">
        <f t="shared" si="3"/>
        <v>5000</v>
      </c>
      <c r="X19" s="73">
        <f t="shared" si="2"/>
        <v>20000</v>
      </c>
    </row>
    <row r="20" spans="5:24" x14ac:dyDescent="0.35">
      <c r="E20" s="253"/>
      <c r="F20" s="27"/>
    </row>
    <row r="21" spans="5:24" x14ac:dyDescent="0.35">
      <c r="E21" s="253"/>
      <c r="F21" s="27"/>
      <c r="L21" s="73">
        <v>2000</v>
      </c>
      <c r="M21" s="60">
        <f>M9</f>
        <v>67.62</v>
      </c>
      <c r="N21" s="60"/>
      <c r="O21" s="60"/>
      <c r="P21" s="60"/>
      <c r="Q21" s="60">
        <f t="shared" ref="Q21:Q30" si="5">SUM(M21:P21)</f>
        <v>67.62</v>
      </c>
      <c r="S21" s="73">
        <v>2000</v>
      </c>
      <c r="T21" s="60">
        <f>T9</f>
        <v>95.240000000000009</v>
      </c>
      <c r="U21" s="60"/>
      <c r="V21" s="60"/>
      <c r="W21" s="60"/>
      <c r="X21" s="60">
        <f t="shared" ref="X21:X30" si="6">SUM(T21:W21)</f>
        <v>95.240000000000009</v>
      </c>
    </row>
    <row r="22" spans="5:24" x14ac:dyDescent="0.35">
      <c r="E22" s="253"/>
      <c r="F22" s="27"/>
      <c r="L22" s="73">
        <v>4000</v>
      </c>
      <c r="M22" s="60">
        <f>M21</f>
        <v>67.62</v>
      </c>
      <c r="N22" s="60"/>
      <c r="O22" s="60"/>
      <c r="P22" s="60"/>
      <c r="Q22" s="60">
        <f t="shared" si="5"/>
        <v>67.62</v>
      </c>
      <c r="S22" s="73">
        <v>4000</v>
      </c>
      <c r="T22" s="60">
        <f>T21</f>
        <v>95.240000000000009</v>
      </c>
      <c r="U22" s="60"/>
      <c r="V22" s="60"/>
      <c r="W22" s="60"/>
      <c r="X22" s="60">
        <f t="shared" si="6"/>
        <v>95.240000000000009</v>
      </c>
    </row>
    <row r="23" spans="5:24" x14ac:dyDescent="0.35">
      <c r="E23" s="253"/>
      <c r="F23" s="27"/>
      <c r="L23" s="73">
        <v>6000</v>
      </c>
      <c r="M23" s="60">
        <f t="shared" ref="M23:M30" si="7">M22</f>
        <v>67.62</v>
      </c>
      <c r="N23" s="60">
        <f t="shared" ref="N23:P30" si="8">N12*N$9</f>
        <v>11</v>
      </c>
      <c r="O23" s="60"/>
      <c r="P23" s="60"/>
      <c r="Q23" s="60">
        <f t="shared" si="5"/>
        <v>78.62</v>
      </c>
      <c r="S23" s="73">
        <v>6000</v>
      </c>
      <c r="T23" s="60">
        <f t="shared" ref="T23:T30" si="9">T22</f>
        <v>95.240000000000009</v>
      </c>
      <c r="U23" s="60">
        <f t="shared" ref="U23:W30" si="10">U12*U$9</f>
        <v>16.66</v>
      </c>
      <c r="V23" s="60"/>
      <c r="W23" s="60"/>
      <c r="X23" s="60">
        <f t="shared" si="6"/>
        <v>111.9</v>
      </c>
    </row>
    <row r="24" spans="5:24" x14ac:dyDescent="0.35">
      <c r="E24" s="253"/>
      <c r="F24" s="27"/>
      <c r="L24" s="73">
        <v>8000</v>
      </c>
      <c r="M24" s="60">
        <f t="shared" si="7"/>
        <v>67.62</v>
      </c>
      <c r="N24" s="60">
        <f t="shared" si="8"/>
        <v>33</v>
      </c>
      <c r="O24" s="60"/>
      <c r="P24" s="60"/>
      <c r="Q24" s="60">
        <f t="shared" si="5"/>
        <v>100.62</v>
      </c>
      <c r="S24" s="73">
        <v>8000</v>
      </c>
      <c r="T24" s="60">
        <f t="shared" si="9"/>
        <v>95.240000000000009</v>
      </c>
      <c r="U24" s="60">
        <f t="shared" si="10"/>
        <v>49.980000000000004</v>
      </c>
      <c r="V24" s="60"/>
      <c r="W24" s="60"/>
      <c r="X24" s="60">
        <f t="shared" si="6"/>
        <v>145.22000000000003</v>
      </c>
    </row>
    <row r="25" spans="5:24" x14ac:dyDescent="0.35">
      <c r="E25" s="253"/>
      <c r="F25" s="27"/>
      <c r="L25" s="73">
        <v>10000</v>
      </c>
      <c r="M25" s="60">
        <f t="shared" si="7"/>
        <v>67.62</v>
      </c>
      <c r="N25" s="60">
        <f t="shared" si="8"/>
        <v>55</v>
      </c>
      <c r="O25" s="60"/>
      <c r="P25" s="60"/>
      <c r="Q25" s="60">
        <f t="shared" si="5"/>
        <v>122.62</v>
      </c>
      <c r="S25" s="73">
        <v>10000</v>
      </c>
      <c r="T25" s="60">
        <f t="shared" si="9"/>
        <v>95.240000000000009</v>
      </c>
      <c r="U25" s="60">
        <f t="shared" si="10"/>
        <v>83.300000000000011</v>
      </c>
      <c r="V25" s="60"/>
      <c r="W25" s="60"/>
      <c r="X25" s="60">
        <f t="shared" si="6"/>
        <v>178.54000000000002</v>
      </c>
    </row>
    <row r="26" spans="5:24" x14ac:dyDescent="0.35">
      <c r="E26" s="253"/>
      <c r="F26" s="27"/>
      <c r="L26" s="73">
        <v>12000</v>
      </c>
      <c r="M26" s="60">
        <f t="shared" si="7"/>
        <v>67.62</v>
      </c>
      <c r="N26" s="60">
        <f t="shared" si="8"/>
        <v>55</v>
      </c>
      <c r="O26" s="60">
        <f t="shared" si="8"/>
        <v>20.299999999999997</v>
      </c>
      <c r="P26" s="60"/>
      <c r="Q26" s="60">
        <f t="shared" si="5"/>
        <v>142.92000000000002</v>
      </c>
      <c r="S26" s="73">
        <v>12000</v>
      </c>
      <c r="T26" s="60">
        <f t="shared" si="9"/>
        <v>95.240000000000009</v>
      </c>
      <c r="U26" s="60">
        <f t="shared" si="10"/>
        <v>83.300000000000011</v>
      </c>
      <c r="V26" s="60">
        <f t="shared" si="10"/>
        <v>30.900000000000002</v>
      </c>
      <c r="W26" s="60"/>
      <c r="X26" s="60">
        <f t="shared" si="6"/>
        <v>209.44000000000003</v>
      </c>
    </row>
    <row r="27" spans="5:24" x14ac:dyDescent="0.35">
      <c r="E27" s="253"/>
      <c r="F27" s="27"/>
      <c r="L27" s="73">
        <v>14000</v>
      </c>
      <c r="M27" s="60">
        <f t="shared" si="7"/>
        <v>67.62</v>
      </c>
      <c r="N27" s="60">
        <f t="shared" si="8"/>
        <v>55</v>
      </c>
      <c r="O27" s="60">
        <f t="shared" si="8"/>
        <v>40.599999999999994</v>
      </c>
      <c r="P27" s="60"/>
      <c r="Q27" s="60">
        <f t="shared" si="5"/>
        <v>163.22</v>
      </c>
      <c r="S27" s="73">
        <v>14000</v>
      </c>
      <c r="T27" s="60">
        <f t="shared" si="9"/>
        <v>95.240000000000009</v>
      </c>
      <c r="U27" s="60">
        <f t="shared" si="10"/>
        <v>83.300000000000011</v>
      </c>
      <c r="V27" s="60">
        <f t="shared" si="10"/>
        <v>61.800000000000004</v>
      </c>
      <c r="W27" s="60"/>
      <c r="X27" s="60">
        <f t="shared" si="6"/>
        <v>240.34000000000003</v>
      </c>
    </row>
    <row r="28" spans="5:24" x14ac:dyDescent="0.35">
      <c r="E28" s="253"/>
      <c r="F28" s="27"/>
      <c r="L28" s="73">
        <v>16000</v>
      </c>
      <c r="M28" s="60">
        <f t="shared" si="7"/>
        <v>67.62</v>
      </c>
      <c r="N28" s="60">
        <f t="shared" si="8"/>
        <v>55</v>
      </c>
      <c r="O28" s="60">
        <f t="shared" si="8"/>
        <v>50.75</v>
      </c>
      <c r="P28" s="60"/>
      <c r="Q28" s="60">
        <f t="shared" si="5"/>
        <v>173.37</v>
      </c>
      <c r="S28" s="73">
        <v>16000</v>
      </c>
      <c r="T28" s="60">
        <f t="shared" si="9"/>
        <v>95.240000000000009</v>
      </c>
      <c r="U28" s="60">
        <f t="shared" si="10"/>
        <v>83.300000000000011</v>
      </c>
      <c r="V28" s="60">
        <f t="shared" si="10"/>
        <v>77.25</v>
      </c>
      <c r="W28" s="60"/>
      <c r="X28" s="60">
        <f t="shared" si="6"/>
        <v>255.79000000000002</v>
      </c>
    </row>
    <row r="29" spans="5:24" x14ac:dyDescent="0.35">
      <c r="E29" s="253"/>
      <c r="F29" s="27"/>
      <c r="L29" s="73">
        <v>18000</v>
      </c>
      <c r="M29" s="60">
        <f t="shared" si="7"/>
        <v>67.62</v>
      </c>
      <c r="N29" s="60">
        <f t="shared" si="8"/>
        <v>55</v>
      </c>
      <c r="O29" s="60">
        <f t="shared" si="8"/>
        <v>50.75</v>
      </c>
      <c r="P29" s="60">
        <f t="shared" si="8"/>
        <v>27.869999999999997</v>
      </c>
      <c r="Q29" s="60">
        <f t="shared" si="5"/>
        <v>201.24</v>
      </c>
      <c r="S29" s="73">
        <v>18000</v>
      </c>
      <c r="T29" s="60">
        <f t="shared" si="9"/>
        <v>95.240000000000009</v>
      </c>
      <c r="U29" s="60">
        <f t="shared" si="10"/>
        <v>83.300000000000011</v>
      </c>
      <c r="V29" s="60">
        <f t="shared" si="10"/>
        <v>77.25</v>
      </c>
      <c r="W29" s="60">
        <f t="shared" si="10"/>
        <v>42.749999999999993</v>
      </c>
      <c r="X29" s="60">
        <f t="shared" si="6"/>
        <v>298.54000000000002</v>
      </c>
    </row>
    <row r="30" spans="5:24" x14ac:dyDescent="0.35">
      <c r="E30" s="253"/>
      <c r="F30" s="27"/>
      <c r="L30" s="73">
        <v>20000</v>
      </c>
      <c r="M30" s="60">
        <f t="shared" si="7"/>
        <v>67.62</v>
      </c>
      <c r="N30" s="60">
        <f t="shared" si="8"/>
        <v>55</v>
      </c>
      <c r="O30" s="60">
        <f t="shared" si="8"/>
        <v>50.75</v>
      </c>
      <c r="P30" s="60">
        <f t="shared" si="8"/>
        <v>46.449999999999996</v>
      </c>
      <c r="Q30" s="60">
        <f t="shared" si="5"/>
        <v>219.82</v>
      </c>
      <c r="S30" s="73">
        <v>20000</v>
      </c>
      <c r="T30" s="60">
        <f t="shared" si="9"/>
        <v>95.240000000000009</v>
      </c>
      <c r="U30" s="60">
        <f t="shared" si="10"/>
        <v>83.300000000000011</v>
      </c>
      <c r="V30" s="60">
        <f t="shared" si="10"/>
        <v>77.25</v>
      </c>
      <c r="W30" s="60">
        <f t="shared" si="10"/>
        <v>71.25</v>
      </c>
      <c r="X30" s="60">
        <f t="shared" si="6"/>
        <v>327.04000000000002</v>
      </c>
    </row>
    <row r="31" spans="5:24" x14ac:dyDescent="0.35">
      <c r="E31" s="253"/>
      <c r="F31" s="27"/>
    </row>
    <row r="32" spans="5:24" x14ac:dyDescent="0.35">
      <c r="E32" s="253"/>
      <c r="F32" s="27"/>
    </row>
    <row r="33" spans="3:10" x14ac:dyDescent="0.35">
      <c r="E33" s="253"/>
      <c r="F33" s="27"/>
    </row>
    <row r="34" spans="3:10" x14ac:dyDescent="0.35">
      <c r="C34" s="322" t="s">
        <v>177</v>
      </c>
      <c r="E34" s="253"/>
      <c r="F34" s="27"/>
    </row>
    <row r="35" spans="3:10" x14ac:dyDescent="0.35">
      <c r="C35" s="316" t="s">
        <v>53</v>
      </c>
      <c r="D35" s="317">
        <v>5000</v>
      </c>
      <c r="E35" s="253" t="s">
        <v>148</v>
      </c>
      <c r="F35" s="318">
        <v>31.89</v>
      </c>
      <c r="G35" s="27" t="s">
        <v>186</v>
      </c>
      <c r="I35" s="318">
        <f>'Table C'!I16</f>
        <v>95.240000000000009</v>
      </c>
      <c r="J35" s="27" t="s">
        <v>186</v>
      </c>
    </row>
    <row r="36" spans="3:10" x14ac:dyDescent="0.35">
      <c r="C36" s="316" t="s">
        <v>54</v>
      </c>
      <c r="D36" s="317">
        <v>5000</v>
      </c>
      <c r="E36" s="253" t="s">
        <v>148</v>
      </c>
      <c r="F36" s="319">
        <v>1.0999999999999999E-2</v>
      </c>
      <c r="G36" s="27" t="s">
        <v>187</v>
      </c>
      <c r="I36" s="319">
        <f>'Table C'!I17</f>
        <v>1.545E-2</v>
      </c>
      <c r="J36" s="27" t="s">
        <v>187</v>
      </c>
    </row>
    <row r="37" spans="3:10" x14ac:dyDescent="0.35">
      <c r="C37" s="316" t="s">
        <v>54</v>
      </c>
      <c r="D37" s="317">
        <v>5000</v>
      </c>
      <c r="E37" s="253" t="s">
        <v>148</v>
      </c>
      <c r="F37" s="319">
        <v>1.0149999999999999E-2</v>
      </c>
      <c r="G37" s="27" t="s">
        <v>187</v>
      </c>
      <c r="I37" s="319">
        <f>'Table C'!I18</f>
        <v>1.4249999999999999E-2</v>
      </c>
      <c r="J37" s="27" t="s">
        <v>187</v>
      </c>
    </row>
    <row r="38" spans="3:10" x14ac:dyDescent="0.35">
      <c r="C38" s="316" t="s">
        <v>98</v>
      </c>
      <c r="D38" s="317">
        <v>15000</v>
      </c>
      <c r="E38" s="253" t="s">
        <v>148</v>
      </c>
      <c r="F38" s="319">
        <v>9.2899999999999996E-3</v>
      </c>
      <c r="G38" s="27" t="s">
        <v>187</v>
      </c>
      <c r="I38" s="319">
        <f>'Table C'!I19</f>
        <v>1.304E-2</v>
      </c>
      <c r="J38" s="27" t="s">
        <v>187</v>
      </c>
    </row>
    <row r="39" spans="3:10" x14ac:dyDescent="0.35">
      <c r="C39" s="316"/>
      <c r="D39" s="317"/>
      <c r="E39" s="253"/>
      <c r="F39" s="321"/>
    </row>
    <row r="40" spans="3:10" x14ac:dyDescent="0.35">
      <c r="C40" s="322" t="s">
        <v>178</v>
      </c>
      <c r="E40" s="253"/>
      <c r="F40" s="27"/>
    </row>
    <row r="41" spans="3:10" x14ac:dyDescent="0.35">
      <c r="C41" s="316" t="s">
        <v>53</v>
      </c>
      <c r="D41" s="317">
        <v>15000</v>
      </c>
      <c r="E41" s="253" t="s">
        <v>148</v>
      </c>
      <c r="F41" s="318">
        <v>171.93</v>
      </c>
      <c r="G41" s="27" t="s">
        <v>186</v>
      </c>
      <c r="I41" s="318">
        <f>'Table C'!I22</f>
        <v>242.11</v>
      </c>
      <c r="J41" s="27" t="s">
        <v>186</v>
      </c>
    </row>
    <row r="42" spans="3:10" x14ac:dyDescent="0.35">
      <c r="C42" s="316" t="s">
        <v>98</v>
      </c>
      <c r="D42" s="317">
        <v>15000</v>
      </c>
      <c r="E42" s="253" t="s">
        <v>148</v>
      </c>
      <c r="F42" s="319">
        <v>9.2899999999999996E-3</v>
      </c>
      <c r="G42" s="27" t="s">
        <v>187</v>
      </c>
      <c r="I42" s="319">
        <f>'Table C'!I23</f>
        <v>1.304E-2</v>
      </c>
      <c r="J42" s="27" t="s">
        <v>187</v>
      </c>
    </row>
    <row r="43" spans="3:10" x14ac:dyDescent="0.35">
      <c r="E43" s="253"/>
      <c r="F43" s="319"/>
    </row>
    <row r="44" spans="3:10" x14ac:dyDescent="0.35">
      <c r="C44" s="322" t="s">
        <v>179</v>
      </c>
      <c r="E44" s="253"/>
      <c r="F44" s="319"/>
    </row>
    <row r="45" spans="3:10" x14ac:dyDescent="0.35">
      <c r="C45" s="316" t="s">
        <v>53</v>
      </c>
      <c r="D45" s="317">
        <v>100000</v>
      </c>
      <c r="E45" s="253" t="s">
        <v>148</v>
      </c>
      <c r="F45" s="318">
        <v>963.03</v>
      </c>
      <c r="G45" s="27" t="s">
        <v>186</v>
      </c>
      <c r="I45" s="318">
        <f>'Table C'!I26</f>
        <v>1355.98</v>
      </c>
      <c r="J45" s="27" t="s">
        <v>186</v>
      </c>
    </row>
    <row r="46" spans="3:10" x14ac:dyDescent="0.35">
      <c r="C46" s="316" t="s">
        <v>98</v>
      </c>
      <c r="D46" s="317">
        <v>100000</v>
      </c>
      <c r="E46" s="253" t="s">
        <v>148</v>
      </c>
      <c r="F46" s="319">
        <v>9.2899999999999996E-3</v>
      </c>
      <c r="G46" s="27" t="s">
        <v>187</v>
      </c>
      <c r="I46" s="319">
        <f>'Table C'!I27</f>
        <v>1.304E-2</v>
      </c>
      <c r="J46" s="27" t="s">
        <v>187</v>
      </c>
    </row>
    <row r="47" spans="3:10" x14ac:dyDescent="0.35">
      <c r="F47" s="319"/>
    </row>
    <row r="48" spans="3:10" x14ac:dyDescent="0.35">
      <c r="C48" s="322" t="s">
        <v>188</v>
      </c>
      <c r="F48" s="319"/>
    </row>
    <row r="49" spans="3:10" x14ac:dyDescent="0.35">
      <c r="C49" s="316"/>
      <c r="D49" s="317"/>
      <c r="E49" s="317"/>
      <c r="F49" s="319">
        <v>4.5199999999999997E-3</v>
      </c>
      <c r="G49" s="27" t="s">
        <v>187</v>
      </c>
      <c r="I49" s="319">
        <f>'Table C'!I30</f>
        <v>6.3599999999999993E-3</v>
      </c>
      <c r="J49" s="27" t="s">
        <v>187</v>
      </c>
    </row>
    <row r="50" spans="3:10" x14ac:dyDescent="0.35">
      <c r="C50" s="325"/>
      <c r="D50" s="325"/>
      <c r="E50" s="325"/>
      <c r="F50" s="326"/>
      <c r="G50" s="325"/>
      <c r="H50" s="325"/>
      <c r="I50" s="326"/>
      <c r="J50" s="325"/>
    </row>
  </sheetData>
  <mergeCells count="4">
    <mergeCell ref="L7:Q7"/>
    <mergeCell ref="S7:X7"/>
    <mergeCell ref="F8:G8"/>
    <mergeCell ref="I8:J8"/>
  </mergeCells>
  <pageMargins left="0.7" right="0.7" top="0.75" bottom="0.75" header="0.3" footer="0.3"/>
  <ignoredErrors>
    <ignoredError sqref="Q12:Q14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E125-31D3-4807-9AF7-F94DDB1B99D3}">
  <dimension ref="C3:T26"/>
  <sheetViews>
    <sheetView topLeftCell="A3" workbookViewId="0">
      <selection activeCell="D3" sqref="A1:XFD1048576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14" customWidth="1"/>
    <col min="7" max="7" width="10.765625" style="27" customWidth="1"/>
    <col min="8" max="8" width="1.23046875" style="27" customWidth="1"/>
    <col min="9" max="9" width="10.765625" style="314" customWidth="1"/>
    <col min="10" max="10" width="10.765625" style="27" customWidth="1"/>
    <col min="11" max="11" width="8.84375" style="331"/>
    <col min="12" max="12" width="11.4609375" style="73" bestFit="1" customWidth="1"/>
    <col min="13" max="13" width="10.4609375" style="73" bestFit="1" customWidth="1"/>
    <col min="14" max="14" width="11.4609375" style="73" bestFit="1" customWidth="1"/>
    <col min="17" max="17" width="11.4609375" style="73" bestFit="1" customWidth="1"/>
    <col min="18" max="18" width="10.4609375" style="73" bestFit="1" customWidth="1"/>
    <col min="19" max="19" width="11.4609375" style="73" bestFit="1" customWidth="1"/>
  </cols>
  <sheetData>
    <row r="3" spans="3:20" x14ac:dyDescent="0.35">
      <c r="C3"/>
      <c r="D3"/>
      <c r="E3"/>
      <c r="F3"/>
      <c r="G3"/>
      <c r="H3"/>
      <c r="I3"/>
      <c r="J3"/>
    </row>
    <row r="4" spans="3:20" x14ac:dyDescent="0.35">
      <c r="C4"/>
      <c r="D4"/>
      <c r="E4"/>
      <c r="F4"/>
      <c r="G4"/>
      <c r="H4"/>
      <c r="I4"/>
      <c r="J4"/>
    </row>
    <row r="5" spans="3:20" x14ac:dyDescent="0.35">
      <c r="C5"/>
      <c r="D5"/>
      <c r="E5"/>
      <c r="F5"/>
      <c r="G5"/>
      <c r="H5"/>
      <c r="I5"/>
      <c r="J5"/>
    </row>
    <row r="7" spans="3:20" x14ac:dyDescent="0.35">
      <c r="C7" s="313"/>
      <c r="I7" s="315"/>
      <c r="L7" s="428" t="s">
        <v>384</v>
      </c>
      <c r="M7" s="428"/>
      <c r="N7" s="428"/>
      <c r="O7" s="428"/>
      <c r="Q7" s="428" t="s">
        <v>384</v>
      </c>
      <c r="R7" s="428"/>
      <c r="S7" s="428"/>
      <c r="T7" s="428"/>
    </row>
    <row r="8" spans="3:20" x14ac:dyDescent="0.35">
      <c r="C8" s="322" t="s">
        <v>322</v>
      </c>
      <c r="F8" s="421" t="s">
        <v>374</v>
      </c>
      <c r="G8" s="421"/>
      <c r="I8" s="421" t="s">
        <v>373</v>
      </c>
      <c r="J8" s="421"/>
      <c r="M8" s="332">
        <f>D9</f>
        <v>15000</v>
      </c>
      <c r="N8" s="332">
        <v>15000</v>
      </c>
      <c r="R8" s="332">
        <f>M8</f>
        <v>15000</v>
      </c>
      <c r="S8" s="332">
        <v>15000</v>
      </c>
    </row>
    <row r="9" spans="3:20" x14ac:dyDescent="0.35">
      <c r="C9" s="316" t="s">
        <v>53</v>
      </c>
      <c r="D9" s="317">
        <v>15000</v>
      </c>
      <c r="E9" s="253" t="s">
        <v>148</v>
      </c>
      <c r="F9" s="318">
        <v>171.93</v>
      </c>
      <c r="G9" s="27" t="s">
        <v>186</v>
      </c>
      <c r="I9" s="318">
        <v>240.58</v>
      </c>
      <c r="J9" s="27" t="s">
        <v>186</v>
      </c>
      <c r="M9" s="318">
        <f>F9</f>
        <v>171.93</v>
      </c>
      <c r="N9" s="334">
        <f>F10</f>
        <v>9.2899999999999996E-3</v>
      </c>
      <c r="R9" s="60">
        <f>I9</f>
        <v>240.58</v>
      </c>
      <c r="S9" s="333">
        <f>I10</f>
        <v>1.3049999999999999E-2</v>
      </c>
    </row>
    <row r="10" spans="3:20" x14ac:dyDescent="0.35">
      <c r="C10" s="316" t="s">
        <v>98</v>
      </c>
      <c r="D10" s="317">
        <v>15000</v>
      </c>
      <c r="E10" s="253" t="s">
        <v>148</v>
      </c>
      <c r="F10" s="319">
        <v>9.2899999999999996E-3</v>
      </c>
      <c r="G10" s="27" t="s">
        <v>187</v>
      </c>
      <c r="I10" s="319">
        <v>1.3049999999999999E-2</v>
      </c>
      <c r="J10" s="27" t="s">
        <v>187</v>
      </c>
      <c r="L10" s="73">
        <v>5000</v>
      </c>
      <c r="M10" s="73">
        <f>L10</f>
        <v>5000</v>
      </c>
      <c r="Q10" s="73">
        <v>2000</v>
      </c>
      <c r="R10" s="73">
        <f t="shared" ref="R10:R15" si="0">M10</f>
        <v>5000</v>
      </c>
    </row>
    <row r="11" spans="3:20" x14ac:dyDescent="0.35">
      <c r="C11" s="316"/>
      <c r="D11" s="317"/>
      <c r="E11" s="253"/>
      <c r="F11" s="319"/>
      <c r="I11" s="319"/>
      <c r="L11" s="73">
        <v>10000</v>
      </c>
      <c r="M11" s="73">
        <f>L11</f>
        <v>10000</v>
      </c>
      <c r="O11" s="73">
        <f>SUM(M11:N11)</f>
        <v>10000</v>
      </c>
      <c r="Q11" s="73">
        <v>4000</v>
      </c>
      <c r="R11" s="73">
        <f t="shared" si="0"/>
        <v>10000</v>
      </c>
      <c r="T11" s="73">
        <f>SUM(R11:S11)</f>
        <v>10000</v>
      </c>
    </row>
    <row r="12" spans="3:20" x14ac:dyDescent="0.35">
      <c r="C12" s="316"/>
      <c r="D12" s="317"/>
      <c r="E12" s="253"/>
      <c r="F12" s="319"/>
      <c r="I12" s="319"/>
      <c r="L12" s="73">
        <v>15000</v>
      </c>
      <c r="M12" s="73">
        <f>L12</f>
        <v>15000</v>
      </c>
      <c r="O12" s="73">
        <f>SUM(M12:N12)</f>
        <v>15000</v>
      </c>
      <c r="Q12" s="73">
        <v>6000</v>
      </c>
      <c r="R12" s="73">
        <f t="shared" si="0"/>
        <v>15000</v>
      </c>
      <c r="T12" s="73">
        <f>SUM(R12:S12)</f>
        <v>15000</v>
      </c>
    </row>
    <row r="13" spans="3:20" x14ac:dyDescent="0.35">
      <c r="L13" s="73">
        <v>20000</v>
      </c>
      <c r="M13" s="73">
        <f>M12</f>
        <v>15000</v>
      </c>
      <c r="N13" s="73">
        <f>L13-M8</f>
        <v>5000</v>
      </c>
      <c r="O13" s="73">
        <f>SUM(M13:N13)</f>
        <v>20000</v>
      </c>
      <c r="Q13" s="73">
        <v>8000</v>
      </c>
      <c r="R13" s="73">
        <f t="shared" si="0"/>
        <v>15000</v>
      </c>
      <c r="S13" s="73">
        <f>N13</f>
        <v>5000</v>
      </c>
      <c r="T13" s="73">
        <f>SUM(R13:S13)</f>
        <v>20000</v>
      </c>
    </row>
    <row r="14" spans="3:20" x14ac:dyDescent="0.35">
      <c r="E14" s="253"/>
      <c r="F14" s="27"/>
      <c r="L14" s="73">
        <v>25000</v>
      </c>
      <c r="M14" s="73">
        <f>M13</f>
        <v>15000</v>
      </c>
      <c r="N14" s="73">
        <f>L14-N8</f>
        <v>10000</v>
      </c>
      <c r="O14" s="73">
        <f>SUM(M14:N14)</f>
        <v>25000</v>
      </c>
      <c r="Q14" s="73">
        <v>10000</v>
      </c>
      <c r="R14" s="73">
        <f t="shared" si="0"/>
        <v>15000</v>
      </c>
      <c r="S14" s="73">
        <f>N14</f>
        <v>10000</v>
      </c>
      <c r="T14" s="73">
        <f>SUM(R14:S14)</f>
        <v>25000</v>
      </c>
    </row>
    <row r="15" spans="3:20" x14ac:dyDescent="0.35">
      <c r="E15" s="253"/>
      <c r="F15" s="27"/>
      <c r="L15" s="73">
        <v>30000</v>
      </c>
      <c r="M15" s="73">
        <f>M14</f>
        <v>15000</v>
      </c>
      <c r="N15" s="73">
        <f>L15-N8</f>
        <v>15000</v>
      </c>
      <c r="O15" s="73">
        <f>SUM(M15:N15)</f>
        <v>30000</v>
      </c>
      <c r="Q15" s="73">
        <v>12000</v>
      </c>
      <c r="R15" s="73">
        <f t="shared" si="0"/>
        <v>15000</v>
      </c>
      <c r="S15" s="73">
        <f>N15</f>
        <v>15000</v>
      </c>
      <c r="T15" s="73">
        <f>SUM(R15:S15)</f>
        <v>30000</v>
      </c>
    </row>
    <row r="16" spans="3:20" x14ac:dyDescent="0.35">
      <c r="E16" s="253"/>
      <c r="F16" s="27"/>
    </row>
    <row r="17" spans="3:20" x14ac:dyDescent="0.35">
      <c r="E17" s="253"/>
      <c r="F17" s="27"/>
      <c r="L17" s="73">
        <v>5000</v>
      </c>
      <c r="M17" s="60">
        <f>M9</f>
        <v>171.93</v>
      </c>
      <c r="N17" s="60"/>
      <c r="O17" s="60">
        <f t="shared" ref="O17:O22" si="1">SUM(M17:N17)</f>
        <v>171.93</v>
      </c>
      <c r="Q17" s="73">
        <v>2000</v>
      </c>
      <c r="R17" s="60">
        <f>R9</f>
        <v>240.58</v>
      </c>
      <c r="S17" s="60"/>
      <c r="T17" s="60">
        <f t="shared" ref="T17:T22" si="2">SUM(R17:S17)</f>
        <v>240.58</v>
      </c>
    </row>
    <row r="18" spans="3:20" x14ac:dyDescent="0.35">
      <c r="E18" s="253"/>
      <c r="F18" s="27"/>
      <c r="L18" s="73">
        <v>10000</v>
      </c>
      <c r="M18" s="60">
        <f>M17</f>
        <v>171.93</v>
      </c>
      <c r="N18" s="60"/>
      <c r="O18" s="60">
        <f t="shared" si="1"/>
        <v>171.93</v>
      </c>
      <c r="Q18" s="73">
        <v>4000</v>
      </c>
      <c r="R18" s="60">
        <f>R17</f>
        <v>240.58</v>
      </c>
      <c r="S18" s="60"/>
      <c r="T18" s="60">
        <f t="shared" si="2"/>
        <v>240.58</v>
      </c>
    </row>
    <row r="19" spans="3:20" x14ac:dyDescent="0.35">
      <c r="E19" s="253"/>
      <c r="F19" s="27"/>
      <c r="L19" s="73">
        <v>15000</v>
      </c>
      <c r="M19" s="60">
        <f t="shared" ref="M19:M22" si="3">M18</f>
        <v>171.93</v>
      </c>
      <c r="N19" s="60"/>
      <c r="O19" s="60">
        <f t="shared" si="1"/>
        <v>171.93</v>
      </c>
      <c r="Q19" s="73">
        <v>6000</v>
      </c>
      <c r="R19" s="60">
        <f t="shared" ref="R19:R22" si="4">R18</f>
        <v>240.58</v>
      </c>
      <c r="S19" s="60"/>
      <c r="T19" s="60">
        <f t="shared" si="2"/>
        <v>240.58</v>
      </c>
    </row>
    <row r="20" spans="3:20" x14ac:dyDescent="0.35">
      <c r="E20" s="253"/>
      <c r="F20" s="27"/>
      <c r="L20" s="73">
        <v>20000</v>
      </c>
      <c r="M20" s="60">
        <f t="shared" si="3"/>
        <v>171.93</v>
      </c>
      <c r="N20" s="60">
        <f>N13*N$9</f>
        <v>46.449999999999996</v>
      </c>
      <c r="O20" s="60">
        <f t="shared" si="1"/>
        <v>218.38</v>
      </c>
      <c r="Q20" s="73">
        <v>8000</v>
      </c>
      <c r="R20" s="60">
        <f t="shared" si="4"/>
        <v>240.58</v>
      </c>
      <c r="S20" s="60">
        <f>S13*S$9</f>
        <v>65.25</v>
      </c>
      <c r="T20" s="60">
        <f t="shared" si="2"/>
        <v>305.83000000000004</v>
      </c>
    </row>
    <row r="21" spans="3:20" x14ac:dyDescent="0.35">
      <c r="E21" s="253"/>
      <c r="F21" s="27"/>
      <c r="L21" s="73">
        <v>25000</v>
      </c>
      <c r="M21" s="60">
        <f t="shared" si="3"/>
        <v>171.93</v>
      </c>
      <c r="N21" s="60">
        <f t="shared" ref="N21:N22" si="5">N14*N$9</f>
        <v>92.899999999999991</v>
      </c>
      <c r="O21" s="60">
        <f t="shared" si="1"/>
        <v>264.83</v>
      </c>
      <c r="Q21" s="73">
        <v>10000</v>
      </c>
      <c r="R21" s="60">
        <f t="shared" si="4"/>
        <v>240.58</v>
      </c>
      <c r="S21" s="60">
        <f t="shared" ref="S21:S22" si="6">S14*S$9</f>
        <v>130.5</v>
      </c>
      <c r="T21" s="60">
        <f t="shared" si="2"/>
        <v>371.08000000000004</v>
      </c>
    </row>
    <row r="22" spans="3:20" x14ac:dyDescent="0.35">
      <c r="E22" s="253"/>
      <c r="F22" s="27"/>
      <c r="L22" s="73">
        <v>30000</v>
      </c>
      <c r="M22" s="60">
        <f t="shared" si="3"/>
        <v>171.93</v>
      </c>
      <c r="N22" s="60">
        <f t="shared" si="5"/>
        <v>139.35</v>
      </c>
      <c r="O22" s="60">
        <f t="shared" si="1"/>
        <v>311.27999999999997</v>
      </c>
      <c r="Q22" s="73">
        <v>12000</v>
      </c>
      <c r="R22" s="60">
        <f t="shared" si="4"/>
        <v>240.58</v>
      </c>
      <c r="S22" s="60">
        <f t="shared" si="6"/>
        <v>195.75</v>
      </c>
      <c r="T22" s="60">
        <f t="shared" si="2"/>
        <v>436.33000000000004</v>
      </c>
    </row>
    <row r="23" spans="3:20" x14ac:dyDescent="0.35">
      <c r="E23" s="253"/>
      <c r="F23" s="27"/>
    </row>
    <row r="24" spans="3:20" x14ac:dyDescent="0.35">
      <c r="E24" s="253"/>
      <c r="F24" s="27"/>
    </row>
    <row r="25" spans="3:20" x14ac:dyDescent="0.35">
      <c r="E25" s="253"/>
      <c r="F25" s="27"/>
    </row>
    <row r="26" spans="3:20" x14ac:dyDescent="0.35">
      <c r="C26" s="322" t="s">
        <v>177</v>
      </c>
      <c r="E26" s="253"/>
      <c r="F26" s="27"/>
    </row>
  </sheetData>
  <mergeCells count="4">
    <mergeCell ref="L7:O7"/>
    <mergeCell ref="Q7:T7"/>
    <mergeCell ref="F8:G8"/>
    <mergeCell ref="I8:J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D087-346B-4CBD-AC80-72DA53E9B8AE}">
  <dimension ref="C3:T24"/>
  <sheetViews>
    <sheetView topLeftCell="C1" workbookViewId="0">
      <selection activeCell="L16" sqref="L16:L20"/>
    </sheetView>
  </sheetViews>
  <sheetFormatPr defaultRowHeight="15.5" x14ac:dyDescent="0.35"/>
  <cols>
    <col min="3" max="3" width="4.765625" style="27" customWidth="1"/>
    <col min="4" max="5" width="10.765625" style="27" customWidth="1"/>
    <col min="6" max="6" width="11.765625" style="314" customWidth="1"/>
    <col min="7" max="7" width="10.765625" style="27" customWidth="1"/>
    <col min="8" max="8" width="1.23046875" style="27" customWidth="1"/>
    <col min="9" max="9" width="10.765625" style="314" customWidth="1"/>
    <col min="10" max="10" width="10.765625" style="27" customWidth="1"/>
    <col min="11" max="11" width="8.84375" style="331"/>
    <col min="12" max="12" width="11.4609375" style="73" bestFit="1" customWidth="1"/>
    <col min="13" max="13" width="10.4609375" style="73" bestFit="1" customWidth="1"/>
    <col min="14" max="14" width="11.4609375" style="73" bestFit="1" customWidth="1"/>
    <col min="17" max="17" width="11.4609375" style="73" bestFit="1" customWidth="1"/>
    <col min="18" max="18" width="10.4609375" style="73" bestFit="1" customWidth="1"/>
    <col min="19" max="19" width="11.4609375" style="73" bestFit="1" customWidth="1"/>
  </cols>
  <sheetData>
    <row r="3" spans="3:20" x14ac:dyDescent="0.35">
      <c r="C3"/>
      <c r="D3"/>
      <c r="E3"/>
      <c r="F3"/>
      <c r="G3"/>
      <c r="H3"/>
      <c r="I3"/>
      <c r="J3"/>
    </row>
    <row r="4" spans="3:20" x14ac:dyDescent="0.35">
      <c r="C4"/>
      <c r="D4"/>
      <c r="E4"/>
      <c r="F4"/>
      <c r="G4"/>
      <c r="H4"/>
      <c r="I4"/>
      <c r="J4"/>
    </row>
    <row r="5" spans="3:20" x14ac:dyDescent="0.35">
      <c r="C5"/>
      <c r="D5"/>
      <c r="E5"/>
      <c r="F5"/>
      <c r="G5"/>
      <c r="H5"/>
      <c r="I5"/>
      <c r="J5"/>
    </row>
    <row r="7" spans="3:20" x14ac:dyDescent="0.35">
      <c r="C7" s="313"/>
      <c r="I7" s="315"/>
      <c r="L7" s="428" t="s">
        <v>384</v>
      </c>
      <c r="M7" s="428"/>
      <c r="N7" s="428"/>
      <c r="O7" s="428"/>
      <c r="Q7" s="428" t="s">
        <v>384</v>
      </c>
      <c r="R7" s="428"/>
      <c r="S7" s="428"/>
      <c r="T7" s="428"/>
    </row>
    <row r="8" spans="3:20" x14ac:dyDescent="0.35">
      <c r="C8" s="322" t="s">
        <v>322</v>
      </c>
      <c r="F8" s="421" t="s">
        <v>374</v>
      </c>
      <c r="G8" s="421"/>
      <c r="I8" s="421" t="s">
        <v>373</v>
      </c>
      <c r="J8" s="421"/>
      <c r="M8" s="332">
        <f>D9</f>
        <v>100000</v>
      </c>
      <c r="N8" s="332">
        <v>100000</v>
      </c>
      <c r="R8" s="332">
        <f>M8</f>
        <v>100000</v>
      </c>
      <c r="S8" s="332">
        <v>15000</v>
      </c>
    </row>
    <row r="9" spans="3:20" x14ac:dyDescent="0.35">
      <c r="C9" s="316" t="s">
        <v>53</v>
      </c>
      <c r="D9" s="317">
        <v>100000</v>
      </c>
      <c r="E9" s="253" t="s">
        <v>148</v>
      </c>
      <c r="F9" s="318">
        <v>963.03</v>
      </c>
      <c r="G9" s="27" t="s">
        <v>186</v>
      </c>
      <c r="I9" s="318">
        <v>1347.33</v>
      </c>
      <c r="J9" s="27" t="s">
        <v>186</v>
      </c>
      <c r="M9" s="318">
        <f>F9</f>
        <v>963.03</v>
      </c>
      <c r="N9" s="334">
        <f>F10</f>
        <v>9.2899999999999996E-3</v>
      </c>
      <c r="R9" s="60">
        <f>I9</f>
        <v>1347.33</v>
      </c>
      <c r="S9" s="333">
        <f>I10</f>
        <v>1.3049999999999999E-2</v>
      </c>
    </row>
    <row r="10" spans="3:20" x14ac:dyDescent="0.35">
      <c r="C10" s="316" t="s">
        <v>98</v>
      </c>
      <c r="D10" s="317">
        <v>100000</v>
      </c>
      <c r="E10" s="253" t="s">
        <v>148</v>
      </c>
      <c r="F10" s="319">
        <v>9.2899999999999996E-3</v>
      </c>
      <c r="G10" s="27" t="s">
        <v>187</v>
      </c>
      <c r="I10" s="319">
        <v>1.3049999999999999E-2</v>
      </c>
      <c r="J10" s="27" t="s">
        <v>187</v>
      </c>
      <c r="L10" s="73">
        <v>60000</v>
      </c>
      <c r="M10" s="73">
        <f>L10</f>
        <v>60000</v>
      </c>
      <c r="Q10" s="73">
        <v>60000</v>
      </c>
      <c r="R10" s="73">
        <f>M10</f>
        <v>60000</v>
      </c>
    </row>
    <row r="11" spans="3:20" x14ac:dyDescent="0.35">
      <c r="C11" s="316"/>
      <c r="D11" s="317"/>
      <c r="E11" s="253"/>
      <c r="F11" s="319"/>
      <c r="I11" s="319"/>
      <c r="L11" s="73">
        <v>80000</v>
      </c>
      <c r="M11" s="73">
        <f>L11</f>
        <v>80000</v>
      </c>
      <c r="O11" s="73">
        <f>SUM(M11:N11)</f>
        <v>80000</v>
      </c>
      <c r="Q11" s="73">
        <v>80000</v>
      </c>
      <c r="R11" s="73">
        <f>M11</f>
        <v>80000</v>
      </c>
      <c r="T11" s="73">
        <f>SUM(R11:S11)</f>
        <v>80000</v>
      </c>
    </row>
    <row r="12" spans="3:20" x14ac:dyDescent="0.35">
      <c r="C12" s="316"/>
      <c r="D12" s="317"/>
      <c r="E12" s="253"/>
      <c r="F12" s="319"/>
      <c r="I12" s="319"/>
      <c r="L12" s="73">
        <v>100000</v>
      </c>
      <c r="M12" s="73">
        <f>L12</f>
        <v>100000</v>
      </c>
      <c r="O12" s="73">
        <f>SUM(M12:N12)</f>
        <v>100000</v>
      </c>
      <c r="Q12" s="73">
        <v>100000</v>
      </c>
      <c r="R12" s="73">
        <f>M12</f>
        <v>100000</v>
      </c>
      <c r="T12" s="73">
        <f>SUM(R12:S12)</f>
        <v>100000</v>
      </c>
    </row>
    <row r="13" spans="3:20" x14ac:dyDescent="0.35">
      <c r="L13" s="73">
        <v>120000</v>
      </c>
      <c r="M13" s="73">
        <f>M12</f>
        <v>100000</v>
      </c>
      <c r="N13" s="73">
        <f>L13-N$8</f>
        <v>20000</v>
      </c>
      <c r="O13" s="73">
        <f>SUM(M13:N13)</f>
        <v>120000</v>
      </c>
      <c r="Q13" s="73">
        <v>120000</v>
      </c>
      <c r="R13" s="73">
        <f>M13</f>
        <v>100000</v>
      </c>
      <c r="S13" s="73">
        <f>N13</f>
        <v>20000</v>
      </c>
      <c r="T13" s="73">
        <f>SUM(R13:S13)</f>
        <v>120000</v>
      </c>
    </row>
    <row r="14" spans="3:20" x14ac:dyDescent="0.35">
      <c r="E14" s="253"/>
      <c r="F14" s="27"/>
      <c r="L14" s="73">
        <v>140000</v>
      </c>
      <c r="M14" s="73">
        <f>M13</f>
        <v>100000</v>
      </c>
      <c r="N14" s="73">
        <f>L14-N$8</f>
        <v>40000</v>
      </c>
      <c r="O14" s="73">
        <f>SUM(M14:N14)</f>
        <v>140000</v>
      </c>
      <c r="Q14" s="73">
        <v>140000</v>
      </c>
      <c r="R14" s="73">
        <f>M14</f>
        <v>100000</v>
      </c>
      <c r="S14" s="73">
        <f>N14</f>
        <v>40000</v>
      </c>
      <c r="T14" s="73">
        <f>SUM(R14:S14)</f>
        <v>140000</v>
      </c>
    </row>
    <row r="15" spans="3:20" x14ac:dyDescent="0.35">
      <c r="E15" s="253"/>
      <c r="F15" s="27"/>
    </row>
    <row r="16" spans="3:20" x14ac:dyDescent="0.35">
      <c r="E16" s="253"/>
      <c r="F16" s="27"/>
      <c r="L16" s="73">
        <v>60000</v>
      </c>
      <c r="M16" s="60">
        <f>M9</f>
        <v>963.03</v>
      </c>
      <c r="N16" s="60"/>
      <c r="O16" s="60">
        <f>SUM(M16:N16)</f>
        <v>963.03</v>
      </c>
      <c r="Q16" s="73">
        <v>60000</v>
      </c>
      <c r="R16" s="60">
        <f>R9</f>
        <v>1347.33</v>
      </c>
      <c r="S16" s="60"/>
      <c r="T16" s="60">
        <f>SUM(R16:S16)</f>
        <v>1347.33</v>
      </c>
    </row>
    <row r="17" spans="3:20" x14ac:dyDescent="0.35">
      <c r="E17" s="253"/>
      <c r="F17" s="27"/>
      <c r="L17" s="73">
        <v>80000</v>
      </c>
      <c r="M17" s="60">
        <f>M16</f>
        <v>963.03</v>
      </c>
      <c r="N17" s="60"/>
      <c r="O17" s="60">
        <f>SUM(M17:N17)</f>
        <v>963.03</v>
      </c>
      <c r="Q17" s="73">
        <v>80000</v>
      </c>
      <c r="R17" s="60">
        <f>R16</f>
        <v>1347.33</v>
      </c>
      <c r="S17" s="60"/>
      <c r="T17" s="60">
        <f>SUM(R17:S17)</f>
        <v>1347.33</v>
      </c>
    </row>
    <row r="18" spans="3:20" x14ac:dyDescent="0.35">
      <c r="E18" s="253"/>
      <c r="F18" s="27"/>
      <c r="L18" s="73">
        <v>100000</v>
      </c>
      <c r="M18" s="60">
        <f t="shared" ref="M18:M20" si="0">M17</f>
        <v>963.03</v>
      </c>
      <c r="N18" s="60"/>
      <c r="O18" s="60">
        <f>SUM(M18:N18)</f>
        <v>963.03</v>
      </c>
      <c r="Q18" s="73">
        <v>100000</v>
      </c>
      <c r="R18" s="60">
        <f t="shared" ref="R18:R20" si="1">R17</f>
        <v>1347.33</v>
      </c>
      <c r="S18" s="60"/>
      <c r="T18" s="60">
        <f>SUM(R18:S18)</f>
        <v>1347.33</v>
      </c>
    </row>
    <row r="19" spans="3:20" x14ac:dyDescent="0.35">
      <c r="E19" s="253"/>
      <c r="F19" s="27"/>
      <c r="L19" s="73">
        <v>120000</v>
      </c>
      <c r="M19" s="60">
        <f t="shared" si="0"/>
        <v>963.03</v>
      </c>
      <c r="N19" s="60">
        <f>N13*N$9</f>
        <v>185.79999999999998</v>
      </c>
      <c r="O19" s="60">
        <f>SUM(M19:N19)</f>
        <v>1148.83</v>
      </c>
      <c r="Q19" s="73">
        <v>120000</v>
      </c>
      <c r="R19" s="60">
        <f t="shared" si="1"/>
        <v>1347.33</v>
      </c>
      <c r="S19" s="60">
        <f>S13*S$9</f>
        <v>261</v>
      </c>
      <c r="T19" s="60">
        <f>SUM(R19:S19)</f>
        <v>1608.33</v>
      </c>
    </row>
    <row r="20" spans="3:20" x14ac:dyDescent="0.35">
      <c r="E20" s="253"/>
      <c r="F20" s="27"/>
      <c r="L20" s="73">
        <v>140000</v>
      </c>
      <c r="M20" s="60">
        <f t="shared" si="0"/>
        <v>963.03</v>
      </c>
      <c r="N20" s="60">
        <f>N14*N$9</f>
        <v>371.59999999999997</v>
      </c>
      <c r="O20" s="60">
        <f>SUM(M20:N20)</f>
        <v>1334.6299999999999</v>
      </c>
      <c r="Q20" s="73">
        <v>140000</v>
      </c>
      <c r="R20" s="60">
        <f t="shared" si="1"/>
        <v>1347.33</v>
      </c>
      <c r="S20" s="60">
        <f>S14*S$9</f>
        <v>522</v>
      </c>
      <c r="T20" s="60">
        <f>SUM(R20:S20)</f>
        <v>1869.33</v>
      </c>
    </row>
    <row r="21" spans="3:20" x14ac:dyDescent="0.35">
      <c r="E21" s="253"/>
      <c r="F21" s="27"/>
    </row>
    <row r="22" spans="3:20" x14ac:dyDescent="0.35">
      <c r="E22" s="253"/>
      <c r="F22" s="27"/>
    </row>
    <row r="23" spans="3:20" x14ac:dyDescent="0.35">
      <c r="E23" s="253"/>
      <c r="F23" s="27"/>
    </row>
    <row r="24" spans="3:20" x14ac:dyDescent="0.35">
      <c r="C24" s="322" t="s">
        <v>177</v>
      </c>
      <c r="E24" s="253"/>
      <c r="F24" s="27"/>
    </row>
  </sheetData>
  <mergeCells count="4">
    <mergeCell ref="L7:O7"/>
    <mergeCell ref="Q7:T7"/>
    <mergeCell ref="F8:G8"/>
    <mergeCell ref="I8:J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97BA-A57A-451F-8EEE-E5A6DEAFA756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2331-43FF-47CD-98BD-8A0DEF4DCF18}">
  <sheetPr>
    <pageSetUpPr fitToPage="1"/>
  </sheetPr>
  <dimension ref="B2:T33"/>
  <sheetViews>
    <sheetView workbookViewId="0">
      <selection activeCell="N34" sqref="A1:N34"/>
    </sheetView>
  </sheetViews>
  <sheetFormatPr defaultColWidth="8.84375" defaultRowHeight="15.5" x14ac:dyDescent="0.35"/>
  <cols>
    <col min="1" max="1" width="2.613281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2.613281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6"/>
      <c r="D2" s="76"/>
      <c r="E2" s="76"/>
      <c r="F2" s="77"/>
      <c r="G2" s="76"/>
      <c r="H2" s="76"/>
      <c r="I2" s="76"/>
      <c r="J2" s="76"/>
      <c r="K2" s="76"/>
      <c r="L2" s="77"/>
      <c r="M2" s="78"/>
    </row>
    <row r="3" spans="2:20" x14ac:dyDescent="0.35">
      <c r="B3" s="8"/>
      <c r="C3" s="403" t="s">
        <v>87</v>
      </c>
      <c r="D3" s="403"/>
      <c r="E3" s="403"/>
      <c r="F3" s="403"/>
      <c r="G3" s="403"/>
      <c r="H3" s="403"/>
      <c r="I3" s="403"/>
      <c r="J3" s="403"/>
      <c r="K3" s="403"/>
      <c r="L3" s="403"/>
      <c r="M3" s="404"/>
    </row>
    <row r="4" spans="2:20" x14ac:dyDescent="0.35">
      <c r="B4" s="8"/>
      <c r="C4" s="403" t="s">
        <v>449</v>
      </c>
      <c r="D4" s="403"/>
      <c r="E4" s="403"/>
      <c r="F4" s="403"/>
      <c r="G4" s="403"/>
      <c r="H4" s="403"/>
      <c r="I4" s="403"/>
      <c r="J4" s="403"/>
      <c r="K4" s="403"/>
      <c r="L4" s="403"/>
      <c r="M4" s="404"/>
      <c r="O4" s="4" t="s">
        <v>165</v>
      </c>
      <c r="R4" s="4" t="s">
        <v>166</v>
      </c>
    </row>
    <row r="5" spans="2:20" x14ac:dyDescent="0.35">
      <c r="B5" s="8"/>
      <c r="C5" s="405" t="str">
        <f>Adjustments!B1</f>
        <v>Morgan County Water District</v>
      </c>
      <c r="D5" s="405"/>
      <c r="E5" s="405"/>
      <c r="F5" s="405"/>
      <c r="G5" s="405"/>
      <c r="H5" s="405"/>
      <c r="I5" s="405"/>
      <c r="J5" s="405"/>
      <c r="K5" s="405"/>
      <c r="L5" s="405"/>
      <c r="M5" s="406"/>
      <c r="N5" s="71"/>
      <c r="O5" s="71"/>
      <c r="P5" s="71"/>
      <c r="Q5" s="71"/>
      <c r="R5" s="71"/>
      <c r="S5" s="71"/>
    </row>
    <row r="6" spans="2:20" x14ac:dyDescent="0.35">
      <c r="B6" s="8"/>
      <c r="M6" s="79"/>
    </row>
    <row r="7" spans="2:20" x14ac:dyDescent="0.35">
      <c r="B7" s="9"/>
      <c r="C7" s="76"/>
      <c r="D7" s="76"/>
      <c r="E7" s="76"/>
      <c r="F7" s="77"/>
      <c r="G7" s="78"/>
      <c r="H7" s="9"/>
      <c r="I7" s="76"/>
      <c r="J7" s="76"/>
      <c r="K7" s="76"/>
      <c r="L7" s="77"/>
      <c r="M7" s="78"/>
    </row>
    <row r="8" spans="2:20" x14ac:dyDescent="0.35">
      <c r="B8" s="8"/>
      <c r="C8" s="401" t="s">
        <v>324</v>
      </c>
      <c r="D8" s="401"/>
      <c r="E8" s="401"/>
      <c r="F8" s="401"/>
      <c r="G8" s="402"/>
      <c r="I8" s="401" t="s">
        <v>446</v>
      </c>
      <c r="J8" s="401"/>
      <c r="K8" s="401"/>
      <c r="L8" s="401"/>
      <c r="M8" s="402"/>
      <c r="O8" s="17">
        <v>0.2525</v>
      </c>
      <c r="P8" s="17" t="s">
        <v>97</v>
      </c>
      <c r="Q8" s="17"/>
      <c r="R8" s="17"/>
      <c r="S8" s="17"/>
    </row>
    <row r="9" spans="2:20" x14ac:dyDescent="0.35">
      <c r="B9" s="8"/>
      <c r="G9" s="79"/>
      <c r="M9" s="79"/>
    </row>
    <row r="10" spans="2:20" x14ac:dyDescent="0.35">
      <c r="B10" s="8"/>
      <c r="C10" s="16"/>
      <c r="G10" s="79"/>
      <c r="I10" s="16"/>
      <c r="L10" s="80"/>
      <c r="M10" s="79"/>
    </row>
    <row r="11" spans="2:20" x14ac:dyDescent="0.35">
      <c r="B11" s="9"/>
      <c r="C11" s="246" t="s">
        <v>322</v>
      </c>
      <c r="D11" s="247"/>
      <c r="E11" s="247"/>
      <c r="F11" s="247"/>
      <c r="G11" s="248"/>
      <c r="H11" s="9"/>
      <c r="I11" s="246" t="s">
        <v>322</v>
      </c>
      <c r="J11" s="247"/>
      <c r="K11" s="247"/>
      <c r="L11" s="77"/>
      <c r="M11" s="78"/>
      <c r="T11" s="82"/>
    </row>
    <row r="12" spans="2:20" x14ac:dyDescent="0.35">
      <c r="B12" s="8"/>
      <c r="C12" s="45" t="s">
        <v>53</v>
      </c>
      <c r="D12" s="51">
        <v>2000</v>
      </c>
      <c r="E12" s="253" t="s">
        <v>148</v>
      </c>
      <c r="F12" s="147">
        <f>'Cur Rates'!F7</f>
        <v>31.89</v>
      </c>
      <c r="G12" s="146" t="s">
        <v>186</v>
      </c>
      <c r="H12" s="8"/>
      <c r="I12" s="45" t="s">
        <v>53</v>
      </c>
      <c r="J12" s="51">
        <v>2000</v>
      </c>
      <c r="K12" s="253" t="s">
        <v>148</v>
      </c>
      <c r="L12" s="147">
        <f>R12</f>
        <v>39.97</v>
      </c>
      <c r="M12" s="146" t="s">
        <v>186</v>
      </c>
      <c r="O12" s="147">
        <f>F12</f>
        <v>31.89</v>
      </c>
      <c r="P12" s="147">
        <f>ROUND(O$8*O12,2)</f>
        <v>8.0500000000000007</v>
      </c>
      <c r="Q12" s="61">
        <v>0.03</v>
      </c>
      <c r="R12" s="147">
        <f>SUM(O12:Q12)</f>
        <v>39.97</v>
      </c>
      <c r="S12" s="147"/>
      <c r="T12" s="82"/>
    </row>
    <row r="13" spans="2:20" x14ac:dyDescent="0.35">
      <c r="B13" s="8"/>
      <c r="C13" s="45" t="s">
        <v>54</v>
      </c>
      <c r="D13" s="51">
        <v>3000</v>
      </c>
      <c r="E13" s="253" t="s">
        <v>148</v>
      </c>
      <c r="F13" s="61">
        <f>'Cur Rates'!F8</f>
        <v>1.1860000000000001E-2</v>
      </c>
      <c r="G13" s="146" t="s">
        <v>187</v>
      </c>
      <c r="H13" s="8"/>
      <c r="I13" s="45" t="s">
        <v>54</v>
      </c>
      <c r="J13" s="51">
        <v>3000</v>
      </c>
      <c r="K13" s="253" t="s">
        <v>148</v>
      </c>
      <c r="L13" s="61">
        <f>R13</f>
        <v>1.481E-2</v>
      </c>
      <c r="M13" s="146" t="s">
        <v>187</v>
      </c>
      <c r="N13" s="18"/>
      <c r="O13" s="61">
        <f t="shared" ref="O13:O33" si="0">F13</f>
        <v>1.1860000000000001E-2</v>
      </c>
      <c r="P13" s="61">
        <f>ROUND(O$8*O13,5)</f>
        <v>2.99E-3</v>
      </c>
      <c r="Q13" s="61">
        <v>-4.0000000000000003E-5</v>
      </c>
      <c r="R13" s="61">
        <f>SUM(O13:Q13)</f>
        <v>1.481E-2</v>
      </c>
      <c r="S13" s="61"/>
      <c r="T13" s="82"/>
    </row>
    <row r="14" spans="2:20" x14ac:dyDescent="0.35">
      <c r="B14" s="8"/>
      <c r="C14" s="45" t="s">
        <v>54</v>
      </c>
      <c r="D14" s="51">
        <v>5000</v>
      </c>
      <c r="E14" s="253" t="s">
        <v>148</v>
      </c>
      <c r="F14" s="61">
        <f>'Cur Rates'!F9</f>
        <v>1.0999999999999999E-2</v>
      </c>
      <c r="G14" s="146" t="s">
        <v>187</v>
      </c>
      <c r="H14" s="8"/>
      <c r="I14" s="45" t="s">
        <v>54</v>
      </c>
      <c r="J14" s="51">
        <v>5000</v>
      </c>
      <c r="K14" s="253" t="s">
        <v>148</v>
      </c>
      <c r="L14" s="61">
        <f t="shared" ref="L14:L16" si="1">R14</f>
        <v>1.3739999999999999E-2</v>
      </c>
      <c r="M14" s="146" t="s">
        <v>187</v>
      </c>
      <c r="O14" s="61">
        <f t="shared" si="0"/>
        <v>1.0999999999999999E-2</v>
      </c>
      <c r="P14" s="61">
        <f t="shared" ref="P14:P16" si="2">ROUND(O$8*O14,5)</f>
        <v>2.7799999999999999E-3</v>
      </c>
      <c r="Q14" s="61">
        <f>Q13</f>
        <v>-4.0000000000000003E-5</v>
      </c>
      <c r="R14" s="61">
        <f t="shared" ref="R14:R16" si="3">SUM(O14:Q14)</f>
        <v>1.3739999999999999E-2</v>
      </c>
      <c r="S14" s="61">
        <v>-1.0000000000000001E-5</v>
      </c>
    </row>
    <row r="15" spans="2:20" x14ac:dyDescent="0.35">
      <c r="B15" s="8"/>
      <c r="C15" s="45" t="s">
        <v>54</v>
      </c>
      <c r="D15" s="51">
        <v>15000</v>
      </c>
      <c r="E15" s="253" t="s">
        <v>148</v>
      </c>
      <c r="F15" s="61">
        <f>'Cur Rates'!F10</f>
        <v>1.0149999999999999E-2</v>
      </c>
      <c r="G15" s="146" t="s">
        <v>187</v>
      </c>
      <c r="H15" s="8"/>
      <c r="I15" s="45" t="s">
        <v>54</v>
      </c>
      <c r="J15" s="51">
        <v>15000</v>
      </c>
      <c r="K15" s="253" t="s">
        <v>148</v>
      </c>
      <c r="L15" s="61">
        <f t="shared" si="1"/>
        <v>1.2669999999999999E-2</v>
      </c>
      <c r="M15" s="146" t="s">
        <v>187</v>
      </c>
      <c r="O15" s="61">
        <f t="shared" si="0"/>
        <v>1.0149999999999999E-2</v>
      </c>
      <c r="P15" s="61">
        <f t="shared" si="2"/>
        <v>2.5600000000000002E-3</v>
      </c>
      <c r="Q15" s="61">
        <f>Q13</f>
        <v>-4.0000000000000003E-5</v>
      </c>
      <c r="R15" s="61">
        <f t="shared" si="3"/>
        <v>1.2669999999999999E-2</v>
      </c>
      <c r="S15" s="61"/>
    </row>
    <row r="16" spans="2:20" x14ac:dyDescent="0.35">
      <c r="B16" s="8"/>
      <c r="C16" s="45" t="s">
        <v>98</v>
      </c>
      <c r="D16" s="51">
        <v>15000</v>
      </c>
      <c r="E16" s="253" t="s">
        <v>148</v>
      </c>
      <c r="F16" s="61">
        <f>'Cur Rates'!F11</f>
        <v>9.2899999999999996E-3</v>
      </c>
      <c r="G16" s="146" t="s">
        <v>187</v>
      </c>
      <c r="H16" s="8"/>
      <c r="I16" s="45" t="s">
        <v>98</v>
      </c>
      <c r="J16" s="51">
        <v>15000</v>
      </c>
      <c r="K16" s="253" t="s">
        <v>148</v>
      </c>
      <c r="L16" s="61">
        <f t="shared" si="1"/>
        <v>1.1599999999999999E-2</v>
      </c>
      <c r="M16" s="146" t="s">
        <v>187</v>
      </c>
      <c r="O16" s="61">
        <f t="shared" si="0"/>
        <v>9.2899999999999996E-3</v>
      </c>
      <c r="P16" s="61">
        <f t="shared" si="2"/>
        <v>2.3500000000000001E-3</v>
      </c>
      <c r="Q16" s="61">
        <f>Q13</f>
        <v>-4.0000000000000003E-5</v>
      </c>
      <c r="R16" s="61">
        <f t="shared" si="3"/>
        <v>1.1599999999999999E-2</v>
      </c>
      <c r="S16" s="61"/>
    </row>
    <row r="17" spans="2:19" x14ac:dyDescent="0.35">
      <c r="B17" s="8"/>
      <c r="C17"/>
      <c r="D17"/>
      <c r="E17" s="253"/>
      <c r="F17"/>
      <c r="G17" s="146"/>
      <c r="H17" s="8"/>
      <c r="I17"/>
      <c r="J17"/>
      <c r="K17" s="253"/>
      <c r="M17" s="146"/>
      <c r="O17"/>
      <c r="P17"/>
      <c r="Q17"/>
      <c r="R17"/>
      <c r="S17"/>
    </row>
    <row r="18" spans="2:19" x14ac:dyDescent="0.35">
      <c r="B18" s="8"/>
      <c r="C18" s="73" t="s">
        <v>177</v>
      </c>
      <c r="D18"/>
      <c r="E18" s="253"/>
      <c r="F18"/>
      <c r="G18" s="146"/>
      <c r="H18" s="8"/>
      <c r="I18" s="73" t="s">
        <v>177</v>
      </c>
      <c r="J18"/>
      <c r="K18" s="253"/>
      <c r="M18" s="146"/>
      <c r="O18"/>
      <c r="P18"/>
      <c r="Q18"/>
      <c r="R18"/>
      <c r="S18"/>
    </row>
    <row r="19" spans="2:19" x14ac:dyDescent="0.35">
      <c r="B19" s="8"/>
      <c r="C19" s="45" t="s">
        <v>53</v>
      </c>
      <c r="D19" s="51">
        <v>5000</v>
      </c>
      <c r="E19" s="253" t="s">
        <v>148</v>
      </c>
      <c r="F19" s="147">
        <f>'ExBA - Beg. Rates'!F56</f>
        <v>67.62</v>
      </c>
      <c r="G19" s="146" t="s">
        <v>186</v>
      </c>
      <c r="H19" s="8"/>
      <c r="I19" s="45" t="s">
        <v>53</v>
      </c>
      <c r="J19" s="51">
        <v>5000</v>
      </c>
      <c r="K19" s="253" t="s">
        <v>148</v>
      </c>
      <c r="L19" s="147">
        <f>R19</f>
        <v>84.72</v>
      </c>
      <c r="M19" s="146" t="s">
        <v>186</v>
      </c>
      <c r="O19" s="147">
        <f t="shared" si="0"/>
        <v>67.62</v>
      </c>
      <c r="P19" s="147">
        <f>ROUND(O$8*O19,2)</f>
        <v>17.07</v>
      </c>
      <c r="Q19" s="61">
        <f>Q12</f>
        <v>0.03</v>
      </c>
      <c r="R19" s="147">
        <f>SUM(O19:Q19)</f>
        <v>84.72</v>
      </c>
      <c r="S19" s="147"/>
    </row>
    <row r="20" spans="2:19" x14ac:dyDescent="0.35">
      <c r="B20" s="8"/>
      <c r="C20" s="45" t="s">
        <v>54</v>
      </c>
      <c r="D20" s="51">
        <v>5000</v>
      </c>
      <c r="E20" s="253" t="s">
        <v>148</v>
      </c>
      <c r="F20" s="61">
        <f>'ExBA - Beg. Rates'!F57</f>
        <v>1.0999999999999999E-2</v>
      </c>
      <c r="G20" s="146" t="s">
        <v>187</v>
      </c>
      <c r="H20" s="8"/>
      <c r="I20" s="45" t="s">
        <v>54</v>
      </c>
      <c r="J20" s="51">
        <v>5000</v>
      </c>
      <c r="K20" s="253" t="s">
        <v>148</v>
      </c>
      <c r="L20" s="61">
        <f t="shared" ref="L20:L22" si="4">R20</f>
        <v>1.3739999999999999E-2</v>
      </c>
      <c r="M20" s="146" t="s">
        <v>187</v>
      </c>
      <c r="O20" s="61">
        <f t="shared" si="0"/>
        <v>1.0999999999999999E-2</v>
      </c>
      <c r="P20" s="61">
        <f>P14</f>
        <v>2.7799999999999999E-3</v>
      </c>
      <c r="Q20" s="61">
        <f>Q13</f>
        <v>-4.0000000000000003E-5</v>
      </c>
      <c r="R20" s="61">
        <f t="shared" ref="R20:R22" si="5">SUM(O20:Q20)</f>
        <v>1.3739999999999999E-2</v>
      </c>
      <c r="S20" s="61"/>
    </row>
    <row r="21" spans="2:19" x14ac:dyDescent="0.35">
      <c r="B21" s="8"/>
      <c r="C21" s="45" t="s">
        <v>54</v>
      </c>
      <c r="D21" s="51">
        <v>5000</v>
      </c>
      <c r="E21" s="253" t="s">
        <v>148</v>
      </c>
      <c r="F21" s="61">
        <f>'ExBA - Beg. Rates'!F58</f>
        <v>1.0149999999999999E-2</v>
      </c>
      <c r="G21" s="146" t="s">
        <v>187</v>
      </c>
      <c r="H21" s="8"/>
      <c r="I21" s="45" t="s">
        <v>54</v>
      </c>
      <c r="J21" s="51">
        <v>5000</v>
      </c>
      <c r="K21" s="253" t="s">
        <v>148</v>
      </c>
      <c r="L21" s="61">
        <f t="shared" si="4"/>
        <v>1.2669999999999999E-2</v>
      </c>
      <c r="M21" s="146" t="s">
        <v>187</v>
      </c>
      <c r="O21" s="61">
        <f t="shared" si="0"/>
        <v>1.0149999999999999E-2</v>
      </c>
      <c r="P21" s="61">
        <f t="shared" ref="P21:P22" si="6">P15</f>
        <v>2.5600000000000002E-3</v>
      </c>
      <c r="Q21" s="61">
        <f>Q20</f>
        <v>-4.0000000000000003E-5</v>
      </c>
      <c r="R21" s="61">
        <f t="shared" si="5"/>
        <v>1.2669999999999999E-2</v>
      </c>
      <c r="S21" s="61"/>
    </row>
    <row r="22" spans="2:19" x14ac:dyDescent="0.35">
      <c r="B22" s="8"/>
      <c r="C22" s="45" t="s">
        <v>98</v>
      </c>
      <c r="D22" s="51">
        <v>15000</v>
      </c>
      <c r="E22" s="253" t="s">
        <v>148</v>
      </c>
      <c r="F22" s="61">
        <f>'ExBA - Beg. Rates'!F59</f>
        <v>9.2899999999999996E-3</v>
      </c>
      <c r="G22" s="146" t="s">
        <v>187</v>
      </c>
      <c r="H22" s="8"/>
      <c r="I22" s="45" t="s">
        <v>98</v>
      </c>
      <c r="J22" s="51">
        <v>15000</v>
      </c>
      <c r="K22" s="253" t="s">
        <v>148</v>
      </c>
      <c r="L22" s="61">
        <f t="shared" si="4"/>
        <v>1.1599999999999999E-2</v>
      </c>
      <c r="M22" s="146" t="s">
        <v>187</v>
      </c>
      <c r="O22" s="61">
        <f t="shared" si="0"/>
        <v>9.2899999999999996E-3</v>
      </c>
      <c r="P22" s="61">
        <f t="shared" si="6"/>
        <v>2.3500000000000001E-3</v>
      </c>
      <c r="Q22" s="61">
        <f>Q21</f>
        <v>-4.0000000000000003E-5</v>
      </c>
      <c r="R22" s="61">
        <f t="shared" si="5"/>
        <v>1.1599999999999999E-2</v>
      </c>
      <c r="S22" s="61"/>
    </row>
    <row r="23" spans="2:19" x14ac:dyDescent="0.35">
      <c r="B23" s="8"/>
      <c r="C23" s="45"/>
      <c r="D23" s="51"/>
      <c r="E23" s="253"/>
      <c r="F23" s="249"/>
      <c r="G23" s="146"/>
      <c r="H23" s="8"/>
      <c r="I23" s="45"/>
      <c r="J23" s="51"/>
      <c r="K23" s="253"/>
      <c r="M23" s="146"/>
      <c r="O23" s="249"/>
      <c r="P23" s="249"/>
      <c r="Q23" s="249"/>
      <c r="R23" s="249"/>
      <c r="S23" s="249"/>
    </row>
    <row r="24" spans="2:19" x14ac:dyDescent="0.35">
      <c r="B24" s="8"/>
      <c r="C24" s="73" t="s">
        <v>178</v>
      </c>
      <c r="D24"/>
      <c r="E24" s="253"/>
      <c r="F24"/>
      <c r="G24" s="146"/>
      <c r="H24" s="8"/>
      <c r="I24" s="73" t="s">
        <v>178</v>
      </c>
      <c r="J24"/>
      <c r="K24" s="253"/>
      <c r="M24" s="146"/>
      <c r="O24"/>
      <c r="P24"/>
      <c r="Q24"/>
      <c r="R24"/>
      <c r="S24"/>
    </row>
    <row r="25" spans="2:19" x14ac:dyDescent="0.35">
      <c r="B25" s="8"/>
      <c r="C25" s="45" t="s">
        <v>53</v>
      </c>
      <c r="D25" s="51">
        <v>15000</v>
      </c>
      <c r="E25" s="253" t="s">
        <v>148</v>
      </c>
      <c r="F25" s="147">
        <f>'Cur Rates'!F20</f>
        <v>171.93</v>
      </c>
      <c r="G25" s="146" t="s">
        <v>186</v>
      </c>
      <c r="H25" s="8"/>
      <c r="I25" s="45" t="s">
        <v>53</v>
      </c>
      <c r="J25" s="51">
        <v>15000</v>
      </c>
      <c r="K25" s="253" t="s">
        <v>148</v>
      </c>
      <c r="L25" s="147">
        <f>R25</f>
        <v>215.37</v>
      </c>
      <c r="M25" s="146" t="s">
        <v>186</v>
      </c>
      <c r="O25" s="147">
        <f t="shared" si="0"/>
        <v>171.93</v>
      </c>
      <c r="P25" s="147">
        <f>ROUND(O$8*O25,2)</f>
        <v>43.41</v>
      </c>
      <c r="Q25" s="61">
        <f>Q12</f>
        <v>0.03</v>
      </c>
      <c r="R25" s="147">
        <f>SUM(O25:Q25)</f>
        <v>215.37</v>
      </c>
      <c r="S25" s="147"/>
    </row>
    <row r="26" spans="2:19" x14ac:dyDescent="0.35">
      <c r="B26" s="8"/>
      <c r="C26" s="45" t="s">
        <v>98</v>
      </c>
      <c r="D26" s="51">
        <v>15000</v>
      </c>
      <c r="E26" s="253" t="s">
        <v>148</v>
      </c>
      <c r="F26" s="61">
        <f>'Cur Rates'!F21</f>
        <v>9.2899999999999996E-3</v>
      </c>
      <c r="G26" s="146" t="s">
        <v>187</v>
      </c>
      <c r="H26" s="8"/>
      <c r="I26" s="45" t="s">
        <v>98</v>
      </c>
      <c r="J26" s="51">
        <v>15000</v>
      </c>
      <c r="K26" s="253" t="s">
        <v>148</v>
      </c>
      <c r="L26" s="61">
        <f>R26</f>
        <v>1.1599999999999999E-2</v>
      </c>
      <c r="M26" s="146" t="s">
        <v>187</v>
      </c>
      <c r="O26" s="61">
        <f t="shared" si="0"/>
        <v>9.2899999999999996E-3</v>
      </c>
      <c r="P26" s="61">
        <f>P22</f>
        <v>2.3500000000000001E-3</v>
      </c>
      <c r="Q26" s="61">
        <f>Q22</f>
        <v>-4.0000000000000003E-5</v>
      </c>
      <c r="R26" s="61">
        <f>SUM(O26:Q26)</f>
        <v>1.1599999999999999E-2</v>
      </c>
      <c r="S26" s="61"/>
    </row>
    <row r="27" spans="2:19" x14ac:dyDescent="0.35">
      <c r="B27" s="8"/>
      <c r="C27"/>
      <c r="D27"/>
      <c r="E27" s="253"/>
      <c r="F27" s="61"/>
      <c r="G27" s="146"/>
      <c r="H27" s="8"/>
      <c r="I27"/>
      <c r="J27"/>
      <c r="K27" s="253"/>
      <c r="M27" s="146"/>
      <c r="O27" s="61"/>
      <c r="P27" s="61"/>
      <c r="Q27" s="61"/>
      <c r="R27" s="61"/>
      <c r="S27" s="61"/>
    </row>
    <row r="28" spans="2:19" x14ac:dyDescent="0.35">
      <c r="B28" s="8"/>
      <c r="C28" s="73" t="s">
        <v>179</v>
      </c>
      <c r="D28"/>
      <c r="E28" s="253"/>
      <c r="F28" s="61"/>
      <c r="G28" s="146"/>
      <c r="H28" s="8"/>
      <c r="I28" s="73" t="s">
        <v>179</v>
      </c>
      <c r="J28"/>
      <c r="K28" s="253"/>
      <c r="M28" s="146"/>
      <c r="O28" s="61"/>
      <c r="P28" s="61"/>
      <c r="Q28" s="61"/>
      <c r="R28" s="61"/>
      <c r="S28" s="61"/>
    </row>
    <row r="29" spans="2:19" x14ac:dyDescent="0.35">
      <c r="B29" s="8"/>
      <c r="C29" s="45" t="s">
        <v>53</v>
      </c>
      <c r="D29" s="51">
        <v>100000</v>
      </c>
      <c r="E29" s="253" t="s">
        <v>148</v>
      </c>
      <c r="F29" s="147">
        <f>'Cur Rates'!F24</f>
        <v>963.03</v>
      </c>
      <c r="G29" s="146" t="s">
        <v>186</v>
      </c>
      <c r="H29" s="8"/>
      <c r="I29" s="45" t="s">
        <v>53</v>
      </c>
      <c r="J29" s="51">
        <v>100000</v>
      </c>
      <c r="K29" s="253" t="s">
        <v>148</v>
      </c>
      <c r="L29" s="147">
        <f>R29</f>
        <v>1206.23</v>
      </c>
      <c r="M29" s="146" t="s">
        <v>186</v>
      </c>
      <c r="O29" s="147">
        <f t="shared" si="0"/>
        <v>963.03</v>
      </c>
      <c r="P29" s="147">
        <f>ROUND(O$8*O29,2)</f>
        <v>243.17</v>
      </c>
      <c r="Q29" s="61">
        <f>Q12</f>
        <v>0.03</v>
      </c>
      <c r="R29" s="147">
        <f>SUM(O29:Q29)</f>
        <v>1206.23</v>
      </c>
      <c r="S29" s="147"/>
    </row>
    <row r="30" spans="2:19" x14ac:dyDescent="0.35">
      <c r="B30" s="8"/>
      <c r="C30" s="45" t="s">
        <v>98</v>
      </c>
      <c r="D30" s="51">
        <v>100000</v>
      </c>
      <c r="E30" s="253" t="s">
        <v>148</v>
      </c>
      <c r="F30" s="61">
        <f>'Cur Rates'!F25</f>
        <v>9.2899999999999996E-3</v>
      </c>
      <c r="G30" s="146" t="s">
        <v>187</v>
      </c>
      <c r="H30" s="8"/>
      <c r="I30" s="45" t="s">
        <v>98</v>
      </c>
      <c r="J30" s="51">
        <v>100000</v>
      </c>
      <c r="K30" s="253" t="s">
        <v>148</v>
      </c>
      <c r="L30" s="61">
        <f>R30</f>
        <v>1.1599999999999999E-2</v>
      </c>
      <c r="M30" s="146" t="s">
        <v>187</v>
      </c>
      <c r="O30" s="61">
        <f t="shared" si="0"/>
        <v>9.2899999999999996E-3</v>
      </c>
      <c r="P30" s="61">
        <f>P22</f>
        <v>2.3500000000000001E-3</v>
      </c>
      <c r="Q30" s="61">
        <f>Q26</f>
        <v>-4.0000000000000003E-5</v>
      </c>
      <c r="R30" s="61">
        <f>SUM(O30:Q30)</f>
        <v>1.1599999999999999E-2</v>
      </c>
      <c r="S30" s="61"/>
    </row>
    <row r="31" spans="2:19" x14ac:dyDescent="0.35">
      <c r="B31" s="8"/>
      <c r="C31"/>
      <c r="D31"/>
      <c r="E31"/>
      <c r="F31" s="61"/>
      <c r="G31" s="146"/>
      <c r="H31" s="8"/>
      <c r="I31"/>
      <c r="J31"/>
      <c r="K31"/>
      <c r="M31" s="146"/>
      <c r="O31" s="61"/>
      <c r="P31" s="61"/>
      <c r="Q31" s="61"/>
      <c r="R31" s="61"/>
      <c r="S31" s="61"/>
    </row>
    <row r="32" spans="2:19" x14ac:dyDescent="0.35">
      <c r="B32" s="8"/>
      <c r="C32" s="73" t="s">
        <v>188</v>
      </c>
      <c r="D32"/>
      <c r="E32"/>
      <c r="F32" s="61"/>
      <c r="G32" s="146"/>
      <c r="H32" s="8"/>
      <c r="I32" s="73" t="s">
        <v>188</v>
      </c>
      <c r="J32"/>
      <c r="K32"/>
      <c r="M32" s="146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54">
        <f>'Cur Rates'!F28</f>
        <v>4.5199999999999997E-3</v>
      </c>
      <c r="G33" s="252" t="s">
        <v>187</v>
      </c>
      <c r="H33" s="10"/>
      <c r="I33" s="81"/>
      <c r="J33" s="81"/>
      <c r="K33" s="81"/>
      <c r="L33" s="254">
        <f>R33</f>
        <v>5.6600000000000001E-3</v>
      </c>
      <c r="M33" s="252" t="s">
        <v>187</v>
      </c>
      <c r="O33" s="254">
        <f t="shared" si="0"/>
        <v>4.5199999999999997E-3</v>
      </c>
      <c r="P33" s="254">
        <f t="shared" ref="P33" si="7">ROUND(O$8*O33,5)</f>
        <v>1.14E-3</v>
      </c>
      <c r="Q33" s="61">
        <v>0</v>
      </c>
      <c r="R33" s="61">
        <f>SUM(O33:Q33)</f>
        <v>5.6600000000000001E-3</v>
      </c>
      <c r="S33" s="254"/>
    </row>
  </sheetData>
  <mergeCells count="5">
    <mergeCell ref="C3:M3"/>
    <mergeCell ref="C4:M4"/>
    <mergeCell ref="C5:M5"/>
    <mergeCell ref="C8:G8"/>
    <mergeCell ref="I8:M8"/>
  </mergeCells>
  <printOptions horizontalCentered="1" verticalCentered="1"/>
  <pageMargins left="0.55000000000000004" right="0.55000000000000004" top="0.45" bottom="0.5" header="0" footer="0"/>
  <pageSetup scale="9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1"/>
  <sheetViews>
    <sheetView view="pageBreakPreview" topLeftCell="E1" zoomScale="98" zoomScaleNormal="100" zoomScaleSheetLayoutView="98" workbookViewId="0">
      <selection activeCell="N28" sqref="N28"/>
    </sheetView>
  </sheetViews>
  <sheetFormatPr defaultColWidth="8.84375" defaultRowHeight="14" x14ac:dyDescent="0.3"/>
  <cols>
    <col min="1" max="1" width="3.765625" style="23" customWidth="1"/>
    <col min="2" max="2" width="14.3046875" style="23" customWidth="1"/>
    <col min="3" max="4" width="12.765625" style="23" customWidth="1"/>
    <col min="5" max="5" width="9.765625" style="23" customWidth="1"/>
    <col min="6" max="6" width="10.4609375" style="23" customWidth="1"/>
    <col min="7" max="7" width="9.765625" style="23" customWidth="1"/>
    <col min="8" max="8" width="15.4609375" style="23" customWidth="1"/>
    <col min="9" max="10" width="9" style="23" bestFit="1" customWidth="1"/>
    <col min="11" max="11" width="9.69140625" style="23" customWidth="1"/>
    <col min="12" max="12" width="11.765625" style="23" customWidth="1"/>
    <col min="13" max="13" width="9.3046875" style="23" customWidth="1"/>
    <col min="14" max="14" width="11.765625" style="23" customWidth="1"/>
    <col min="15" max="15" width="9" style="23" bestFit="1" customWidth="1"/>
    <col min="16" max="16" width="9" style="23" customWidth="1"/>
    <col min="17" max="17" width="11.07421875" style="23" customWidth="1"/>
    <col min="18" max="18" width="9" style="23" bestFit="1" customWidth="1"/>
    <col min="19" max="19" width="10.765625" style="23" customWidth="1"/>
    <col min="20" max="20" width="9" style="23" bestFit="1" customWidth="1"/>
    <col min="21" max="21" width="10.69140625" style="23" bestFit="1" customWidth="1"/>
    <col min="22" max="16384" width="8.84375" style="23"/>
  </cols>
  <sheetData>
    <row r="1" spans="1:20" x14ac:dyDescent="0.3">
      <c r="B1" s="187" t="s">
        <v>170</v>
      </c>
      <c r="E1" s="185"/>
      <c r="F1" s="185"/>
      <c r="G1" s="185"/>
    </row>
    <row r="2" spans="1:20" x14ac:dyDescent="0.3">
      <c r="D2" s="187"/>
      <c r="E2" s="185"/>
      <c r="F2" s="185"/>
      <c r="G2" s="185"/>
    </row>
    <row r="3" spans="1:20" x14ac:dyDescent="0.3">
      <c r="A3" s="188"/>
      <c r="B3" s="189" t="s">
        <v>39</v>
      </c>
      <c r="C3" s="190"/>
      <c r="D3" s="190"/>
      <c r="E3" s="190"/>
      <c r="F3" s="190"/>
      <c r="H3" s="189" t="s">
        <v>85</v>
      </c>
      <c r="Q3" s="189" t="s">
        <v>91</v>
      </c>
    </row>
    <row r="4" spans="1:20" x14ac:dyDescent="0.3">
      <c r="A4" s="188"/>
      <c r="B4" s="190" t="s">
        <v>40</v>
      </c>
      <c r="C4" s="188"/>
      <c r="D4" s="188">
        <f>WatPurch!B16</f>
        <v>234443000</v>
      </c>
      <c r="E4" s="191"/>
      <c r="F4" s="192"/>
      <c r="G4" s="188"/>
      <c r="K4" s="186" t="s">
        <v>359</v>
      </c>
      <c r="N4" s="145"/>
      <c r="O4" s="186"/>
      <c r="P4" s="186"/>
    </row>
    <row r="5" spans="1:20" x14ac:dyDescent="0.3">
      <c r="A5" s="188"/>
      <c r="B5" s="190" t="s">
        <v>41</v>
      </c>
      <c r="C5" s="188"/>
      <c r="D5" s="188">
        <v>-126109000</v>
      </c>
      <c r="E5" s="190"/>
      <c r="F5" s="190"/>
      <c r="I5" s="377" t="s">
        <v>358</v>
      </c>
      <c r="J5" s="377"/>
      <c r="K5" s="186" t="s">
        <v>137</v>
      </c>
      <c r="L5" s="378" t="s">
        <v>314</v>
      </c>
      <c r="M5" s="378"/>
      <c r="N5" s="378"/>
      <c r="O5" s="186"/>
      <c r="P5" s="186"/>
      <c r="Q5" s="193" t="s">
        <v>127</v>
      </c>
      <c r="S5" s="28"/>
    </row>
    <row r="6" spans="1:20" ht="17" x14ac:dyDescent="0.6">
      <c r="A6" s="188"/>
      <c r="B6" s="190" t="s">
        <v>42</v>
      </c>
      <c r="C6" s="188"/>
      <c r="D6" s="188"/>
      <c r="E6" s="190"/>
      <c r="F6" s="190"/>
      <c r="H6" s="194" t="s">
        <v>80</v>
      </c>
      <c r="I6" s="25" t="s">
        <v>295</v>
      </c>
      <c r="J6" s="25" t="s">
        <v>296</v>
      </c>
      <c r="K6" s="25" t="s">
        <v>313</v>
      </c>
      <c r="L6" s="25" t="s">
        <v>295</v>
      </c>
      <c r="M6" s="194" t="s">
        <v>296</v>
      </c>
      <c r="N6" s="25" t="s">
        <v>59</v>
      </c>
      <c r="O6" s="194" t="s">
        <v>315</v>
      </c>
      <c r="P6" s="194" t="s">
        <v>114</v>
      </c>
      <c r="R6" s="195" t="s">
        <v>130</v>
      </c>
      <c r="S6" s="195" t="s">
        <v>131</v>
      </c>
      <c r="T6" s="195" t="s">
        <v>59</v>
      </c>
    </row>
    <row r="7" spans="1:20" x14ac:dyDescent="0.3">
      <c r="A7" s="188"/>
      <c r="B7" s="23" t="s">
        <v>43</v>
      </c>
      <c r="C7" s="188">
        <v>0</v>
      </c>
      <c r="D7" s="188"/>
      <c r="E7" s="190"/>
      <c r="F7" s="190"/>
      <c r="G7" s="196"/>
      <c r="H7" s="178" t="s">
        <v>297</v>
      </c>
      <c r="I7" s="178">
        <v>2080</v>
      </c>
      <c r="J7" s="178"/>
      <c r="K7" s="181">
        <v>35.1</v>
      </c>
      <c r="L7" s="243">
        <f t="shared" ref="L7:L22" si="0">ROUND(I7*K7,0)</f>
        <v>73008</v>
      </c>
      <c r="M7" s="243">
        <f t="shared" ref="M7:M22" si="1">ROUND(J7*(1.5*K7),0)</f>
        <v>0</v>
      </c>
      <c r="N7" s="243">
        <f t="shared" ref="N7:N22" si="2">SUM(L7,M7)</f>
        <v>73008</v>
      </c>
      <c r="O7" s="243">
        <v>73000</v>
      </c>
      <c r="P7" s="107">
        <f t="shared" ref="P7:P22" si="3">N7-O7</f>
        <v>8</v>
      </c>
      <c r="Q7" s="197" t="s">
        <v>128</v>
      </c>
      <c r="R7" s="188">
        <v>73</v>
      </c>
      <c r="S7" s="198">
        <v>1450</v>
      </c>
      <c r="T7" s="188">
        <f>S7*R7</f>
        <v>105850</v>
      </c>
    </row>
    <row r="8" spans="1:20" ht="17" x14ac:dyDescent="0.6">
      <c r="A8" s="188"/>
      <c r="B8" s="190" t="s">
        <v>44</v>
      </c>
      <c r="C8" s="188">
        <v>-31386000</v>
      </c>
      <c r="D8" s="188"/>
      <c r="E8" s="190"/>
      <c r="F8" s="190"/>
      <c r="H8" s="178" t="s">
        <v>298</v>
      </c>
      <c r="I8" s="178">
        <v>2080</v>
      </c>
      <c r="J8" s="178">
        <v>10</v>
      </c>
      <c r="K8" s="181">
        <v>21.63</v>
      </c>
      <c r="L8" s="107">
        <f t="shared" si="0"/>
        <v>44990</v>
      </c>
      <c r="M8" s="107">
        <f t="shared" si="1"/>
        <v>324</v>
      </c>
      <c r="N8" s="107">
        <f t="shared" si="2"/>
        <v>45314</v>
      </c>
      <c r="O8" s="107">
        <v>45000</v>
      </c>
      <c r="P8" s="107">
        <f t="shared" si="3"/>
        <v>314</v>
      </c>
      <c r="Q8" s="197" t="s">
        <v>129</v>
      </c>
      <c r="R8" s="188">
        <v>1</v>
      </c>
      <c r="S8" s="188">
        <v>3500</v>
      </c>
      <c r="T8" s="199">
        <f>S8*R8</f>
        <v>3500</v>
      </c>
    </row>
    <row r="9" spans="1:20" x14ac:dyDescent="0.3">
      <c r="A9" s="188"/>
      <c r="B9" s="190" t="s">
        <v>45</v>
      </c>
      <c r="C9" s="188">
        <v>-192000</v>
      </c>
      <c r="D9" s="188"/>
      <c r="E9" s="190"/>
      <c r="F9" s="190"/>
      <c r="H9" s="178" t="s">
        <v>299</v>
      </c>
      <c r="I9" s="178">
        <v>2080</v>
      </c>
      <c r="J9" s="178">
        <v>12</v>
      </c>
      <c r="K9" s="181">
        <v>21.63</v>
      </c>
      <c r="L9" s="107">
        <f t="shared" si="0"/>
        <v>44990</v>
      </c>
      <c r="M9" s="107">
        <f t="shared" si="1"/>
        <v>389</v>
      </c>
      <c r="N9" s="107">
        <f t="shared" si="2"/>
        <v>45379</v>
      </c>
      <c r="O9" s="107">
        <v>45000</v>
      </c>
      <c r="P9" s="107">
        <f t="shared" si="3"/>
        <v>379</v>
      </c>
      <c r="R9" s="188"/>
      <c r="S9" s="200" t="s">
        <v>132</v>
      </c>
      <c r="T9" s="188">
        <f>T8+T7</f>
        <v>109350</v>
      </c>
    </row>
    <row r="10" spans="1:20" ht="14.25" customHeight="1" x14ac:dyDescent="0.6">
      <c r="A10" s="188"/>
      <c r="B10" s="190" t="s">
        <v>46</v>
      </c>
      <c r="C10" s="201">
        <v>0</v>
      </c>
      <c r="D10" s="188">
        <f>SUM(C7:C10)</f>
        <v>-31578000</v>
      </c>
      <c r="E10" s="190"/>
      <c r="F10" s="190"/>
      <c r="H10" s="178" t="s">
        <v>300</v>
      </c>
      <c r="I10" s="178">
        <v>2080</v>
      </c>
      <c r="J10" s="178">
        <v>180.5</v>
      </c>
      <c r="K10" s="181">
        <v>21</v>
      </c>
      <c r="L10" s="107">
        <f t="shared" si="0"/>
        <v>43680</v>
      </c>
      <c r="M10" s="107">
        <f t="shared" si="1"/>
        <v>5686</v>
      </c>
      <c r="N10" s="107">
        <f t="shared" si="2"/>
        <v>49366</v>
      </c>
      <c r="O10" s="107">
        <v>43680</v>
      </c>
      <c r="P10" s="107">
        <f t="shared" si="3"/>
        <v>5686</v>
      </c>
      <c r="R10" s="188"/>
      <c r="S10" s="188"/>
    </row>
    <row r="11" spans="1:20" x14ac:dyDescent="0.3">
      <c r="A11" s="188"/>
      <c r="B11" s="190" t="s">
        <v>47</v>
      </c>
      <c r="C11" s="188"/>
      <c r="D11" s="188"/>
      <c r="E11" s="190"/>
      <c r="F11" s="190"/>
      <c r="H11" s="178" t="s">
        <v>434</v>
      </c>
      <c r="I11" s="178">
        <v>2080</v>
      </c>
      <c r="J11" s="178"/>
      <c r="K11" s="181">
        <v>21</v>
      </c>
      <c r="L11" s="107">
        <f t="shared" si="0"/>
        <v>43680</v>
      </c>
      <c r="M11" s="107">
        <f t="shared" si="1"/>
        <v>0</v>
      </c>
      <c r="N11" s="107">
        <f t="shared" si="2"/>
        <v>43680</v>
      </c>
      <c r="O11" s="107">
        <v>43680</v>
      </c>
      <c r="P11" s="107">
        <f t="shared" si="3"/>
        <v>0</v>
      </c>
      <c r="Q11" s="202"/>
      <c r="R11" s="203" t="s">
        <v>115</v>
      </c>
      <c r="S11" s="203"/>
      <c r="T11" s="203">
        <f>ROUND(-0.3*T9,0)</f>
        <v>-32805</v>
      </c>
    </row>
    <row r="12" spans="1:20" ht="17" x14ac:dyDescent="0.6">
      <c r="A12" s="188"/>
      <c r="B12" s="190" t="s">
        <v>48</v>
      </c>
      <c r="C12" s="107">
        <v>75746000</v>
      </c>
      <c r="D12" s="188"/>
      <c r="E12" s="190"/>
      <c r="F12" s="190"/>
      <c r="H12" s="178" t="s">
        <v>435</v>
      </c>
      <c r="I12" s="178">
        <v>2080</v>
      </c>
      <c r="J12" s="178">
        <v>72.2</v>
      </c>
      <c r="K12" s="181">
        <v>21</v>
      </c>
      <c r="L12" s="107">
        <f t="shared" si="0"/>
        <v>43680</v>
      </c>
      <c r="M12" s="107">
        <f t="shared" si="1"/>
        <v>2274</v>
      </c>
      <c r="N12" s="107">
        <f t="shared" si="2"/>
        <v>45954</v>
      </c>
      <c r="O12" s="107">
        <v>43680</v>
      </c>
      <c r="P12" s="107">
        <f t="shared" si="3"/>
        <v>2274</v>
      </c>
      <c r="Q12" s="204"/>
      <c r="R12" s="203" t="s">
        <v>116</v>
      </c>
      <c r="S12" s="203"/>
      <c r="T12" s="205">
        <f>-ROUND(0.7*T9,0)</f>
        <v>-76545</v>
      </c>
    </row>
    <row r="13" spans="1:20" ht="17" x14ac:dyDescent="0.6">
      <c r="A13" s="188"/>
      <c r="B13" s="190" t="s">
        <v>99</v>
      </c>
      <c r="C13" s="201"/>
      <c r="D13" s="188"/>
      <c r="E13" s="190"/>
      <c r="F13" s="190"/>
      <c r="H13" s="178" t="s">
        <v>436</v>
      </c>
      <c r="I13" s="178">
        <v>2080</v>
      </c>
      <c r="J13" s="178">
        <v>90</v>
      </c>
      <c r="K13" s="181">
        <v>20</v>
      </c>
      <c r="L13" s="107">
        <f t="shared" si="0"/>
        <v>41600</v>
      </c>
      <c r="M13" s="107">
        <f t="shared" si="1"/>
        <v>2700</v>
      </c>
      <c r="N13" s="107">
        <f t="shared" si="2"/>
        <v>44300</v>
      </c>
      <c r="O13" s="107">
        <v>41600</v>
      </c>
      <c r="P13" s="107">
        <f t="shared" si="3"/>
        <v>2700</v>
      </c>
      <c r="R13" s="206"/>
      <c r="S13" s="207"/>
      <c r="T13" s="196">
        <f>T11+T12</f>
        <v>-109350</v>
      </c>
    </row>
    <row r="14" spans="1:20" x14ac:dyDescent="0.3">
      <c r="A14" s="188"/>
      <c r="C14" s="188"/>
      <c r="D14" s="188">
        <f>SUM(D4:D10)</f>
        <v>76756000</v>
      </c>
      <c r="E14" s="208">
        <f>D14/D4</f>
        <v>0.32739727780313338</v>
      </c>
      <c r="F14" s="190" t="s">
        <v>49</v>
      </c>
      <c r="H14" s="178" t="s">
        <v>437</v>
      </c>
      <c r="I14" s="178">
        <v>2080</v>
      </c>
      <c r="J14" s="178">
        <v>12.5</v>
      </c>
      <c r="K14" s="181">
        <v>19.23</v>
      </c>
      <c r="L14" s="107">
        <f t="shared" si="0"/>
        <v>39998</v>
      </c>
      <c r="M14" s="107">
        <f t="shared" si="1"/>
        <v>361</v>
      </c>
      <c r="N14" s="107">
        <f t="shared" si="2"/>
        <v>40359</v>
      </c>
      <c r="O14" s="107">
        <v>40000</v>
      </c>
      <c r="P14" s="107">
        <f t="shared" si="3"/>
        <v>359</v>
      </c>
      <c r="R14" s="206"/>
      <c r="S14" s="207"/>
      <c r="T14" s="196"/>
    </row>
    <row r="15" spans="1:20" x14ac:dyDescent="0.3">
      <c r="A15" s="188"/>
      <c r="B15" s="209" t="s">
        <v>50</v>
      </c>
      <c r="C15" s="188">
        <f>-D5-D10+D14</f>
        <v>234443000</v>
      </c>
      <c r="D15" s="188"/>
      <c r="E15" s="210">
        <v>0.15</v>
      </c>
      <c r="F15" s="190" t="s">
        <v>51</v>
      </c>
      <c r="H15" s="178" t="s">
        <v>438</v>
      </c>
      <c r="I15" s="178">
        <v>2080</v>
      </c>
      <c r="J15" s="178"/>
      <c r="K15" s="181">
        <v>18.27</v>
      </c>
      <c r="L15" s="107">
        <f t="shared" si="0"/>
        <v>38002</v>
      </c>
      <c r="M15" s="107">
        <f t="shared" si="1"/>
        <v>0</v>
      </c>
      <c r="N15" s="107">
        <f t="shared" si="2"/>
        <v>38002</v>
      </c>
      <c r="O15" s="107">
        <v>38000</v>
      </c>
      <c r="P15" s="107">
        <f t="shared" si="3"/>
        <v>2</v>
      </c>
      <c r="R15" s="206"/>
      <c r="S15" s="207"/>
      <c r="T15" s="196"/>
    </row>
    <row r="16" spans="1:20" ht="17.5" thickBot="1" x14ac:dyDescent="0.65">
      <c r="A16" s="188"/>
      <c r="B16" s="190"/>
      <c r="C16" s="201"/>
      <c r="D16" s="188"/>
      <c r="E16" s="261">
        <f>E14-E15</f>
        <v>0.17739727780313339</v>
      </c>
      <c r="F16" s="211" t="s">
        <v>152</v>
      </c>
      <c r="H16" s="178" t="s">
        <v>439</v>
      </c>
      <c r="I16" s="178">
        <v>2080</v>
      </c>
      <c r="J16" s="178">
        <v>10</v>
      </c>
      <c r="K16" s="181">
        <v>17</v>
      </c>
      <c r="L16" s="107">
        <f t="shared" si="0"/>
        <v>35360</v>
      </c>
      <c r="M16" s="107">
        <f t="shared" si="1"/>
        <v>255</v>
      </c>
      <c r="N16" s="107">
        <f t="shared" si="2"/>
        <v>35615</v>
      </c>
      <c r="O16" s="107">
        <v>35360</v>
      </c>
      <c r="P16" s="107">
        <f t="shared" si="3"/>
        <v>255</v>
      </c>
      <c r="R16" s="206"/>
      <c r="S16" s="207"/>
      <c r="T16" s="196"/>
    </row>
    <row r="17" spans="1:20" ht="14.5" thickTop="1" x14ac:dyDescent="0.3">
      <c r="A17" s="188"/>
      <c r="D17" s="188"/>
      <c r="E17" s="190"/>
      <c r="H17" s="178" t="s">
        <v>440</v>
      </c>
      <c r="I17" s="178">
        <v>2080</v>
      </c>
      <c r="J17" s="178">
        <v>3.5</v>
      </c>
      <c r="K17" s="181">
        <v>17</v>
      </c>
      <c r="L17" s="107">
        <f t="shared" si="0"/>
        <v>35360</v>
      </c>
      <c r="M17" s="107">
        <f t="shared" si="1"/>
        <v>89</v>
      </c>
      <c r="N17" s="107">
        <f t="shared" si="2"/>
        <v>35449</v>
      </c>
      <c r="O17" s="107">
        <v>35360</v>
      </c>
      <c r="P17" s="107">
        <f t="shared" si="3"/>
        <v>89</v>
      </c>
      <c r="R17" s="206"/>
      <c r="S17" s="207"/>
      <c r="T17" s="196"/>
    </row>
    <row r="18" spans="1:20" x14ac:dyDescent="0.3">
      <c r="A18" s="188"/>
      <c r="E18" s="186" t="s">
        <v>155</v>
      </c>
      <c r="F18" s="186" t="s">
        <v>155</v>
      </c>
      <c r="G18" s="186"/>
      <c r="H18" s="178" t="s">
        <v>441</v>
      </c>
      <c r="I18" s="178">
        <v>2080</v>
      </c>
      <c r="J18" s="178"/>
      <c r="K18" s="181">
        <v>16</v>
      </c>
      <c r="L18" s="107">
        <f t="shared" si="0"/>
        <v>33280</v>
      </c>
      <c r="M18" s="107">
        <f t="shared" si="1"/>
        <v>0</v>
      </c>
      <c r="N18" s="107">
        <f t="shared" si="2"/>
        <v>33280</v>
      </c>
      <c r="O18" s="107">
        <v>33280</v>
      </c>
      <c r="P18" s="107">
        <f t="shared" si="3"/>
        <v>0</v>
      </c>
      <c r="R18" s="206"/>
      <c r="S18" s="207"/>
      <c r="T18" s="196"/>
    </row>
    <row r="19" spans="1:20" x14ac:dyDescent="0.3">
      <c r="A19" s="188"/>
      <c r="E19" s="194" t="s">
        <v>156</v>
      </c>
      <c r="F19" s="194" t="s">
        <v>157</v>
      </c>
      <c r="G19" s="194" t="s">
        <v>59</v>
      </c>
      <c r="H19" s="178" t="s">
        <v>442</v>
      </c>
      <c r="I19" s="178">
        <v>2080</v>
      </c>
      <c r="J19" s="178"/>
      <c r="K19" s="181">
        <v>15</v>
      </c>
      <c r="L19" s="107">
        <f t="shared" si="0"/>
        <v>31200</v>
      </c>
      <c r="M19" s="107">
        <f t="shared" si="1"/>
        <v>0</v>
      </c>
      <c r="N19" s="107">
        <f t="shared" si="2"/>
        <v>31200</v>
      </c>
      <c r="O19" s="107">
        <v>31200</v>
      </c>
      <c r="P19" s="107">
        <f t="shared" si="3"/>
        <v>0</v>
      </c>
      <c r="R19" s="206"/>
      <c r="S19" s="207"/>
      <c r="T19" s="196"/>
    </row>
    <row r="20" spans="1:20" x14ac:dyDescent="0.3">
      <c r="A20" s="188"/>
      <c r="B20" s="23" t="s">
        <v>153</v>
      </c>
      <c r="E20" s="214">
        <f>'SAO - DSC'!F24</f>
        <v>717565</v>
      </c>
      <c r="F20" s="214">
        <f>'SAO - DSC'!F25</f>
        <v>59385</v>
      </c>
      <c r="G20" s="214">
        <f>SUM(E20:F20)</f>
        <v>776950</v>
      </c>
      <c r="H20" s="178" t="s">
        <v>443</v>
      </c>
      <c r="I20" s="178">
        <v>2080</v>
      </c>
      <c r="J20" s="178"/>
      <c r="K20" s="181">
        <v>15</v>
      </c>
      <c r="L20" s="107">
        <f t="shared" si="0"/>
        <v>31200</v>
      </c>
      <c r="M20" s="107">
        <f t="shared" si="1"/>
        <v>0</v>
      </c>
      <c r="N20" s="107">
        <f t="shared" si="2"/>
        <v>31200</v>
      </c>
      <c r="O20" s="107">
        <v>31200</v>
      </c>
      <c r="P20" s="107">
        <f t="shared" si="3"/>
        <v>0</v>
      </c>
      <c r="R20" s="206"/>
      <c r="S20" s="207"/>
      <c r="T20" s="196"/>
    </row>
    <row r="21" spans="1:20" x14ac:dyDescent="0.3">
      <c r="A21" s="188"/>
      <c r="B21" s="23" t="s">
        <v>154</v>
      </c>
      <c r="E21" s="215">
        <f>-E16</f>
        <v>-0.17739727780313339</v>
      </c>
      <c r="F21" s="215">
        <f>-E16</f>
        <v>-0.17739727780313339</v>
      </c>
      <c r="G21" s="215">
        <f>-E16</f>
        <v>-0.17739727780313339</v>
      </c>
      <c r="H21" s="178" t="s">
        <v>444</v>
      </c>
      <c r="I21" s="178">
        <v>2080</v>
      </c>
      <c r="J21" s="178"/>
      <c r="K21" s="181">
        <v>15</v>
      </c>
      <c r="L21" s="107">
        <f t="shared" si="0"/>
        <v>31200</v>
      </c>
      <c r="M21" s="107">
        <f t="shared" si="1"/>
        <v>0</v>
      </c>
      <c r="N21" s="107">
        <f t="shared" si="2"/>
        <v>31200</v>
      </c>
      <c r="O21" s="107">
        <v>31200</v>
      </c>
      <c r="P21" s="107">
        <f t="shared" si="3"/>
        <v>0</v>
      </c>
      <c r="R21" s="206"/>
      <c r="S21" s="207"/>
      <c r="T21" s="196"/>
    </row>
    <row r="22" spans="1:20" ht="14.5" thickBot="1" x14ac:dyDescent="0.35">
      <c r="A22" s="188"/>
      <c r="B22" s="211" t="s">
        <v>152</v>
      </c>
      <c r="E22" s="217">
        <f>ROUND(E20*E21,0)</f>
        <v>-127294</v>
      </c>
      <c r="F22" s="217">
        <f>ROUND(F20*F21,0)</f>
        <v>-10535</v>
      </c>
      <c r="G22" s="217">
        <f>ROUND(G20*G21,0)</f>
        <v>-137829</v>
      </c>
      <c r="H22" s="178" t="s">
        <v>445</v>
      </c>
      <c r="I22" s="178">
        <v>2080</v>
      </c>
      <c r="J22" s="178"/>
      <c r="K22" s="181">
        <v>15</v>
      </c>
      <c r="L22" s="188">
        <f t="shared" si="0"/>
        <v>31200</v>
      </c>
      <c r="M22" s="188">
        <f t="shared" si="1"/>
        <v>0</v>
      </c>
      <c r="N22" s="188">
        <f t="shared" si="2"/>
        <v>31200</v>
      </c>
      <c r="O22" s="188">
        <v>31200</v>
      </c>
      <c r="P22" s="188">
        <f t="shared" si="3"/>
        <v>0</v>
      </c>
      <c r="R22" s="206"/>
      <c r="S22" s="207"/>
      <c r="T22" s="196"/>
    </row>
    <row r="23" spans="1:20" ht="15" thickTop="1" thickBot="1" x14ac:dyDescent="0.35">
      <c r="A23" s="188"/>
      <c r="E23" s="214"/>
      <c r="F23" s="214"/>
      <c r="G23" s="214"/>
      <c r="L23" s="213">
        <f>SUM(L7:L22)</f>
        <v>642428</v>
      </c>
      <c r="M23" s="213">
        <f>SUM(M7:M22)</f>
        <v>12078</v>
      </c>
      <c r="N23" s="213">
        <f>SUM(N7:N22)</f>
        <v>654506</v>
      </c>
      <c r="O23" s="213">
        <f>SUM(O7:O22)</f>
        <v>642440</v>
      </c>
      <c r="P23" s="213">
        <f t="shared" ref="P23" si="4">SUM(P7:P22)</f>
        <v>12066</v>
      </c>
      <c r="R23" s="206"/>
      <c r="S23" s="207"/>
      <c r="T23" s="196"/>
    </row>
    <row r="24" spans="1:20" ht="14.5" thickTop="1" x14ac:dyDescent="0.3">
      <c r="A24" s="188"/>
      <c r="B24" s="189" t="s">
        <v>118</v>
      </c>
      <c r="C24" s="193"/>
      <c r="D24" s="193"/>
      <c r="E24" s="28"/>
      <c r="O24" s="188"/>
      <c r="P24" s="188"/>
      <c r="R24" s="206"/>
      <c r="S24" s="207"/>
      <c r="T24" s="196"/>
    </row>
    <row r="25" spans="1:20" ht="17" x14ac:dyDescent="0.6">
      <c r="A25" s="188"/>
      <c r="C25" s="220" t="s">
        <v>123</v>
      </c>
      <c r="D25" s="220" t="s">
        <v>74</v>
      </c>
      <c r="E25" s="220" t="s">
        <v>75</v>
      </c>
      <c r="F25" s="220" t="s">
        <v>56</v>
      </c>
      <c r="O25" s="188"/>
      <c r="P25" s="188"/>
      <c r="R25" s="206"/>
      <c r="S25" s="207"/>
      <c r="T25" s="196"/>
    </row>
    <row r="26" spans="1:20" ht="17" x14ac:dyDescent="0.6">
      <c r="A26" s="188"/>
      <c r="C26" s="220" t="s">
        <v>75</v>
      </c>
      <c r="D26" s="220" t="s">
        <v>119</v>
      </c>
      <c r="E26" s="220" t="s">
        <v>76</v>
      </c>
      <c r="F26" s="220" t="s">
        <v>73</v>
      </c>
      <c r="H26" s="24" t="s">
        <v>317</v>
      </c>
      <c r="I26" s="212"/>
      <c r="J26" s="212"/>
      <c r="K26" s="212"/>
      <c r="L26" s="107"/>
      <c r="N26" s="107">
        <f>N23</f>
        <v>654506</v>
      </c>
      <c r="R26" s="269"/>
      <c r="S26" s="207"/>
      <c r="T26" s="196"/>
    </row>
    <row r="27" spans="1:20" ht="17" x14ac:dyDescent="0.6">
      <c r="A27" s="188"/>
      <c r="B27" s="223" t="s">
        <v>122</v>
      </c>
      <c r="C27" s="224"/>
      <c r="D27" s="224"/>
      <c r="E27" s="224"/>
      <c r="F27" s="224"/>
      <c r="H27" s="188" t="s">
        <v>318</v>
      </c>
      <c r="I27" s="188"/>
      <c r="J27" s="188"/>
      <c r="K27" s="198"/>
      <c r="L27" s="188"/>
      <c r="N27" s="188">
        <f>-'SAO - DSC'!F19</f>
        <v>-444858</v>
      </c>
      <c r="R27" s="269"/>
      <c r="S27" s="207"/>
      <c r="T27" s="196"/>
    </row>
    <row r="28" spans="1:20" ht="14.5" thickBot="1" x14ac:dyDescent="0.35">
      <c r="A28" s="188"/>
      <c r="B28" s="190" t="s">
        <v>120</v>
      </c>
      <c r="C28" s="193">
        <f>'Anthem Aug 2023 Inv'!J20</f>
        <v>12227.180000000004</v>
      </c>
      <c r="D28" s="227">
        <v>0.21</v>
      </c>
      <c r="E28" s="193">
        <f>C28*D28</f>
        <v>2567.7078000000006</v>
      </c>
      <c r="F28" s="193">
        <f>C28-E28</f>
        <v>9659.4722000000038</v>
      </c>
      <c r="H28" s="188" t="s">
        <v>271</v>
      </c>
      <c r="I28" s="188"/>
      <c r="J28" s="188"/>
      <c r="N28" s="213">
        <f>SUM(N26:N27)</f>
        <v>209648</v>
      </c>
      <c r="R28" s="269"/>
      <c r="S28" s="207"/>
      <c r="T28" s="196"/>
    </row>
    <row r="29" spans="1:20" ht="14.5" thickTop="1" x14ac:dyDescent="0.3">
      <c r="A29" s="188"/>
      <c r="B29" s="190" t="s">
        <v>1</v>
      </c>
      <c r="C29" s="193">
        <f>'Anthem Aug 2023 Inv'!D20</f>
        <v>135.25299999999999</v>
      </c>
      <c r="D29" s="227">
        <v>0</v>
      </c>
      <c r="E29" s="193">
        <f>C29*D29</f>
        <v>0</v>
      </c>
      <c r="F29" s="193">
        <f>C29-E29</f>
        <v>135.25299999999999</v>
      </c>
      <c r="N29" s="107"/>
      <c r="R29" s="269"/>
      <c r="S29" s="207"/>
      <c r="T29" s="196"/>
    </row>
    <row r="30" spans="1:20" x14ac:dyDescent="0.3">
      <c r="A30" s="188"/>
      <c r="B30" s="190" t="s">
        <v>72</v>
      </c>
      <c r="C30" s="193">
        <f>'Anthem Aug 2023 Inv'!F20</f>
        <v>331.04999999999995</v>
      </c>
      <c r="D30" s="227">
        <v>0.6</v>
      </c>
      <c r="E30" s="193">
        <f>C30*D30</f>
        <v>198.62999999999997</v>
      </c>
      <c r="F30" s="193">
        <f>C30-E30</f>
        <v>132.41999999999999</v>
      </c>
      <c r="H30" s="24" t="s">
        <v>317</v>
      </c>
      <c r="N30" s="196">
        <f>N26</f>
        <v>654506</v>
      </c>
      <c r="R30" s="269"/>
      <c r="S30" s="207"/>
      <c r="T30" s="196"/>
    </row>
    <row r="31" spans="1:20" ht="17" x14ac:dyDescent="0.6">
      <c r="A31" s="188"/>
      <c r="B31" s="190" t="s">
        <v>121</v>
      </c>
      <c r="C31" s="193">
        <f>'Anthem Aug 2023 Inv'!H20</f>
        <v>122.39999999999996</v>
      </c>
      <c r="D31" s="227">
        <v>0</v>
      </c>
      <c r="E31" s="193">
        <f>C31*D31</f>
        <v>0</v>
      </c>
      <c r="F31" s="231">
        <f>C31-E31</f>
        <v>122.39999999999996</v>
      </c>
      <c r="H31" s="23" t="s">
        <v>81</v>
      </c>
      <c r="N31" s="230">
        <v>7.6499999999999999E-2</v>
      </c>
    </row>
    <row r="32" spans="1:20" x14ac:dyDescent="0.3">
      <c r="A32" s="188"/>
      <c r="B32" s="190"/>
      <c r="C32" s="193">
        <f>SUM(C28:C31)</f>
        <v>12815.883000000003</v>
      </c>
      <c r="D32" s="227"/>
      <c r="E32" s="193"/>
      <c r="F32" s="193">
        <f>SUM(F28:F31)</f>
        <v>10049.545200000004</v>
      </c>
      <c r="H32" s="23" t="s">
        <v>82</v>
      </c>
      <c r="N32" s="107">
        <f>ROUND(N30*N31,0)</f>
        <v>50070</v>
      </c>
    </row>
    <row r="33" spans="1:21" x14ac:dyDescent="0.3">
      <c r="A33" s="188"/>
      <c r="B33" s="190"/>
      <c r="C33" s="193"/>
      <c r="D33" s="235" t="s">
        <v>124</v>
      </c>
      <c r="E33" s="28">
        <v>1</v>
      </c>
      <c r="F33" s="193">
        <f>F32*E33</f>
        <v>10049.545200000004</v>
      </c>
      <c r="H33" s="23" t="s">
        <v>334</v>
      </c>
      <c r="N33" s="188">
        <v>-33243</v>
      </c>
      <c r="T33" s="196"/>
    </row>
    <row r="34" spans="1:21" ht="17.5" thickBot="1" x14ac:dyDescent="0.65">
      <c r="A34" s="188"/>
      <c r="B34" s="223"/>
      <c r="C34" s="224"/>
      <c r="D34" s="224"/>
      <c r="E34" s="224"/>
      <c r="F34" s="224"/>
      <c r="H34" s="225" t="s">
        <v>83</v>
      </c>
      <c r="I34" s="244"/>
      <c r="N34" s="213">
        <f>SUM(N32:N33)</f>
        <v>16827</v>
      </c>
      <c r="T34" s="196"/>
    </row>
    <row r="35" spans="1:21" ht="14.5" thickTop="1" x14ac:dyDescent="0.3">
      <c r="A35" s="188"/>
      <c r="B35" s="190"/>
      <c r="C35" s="193"/>
      <c r="D35" s="227"/>
      <c r="E35" s="193"/>
      <c r="F35" s="193"/>
      <c r="H35" s="219"/>
      <c r="I35" s="188"/>
      <c r="J35" s="188"/>
      <c r="N35" s="218"/>
    </row>
    <row r="36" spans="1:21" x14ac:dyDescent="0.3">
      <c r="A36" s="188"/>
      <c r="C36" s="197" t="s">
        <v>125</v>
      </c>
      <c r="D36" s="28">
        <f>ROUND(F33+F42,0)</f>
        <v>10050</v>
      </c>
      <c r="E36" s="193"/>
      <c r="F36" s="193"/>
      <c r="H36" s="219"/>
      <c r="I36" s="188"/>
      <c r="J36" s="188"/>
      <c r="N36" s="218"/>
    </row>
    <row r="37" spans="1:21" x14ac:dyDescent="0.3">
      <c r="A37" s="188"/>
      <c r="C37" s="197" t="s">
        <v>77</v>
      </c>
      <c r="D37" s="28">
        <f>D36*12</f>
        <v>120600</v>
      </c>
      <c r="E37" s="193"/>
      <c r="F37" s="193"/>
      <c r="H37" s="23" t="s">
        <v>89</v>
      </c>
      <c r="I37" s="188"/>
      <c r="J37" s="188"/>
      <c r="N37" s="218"/>
    </row>
    <row r="38" spans="1:21" ht="17" x14ac:dyDescent="0.6">
      <c r="A38" s="188"/>
      <c r="C38" s="197" t="s">
        <v>78</v>
      </c>
      <c r="D38" s="260">
        <v>-87335</v>
      </c>
      <c r="E38" s="193"/>
      <c r="F38" s="231"/>
      <c r="H38" s="23" t="s">
        <v>133</v>
      </c>
      <c r="I38" s="188"/>
      <c r="J38" s="188"/>
      <c r="N38" s="218"/>
    </row>
    <row r="39" spans="1:21" ht="16" thickBot="1" x14ac:dyDescent="0.4">
      <c r="A39" s="188"/>
      <c r="B39" s="206"/>
      <c r="C39" s="239" t="s">
        <v>79</v>
      </c>
      <c r="D39" s="236">
        <f>D37+D38</f>
        <v>33265</v>
      </c>
      <c r="F39" s="234"/>
      <c r="H39" s="62">
        <v>87335</v>
      </c>
      <c r="I39" s="259" t="s">
        <v>330</v>
      </c>
      <c r="J39" s="188"/>
      <c r="N39" s="216"/>
    </row>
    <row r="40" spans="1:21" ht="18.5" thickTop="1" x14ac:dyDescent="0.6">
      <c r="A40" s="188"/>
      <c r="E40" s="344">
        <v>1</v>
      </c>
      <c r="H40" s="62">
        <v>157284</v>
      </c>
      <c r="I40" s="259" t="s">
        <v>331</v>
      </c>
      <c r="J40" s="188"/>
      <c r="N40" s="199"/>
      <c r="O40" s="222"/>
      <c r="P40" s="222"/>
      <c r="Q40" s="189"/>
    </row>
    <row r="41" spans="1:21" ht="18" x14ac:dyDescent="0.6">
      <c r="A41" s="188"/>
      <c r="E41" s="344">
        <f>E40-D28</f>
        <v>0.79</v>
      </c>
      <c r="H41" s="65">
        <v>48605</v>
      </c>
      <c r="I41" s="259" t="s">
        <v>134</v>
      </c>
      <c r="J41" s="188"/>
      <c r="K41" s="225"/>
      <c r="L41" s="225"/>
      <c r="M41" s="225"/>
      <c r="N41" s="199"/>
    </row>
    <row r="42" spans="1:21" ht="18" x14ac:dyDescent="0.6">
      <c r="E42" s="28"/>
      <c r="F42" s="193"/>
      <c r="H42" s="65">
        <f>SUM(H39:H41)</f>
        <v>293224</v>
      </c>
      <c r="I42" s="188"/>
      <c r="J42" s="188"/>
      <c r="N42" s="199"/>
      <c r="S42" s="262"/>
      <c r="T42" s="262"/>
      <c r="U42" s="262"/>
    </row>
    <row r="43" spans="1:21" x14ac:dyDescent="0.3">
      <c r="I43" s="188"/>
      <c r="J43" s="188"/>
      <c r="N43" s="228"/>
      <c r="S43" s="107"/>
      <c r="T43" s="263"/>
      <c r="U43" s="229"/>
    </row>
    <row r="44" spans="1:21" x14ac:dyDescent="0.3">
      <c r="H44" s="241"/>
      <c r="I44" s="188"/>
      <c r="J44" s="188"/>
      <c r="N44" s="228"/>
      <c r="S44" s="107"/>
      <c r="T44" s="263"/>
      <c r="U44" s="229"/>
    </row>
    <row r="45" spans="1:21" x14ac:dyDescent="0.3">
      <c r="H45" s="241"/>
      <c r="I45" s="188"/>
      <c r="J45" s="188"/>
      <c r="S45" s="107"/>
      <c r="T45" s="263"/>
      <c r="U45" s="229"/>
    </row>
    <row r="46" spans="1:21" x14ac:dyDescent="0.3">
      <c r="H46" s="221">
        <f>SUM(H39:H42)</f>
        <v>586448</v>
      </c>
      <c r="I46" s="240" t="s">
        <v>88</v>
      </c>
      <c r="J46" s="188"/>
      <c r="S46" s="212"/>
      <c r="T46" s="264"/>
      <c r="U46" s="229"/>
    </row>
    <row r="47" spans="1:21" ht="17" x14ac:dyDescent="0.6">
      <c r="H47" s="186"/>
      <c r="S47" s="265"/>
      <c r="T47" s="264"/>
      <c r="U47" s="232"/>
    </row>
    <row r="48" spans="1:21" x14ac:dyDescent="0.3">
      <c r="G48" s="188"/>
      <c r="H48" s="296">
        <f>D38</f>
        <v>-87335</v>
      </c>
      <c r="I48" s="233" t="s">
        <v>135</v>
      </c>
      <c r="O48" s="216"/>
      <c r="P48" s="216"/>
      <c r="S48" s="234"/>
      <c r="U48" s="107"/>
    </row>
    <row r="49" spans="2:21" ht="17" x14ac:dyDescent="0.6">
      <c r="G49" s="188"/>
      <c r="H49" s="297">
        <f>D37</f>
        <v>120600</v>
      </c>
      <c r="I49" s="188" t="s">
        <v>333</v>
      </c>
      <c r="T49" s="266"/>
      <c r="U49" s="201"/>
    </row>
    <row r="50" spans="2:21" ht="14.5" thickBot="1" x14ac:dyDescent="0.35">
      <c r="H50" s="298">
        <f>SUM(H48:H49)</f>
        <v>33265</v>
      </c>
      <c r="I50" s="237" t="s">
        <v>385</v>
      </c>
      <c r="T50" s="267"/>
      <c r="U50" s="268"/>
    </row>
    <row r="51" spans="2:21" ht="14.5" thickTop="1" x14ac:dyDescent="0.3">
      <c r="H51" s="299"/>
      <c r="I51" s="188"/>
      <c r="J51" s="188"/>
      <c r="N51" s="228">
        <f>H52</f>
        <v>654506</v>
      </c>
    </row>
    <row r="52" spans="2:21" x14ac:dyDescent="0.3">
      <c r="H52" s="299">
        <f>N26</f>
        <v>654506</v>
      </c>
      <c r="I52" s="23" t="s">
        <v>84</v>
      </c>
      <c r="J52" s="188"/>
      <c r="N52" s="230">
        <v>0.2334</v>
      </c>
    </row>
    <row r="53" spans="2:21" ht="17" x14ac:dyDescent="0.6">
      <c r="H53" s="302">
        <v>0.2334</v>
      </c>
      <c r="I53" s="23" t="s">
        <v>142</v>
      </c>
      <c r="J53" s="188"/>
      <c r="N53" s="188">
        <f>+N51*N52</f>
        <v>152761.7004</v>
      </c>
      <c r="S53" s="262"/>
      <c r="T53" s="262"/>
      <c r="U53" s="262"/>
    </row>
    <row r="54" spans="2:21" x14ac:dyDescent="0.3">
      <c r="H54" s="300">
        <f>ROUND(H52*H53,0)</f>
        <v>152762</v>
      </c>
      <c r="I54" s="23" t="s">
        <v>143</v>
      </c>
      <c r="J54" s="188"/>
      <c r="N54" s="238">
        <f>-H40-H41</f>
        <v>-205889</v>
      </c>
      <c r="S54" s="107"/>
      <c r="T54" s="263"/>
      <c r="U54" s="229"/>
    </row>
    <row r="55" spans="2:21" ht="14.5" thickBot="1" x14ac:dyDescent="0.35">
      <c r="H55" s="300">
        <f>-H40-H41</f>
        <v>-205889</v>
      </c>
      <c r="I55" s="23" t="s">
        <v>144</v>
      </c>
      <c r="J55" s="188"/>
      <c r="K55" s="225"/>
      <c r="L55" s="225"/>
      <c r="M55" s="225"/>
      <c r="N55" s="226">
        <f>+N53+N54</f>
        <v>-53127.299599999998</v>
      </c>
      <c r="S55" s="212"/>
      <c r="T55" s="264"/>
      <c r="U55" s="229"/>
    </row>
    <row r="56" spans="2:21" ht="18" thickTop="1" thickBot="1" x14ac:dyDescent="0.65">
      <c r="G56" s="188"/>
      <c r="H56" s="301">
        <f>SUM(H54:H55)</f>
        <v>-53127</v>
      </c>
      <c r="I56" s="23" t="s">
        <v>145</v>
      </c>
      <c r="M56" s="188"/>
      <c r="N56" s="188"/>
      <c r="O56" s="188"/>
      <c r="P56" s="188"/>
      <c r="S56" s="265"/>
      <c r="T56" s="264"/>
      <c r="U56" s="232"/>
    </row>
    <row r="57" spans="2:21" ht="17.5" thickTop="1" x14ac:dyDescent="0.6">
      <c r="B57" s="190"/>
      <c r="C57" s="193"/>
      <c r="D57" s="227"/>
      <c r="E57" s="193"/>
      <c r="F57" s="231"/>
      <c r="G57" s="188"/>
      <c r="H57" s="186"/>
      <c r="M57" s="188"/>
      <c r="N57" s="188"/>
      <c r="O57" s="188"/>
      <c r="P57" s="188"/>
      <c r="S57" s="234"/>
      <c r="U57" s="107"/>
    </row>
    <row r="58" spans="2:21" ht="17" x14ac:dyDescent="0.6">
      <c r="B58" s="190"/>
      <c r="C58" s="193"/>
      <c r="G58" s="188"/>
      <c r="H58" s="242">
        <v>-48605</v>
      </c>
      <c r="T58" s="266"/>
      <c r="U58" s="201"/>
    </row>
    <row r="59" spans="2:21" x14ac:dyDescent="0.3">
      <c r="T59" s="267"/>
      <c r="U59" s="268"/>
    </row>
    <row r="60" spans="2:21" x14ac:dyDescent="0.3">
      <c r="K60" s="198"/>
    </row>
    <row r="61" spans="2:21" x14ac:dyDescent="0.3">
      <c r="K61" s="198"/>
    </row>
    <row r="62" spans="2:21" x14ac:dyDescent="0.3">
      <c r="K62" s="198"/>
    </row>
    <row r="63" spans="2:21" x14ac:dyDescent="0.3">
      <c r="K63" s="198"/>
    </row>
    <row r="64" spans="2:21" x14ac:dyDescent="0.3">
      <c r="B64" s="190"/>
      <c r="C64" s="198"/>
      <c r="D64" s="198"/>
      <c r="E64" s="198"/>
      <c r="F64" s="198"/>
      <c r="K64" s="198"/>
    </row>
    <row r="65" spans="2:16" x14ac:dyDescent="0.3">
      <c r="B65" s="190"/>
      <c r="C65" s="198"/>
      <c r="D65" s="198"/>
      <c r="E65" s="198"/>
      <c r="F65" s="198"/>
      <c r="K65" s="207"/>
    </row>
    <row r="66" spans="2:16" x14ac:dyDescent="0.3">
      <c r="B66" s="190"/>
      <c r="C66" s="198"/>
      <c r="D66" s="198"/>
      <c r="E66" s="198"/>
      <c r="F66" s="198"/>
      <c r="M66" s="188"/>
      <c r="N66" s="188"/>
    </row>
    <row r="67" spans="2:16" x14ac:dyDescent="0.3">
      <c r="B67" s="193"/>
      <c r="M67" s="188"/>
      <c r="N67" s="188"/>
    </row>
    <row r="68" spans="2:16" ht="17" x14ac:dyDescent="0.6">
      <c r="E68" s="234"/>
      <c r="F68" s="199"/>
      <c r="M68" s="188"/>
      <c r="N68" s="188"/>
    </row>
    <row r="69" spans="2:16" x14ac:dyDescent="0.3">
      <c r="M69" s="188"/>
      <c r="N69" s="188"/>
    </row>
    <row r="70" spans="2:16" x14ac:dyDescent="0.3">
      <c r="M70" s="188"/>
      <c r="N70" s="188"/>
    </row>
    <row r="71" spans="2:16" x14ac:dyDescent="0.3">
      <c r="M71" s="188"/>
      <c r="N71" s="188"/>
    </row>
    <row r="72" spans="2:16" x14ac:dyDescent="0.3">
      <c r="M72" s="188"/>
      <c r="N72" s="188"/>
      <c r="O72" s="188"/>
      <c r="P72" s="188"/>
    </row>
    <row r="73" spans="2:16" x14ac:dyDescent="0.3">
      <c r="M73" s="188"/>
      <c r="N73" s="188"/>
      <c r="O73" s="188"/>
      <c r="P73" s="188"/>
    </row>
    <row r="74" spans="2:16" x14ac:dyDescent="0.3">
      <c r="O74" s="188"/>
      <c r="P74" s="188"/>
    </row>
    <row r="75" spans="2:16" x14ac:dyDescent="0.3">
      <c r="H75" s="188"/>
      <c r="I75" s="188"/>
      <c r="J75" s="188"/>
      <c r="K75" s="188"/>
    </row>
    <row r="76" spans="2:16" x14ac:dyDescent="0.3">
      <c r="H76" s="188"/>
      <c r="I76" s="188"/>
      <c r="J76" s="188"/>
      <c r="K76" s="188"/>
    </row>
    <row r="77" spans="2:16" x14ac:dyDescent="0.3">
      <c r="H77" s="188"/>
      <c r="I77" s="188"/>
      <c r="J77" s="188"/>
      <c r="K77" s="188"/>
    </row>
    <row r="86" spans="5:6" x14ac:dyDescent="0.3">
      <c r="E86" s="188"/>
      <c r="F86" s="188"/>
    </row>
    <row r="87" spans="5:6" x14ac:dyDescent="0.3">
      <c r="E87" s="188"/>
      <c r="F87" s="188"/>
    </row>
    <row r="88" spans="5:6" x14ac:dyDescent="0.3">
      <c r="E88" s="188"/>
      <c r="F88" s="188"/>
    </row>
    <row r="89" spans="5:6" x14ac:dyDescent="0.3">
      <c r="E89" s="188"/>
      <c r="F89" s="188"/>
    </row>
    <row r="90" spans="5:6" x14ac:dyDescent="0.3">
      <c r="E90" s="188"/>
      <c r="F90" s="188"/>
    </row>
    <row r="91" spans="5:6" x14ac:dyDescent="0.3">
      <c r="E91" s="188"/>
      <c r="F91" s="188"/>
    </row>
  </sheetData>
  <mergeCells count="2">
    <mergeCell ref="I5:J5"/>
    <mergeCell ref="L5:N5"/>
  </mergeCells>
  <phoneticPr fontId="30" type="noConversion"/>
  <pageMargins left="0.7" right="0.7" top="0.75" bottom="0.75" header="0.3" footer="0.3"/>
  <pageSetup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4732-69F7-4DB7-9399-D55FB22998C3}">
  <sheetPr>
    <pageSetUpPr fitToPage="1"/>
  </sheetPr>
  <dimension ref="A1:P98"/>
  <sheetViews>
    <sheetView showGridLines="0" workbookViewId="0">
      <selection sqref="A1:K3"/>
    </sheetView>
  </sheetViews>
  <sheetFormatPr defaultColWidth="14.765625" defaultRowHeight="15.5" x14ac:dyDescent="0.35"/>
  <cols>
    <col min="2" max="3" width="10.765625" customWidth="1"/>
    <col min="8" max="9" width="14.765625" style="55"/>
  </cols>
  <sheetData>
    <row r="1" spans="1:14" ht="18.5" x14ac:dyDescent="0.45">
      <c r="A1" s="429" t="s">
        <v>450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50"/>
      <c r="M1" s="150"/>
      <c r="N1" s="150"/>
    </row>
    <row r="2" spans="1:14" ht="18.5" x14ac:dyDescent="0.35">
      <c r="A2" s="430" t="str">
        <f>'SAO - DSC'!C4</f>
        <v>Morgan County Water District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149"/>
      <c r="M2" s="149"/>
      <c r="N2" s="149"/>
    </row>
    <row r="3" spans="1:14" x14ac:dyDescent="0.3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1"/>
      <c r="M3" s="1"/>
      <c r="N3" s="1"/>
    </row>
    <row r="4" spans="1:14" ht="18.5" x14ac:dyDescent="0.45">
      <c r="A4" s="399" t="s">
        <v>95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150"/>
      <c r="M4" s="150"/>
      <c r="N4" s="150"/>
    </row>
    <row r="6" spans="1:14" x14ac:dyDescent="0.35">
      <c r="B6" s="73"/>
      <c r="C6" s="400" t="s">
        <v>174</v>
      </c>
      <c r="D6" s="400"/>
      <c r="F6" s="47" t="s">
        <v>175</v>
      </c>
      <c r="G6" s="47" t="s">
        <v>36</v>
      </c>
      <c r="H6" s="49" t="s">
        <v>34</v>
      </c>
    </row>
    <row r="7" spans="1:14" x14ac:dyDescent="0.35">
      <c r="B7" s="73"/>
      <c r="C7" s="396" t="s">
        <v>176</v>
      </c>
      <c r="D7" s="396"/>
      <c r="F7" s="51">
        <f>D32</f>
        <v>35191</v>
      </c>
      <c r="G7" s="51">
        <f>E37</f>
        <v>106282790</v>
      </c>
      <c r="H7" s="151">
        <f>H37</f>
        <v>2137517.7200000002</v>
      </c>
    </row>
    <row r="8" spans="1:14" x14ac:dyDescent="0.35">
      <c r="B8" s="73"/>
      <c r="C8" s="397" t="s">
        <v>177</v>
      </c>
      <c r="D8" s="397"/>
      <c r="F8" s="51">
        <f>D52</f>
        <v>200</v>
      </c>
      <c r="G8" s="51">
        <f>E56</f>
        <v>1076140</v>
      </c>
      <c r="H8" s="153">
        <f>H56</f>
        <v>24723.620000000003</v>
      </c>
    </row>
    <row r="9" spans="1:14" x14ac:dyDescent="0.35">
      <c r="B9" s="73"/>
      <c r="C9" s="152" t="s">
        <v>178</v>
      </c>
      <c r="D9" s="152"/>
      <c r="F9" s="51">
        <f>D68</f>
        <v>96</v>
      </c>
      <c r="G9" s="51">
        <f>E70</f>
        <v>12676300</v>
      </c>
      <c r="H9" s="153">
        <f>H70</f>
        <v>153502.12999999998</v>
      </c>
    </row>
    <row r="10" spans="1:14" x14ac:dyDescent="0.35">
      <c r="B10" s="73"/>
      <c r="C10" s="152" t="s">
        <v>179</v>
      </c>
      <c r="D10" s="152"/>
      <c r="F10" s="51">
        <f>D82</f>
        <v>12</v>
      </c>
      <c r="G10" s="51">
        <f>E84</f>
        <v>1136710</v>
      </c>
      <c r="H10" s="153">
        <f>H84</f>
        <v>18584.989999999998</v>
      </c>
    </row>
    <row r="11" spans="1:14" x14ac:dyDescent="0.35">
      <c r="B11" s="73"/>
      <c r="C11" s="152" t="s">
        <v>180</v>
      </c>
      <c r="D11" s="152"/>
      <c r="F11" s="48">
        <f>D96</f>
        <v>12</v>
      </c>
      <c r="G11" s="48">
        <f>E97</f>
        <v>6280000</v>
      </c>
      <c r="H11" s="154">
        <f>H97</f>
        <v>35544.800000000003</v>
      </c>
    </row>
    <row r="12" spans="1:14" x14ac:dyDescent="0.35">
      <c r="B12" s="73"/>
      <c r="C12" s="152" t="s">
        <v>181</v>
      </c>
      <c r="D12" s="152"/>
      <c r="F12" s="51">
        <f>SUM(F7:F11)</f>
        <v>35511</v>
      </c>
      <c r="G12" s="51">
        <f>SUM(G7:G11)</f>
        <v>127451940</v>
      </c>
      <c r="H12" s="153">
        <f>SUM(H7:H11)</f>
        <v>2369873.2600000002</v>
      </c>
    </row>
    <row r="13" spans="1:14" x14ac:dyDescent="0.35">
      <c r="B13" s="73"/>
      <c r="C13" s="152" t="s">
        <v>182</v>
      </c>
      <c r="D13" s="152"/>
      <c r="F13" s="45"/>
      <c r="G13" s="45"/>
      <c r="H13" s="154">
        <f>'ExBA - Beg. Rates'!H13</f>
        <v>-12088</v>
      </c>
    </row>
    <row r="14" spans="1:14" x14ac:dyDescent="0.35">
      <c r="B14" s="73"/>
      <c r="C14" s="152" t="s">
        <v>183</v>
      </c>
      <c r="D14" s="152"/>
      <c r="F14" s="45"/>
      <c r="G14" s="45"/>
      <c r="H14" s="153">
        <f>SUM(H12:H13)</f>
        <v>2357785.2600000002</v>
      </c>
      <c r="M14" s="153"/>
    </row>
    <row r="15" spans="1:14" x14ac:dyDescent="0.35">
      <c r="B15" s="73"/>
      <c r="C15" s="256"/>
      <c r="D15" s="152"/>
      <c r="F15" s="45"/>
      <c r="G15" s="45"/>
      <c r="H15" s="257"/>
      <c r="M15" s="153"/>
    </row>
    <row r="16" spans="1:14" x14ac:dyDescent="0.35">
      <c r="B16" s="73"/>
      <c r="C16" s="155"/>
      <c r="D16" s="155"/>
      <c r="H16" s="257"/>
      <c r="L16" s="27"/>
      <c r="M16" s="153"/>
    </row>
    <row r="17" spans="1:16" x14ac:dyDescent="0.35">
      <c r="B17" s="73"/>
      <c r="L17" s="27"/>
      <c r="M17" s="73"/>
    </row>
    <row r="18" spans="1:16" x14ac:dyDescent="0.35">
      <c r="B18" s="73"/>
      <c r="L18" s="27"/>
      <c r="M18" s="73"/>
    </row>
    <row r="19" spans="1:16" x14ac:dyDescent="0.35">
      <c r="A19" t="s">
        <v>185</v>
      </c>
      <c r="B19" s="62" t="s">
        <v>322</v>
      </c>
      <c r="M19" s="255"/>
    </row>
    <row r="20" spans="1:16" x14ac:dyDescent="0.35">
      <c r="B20" s="45"/>
      <c r="C20" s="45"/>
      <c r="D20" s="45"/>
      <c r="E20" s="45"/>
      <c r="F20" s="45" t="s">
        <v>53</v>
      </c>
      <c r="G20" s="45" t="s">
        <v>54</v>
      </c>
      <c r="H20" s="46" t="s">
        <v>54</v>
      </c>
      <c r="I20" s="46" t="s">
        <v>54</v>
      </c>
      <c r="J20" s="45" t="s">
        <v>98</v>
      </c>
      <c r="K20" s="45" t="s">
        <v>59</v>
      </c>
      <c r="L20" s="45"/>
      <c r="M20" s="45"/>
      <c r="N20" s="45"/>
    </row>
    <row r="21" spans="1:16" x14ac:dyDescent="0.35">
      <c r="B21" s="45"/>
      <c r="C21" s="47" t="s">
        <v>146</v>
      </c>
      <c r="D21" s="47" t="s">
        <v>147</v>
      </c>
      <c r="E21" s="47" t="s">
        <v>148</v>
      </c>
      <c r="F21" s="157">
        <f>C22</f>
        <v>2000</v>
      </c>
      <c r="G21" s="48">
        <f>C23</f>
        <v>3000</v>
      </c>
      <c r="H21" s="49">
        <f>C25</f>
        <v>5000</v>
      </c>
      <c r="I21" s="49">
        <f>C25</f>
        <v>5000</v>
      </c>
      <c r="J21" s="50">
        <f>SUM(F21:H21)</f>
        <v>10000</v>
      </c>
      <c r="K21" s="47"/>
      <c r="L21" s="45"/>
      <c r="M21" s="45"/>
      <c r="N21" s="45"/>
    </row>
    <row r="22" spans="1:16" x14ac:dyDescent="0.35">
      <c r="B22" s="45" t="s">
        <v>53</v>
      </c>
      <c r="C22" s="46">
        <v>2000</v>
      </c>
      <c r="D22" s="51">
        <v>14898</v>
      </c>
      <c r="E22" s="51">
        <v>14083390</v>
      </c>
      <c r="F22" s="51">
        <f>E22</f>
        <v>14083390</v>
      </c>
      <c r="G22" s="51">
        <v>0</v>
      </c>
      <c r="H22" s="52">
        <v>0</v>
      </c>
      <c r="I22" s="52"/>
      <c r="J22" s="51">
        <v>0</v>
      </c>
      <c r="K22" s="51">
        <f>SUM(F22:J22)</f>
        <v>14083390</v>
      </c>
      <c r="L22" s="51"/>
      <c r="M22" s="51"/>
      <c r="N22" s="51"/>
    </row>
    <row r="23" spans="1:16" x14ac:dyDescent="0.35">
      <c r="B23" s="45" t="s">
        <v>54</v>
      </c>
      <c r="C23" s="46">
        <v>3000</v>
      </c>
      <c r="D23" s="51">
        <v>15472</v>
      </c>
      <c r="E23" s="51">
        <v>49891280</v>
      </c>
      <c r="F23" s="51">
        <f>$D23*F$21</f>
        <v>30944000</v>
      </c>
      <c r="G23" s="51">
        <f>E23-F23</f>
        <v>18947280</v>
      </c>
      <c r="H23" s="52">
        <v>0</v>
      </c>
      <c r="I23" s="52"/>
      <c r="J23" s="51">
        <v>0</v>
      </c>
      <c r="K23" s="51">
        <f t="shared" ref="K23:K26" si="0">SUM(F23:J23)</f>
        <v>49891280</v>
      </c>
      <c r="L23" s="51"/>
      <c r="M23" s="51"/>
      <c r="N23" s="51"/>
      <c r="O23" s="51"/>
      <c r="P23" s="51"/>
    </row>
    <row r="24" spans="1:16" x14ac:dyDescent="0.35">
      <c r="B24" s="45" t="s">
        <v>54</v>
      </c>
      <c r="C24" s="46">
        <v>5000</v>
      </c>
      <c r="D24" s="51">
        <v>3998</v>
      </c>
      <c r="E24" s="51">
        <v>26273360</v>
      </c>
      <c r="F24" s="51">
        <f>$D24*F$21</f>
        <v>7996000</v>
      </c>
      <c r="G24" s="51">
        <f>$D24*G$21</f>
        <v>11994000</v>
      </c>
      <c r="H24" s="52">
        <f>E24-F24-G24</f>
        <v>6283360</v>
      </c>
      <c r="I24" s="52"/>
      <c r="J24" s="51"/>
      <c r="K24" s="51">
        <f t="shared" si="0"/>
        <v>26273360</v>
      </c>
      <c r="L24" s="51"/>
      <c r="M24" s="51"/>
      <c r="N24" s="51"/>
    </row>
    <row r="25" spans="1:16" x14ac:dyDescent="0.35">
      <c r="B25" s="45" t="s">
        <v>54</v>
      </c>
      <c r="C25" s="46">
        <v>5000</v>
      </c>
      <c r="D25" s="51">
        <v>504</v>
      </c>
      <c r="E25" s="51">
        <v>5985670</v>
      </c>
      <c r="F25" s="51">
        <f t="shared" ref="F25:I26" si="1">$D25*F$21</f>
        <v>1008000</v>
      </c>
      <c r="G25" s="51">
        <f t="shared" si="1"/>
        <v>1512000</v>
      </c>
      <c r="H25" s="51">
        <f t="shared" si="1"/>
        <v>2520000</v>
      </c>
      <c r="I25" s="51">
        <f>E25-F25-G25-H25</f>
        <v>945670</v>
      </c>
      <c r="J25" s="51">
        <v>0</v>
      </c>
      <c r="K25" s="51">
        <f t="shared" si="0"/>
        <v>5985670</v>
      </c>
      <c r="L25" s="51"/>
      <c r="M25" s="51"/>
      <c r="N25" s="51"/>
    </row>
    <row r="26" spans="1:16" x14ac:dyDescent="0.35">
      <c r="B26" s="45" t="s">
        <v>98</v>
      </c>
      <c r="C26" s="46">
        <f>SUM(C22:C25)</f>
        <v>15000</v>
      </c>
      <c r="D26" s="51">
        <v>319</v>
      </c>
      <c r="E26" s="51">
        <v>10049090</v>
      </c>
      <c r="F26" s="51">
        <f t="shared" si="1"/>
        <v>638000</v>
      </c>
      <c r="G26" s="51">
        <f t="shared" si="1"/>
        <v>957000</v>
      </c>
      <c r="H26" s="51">
        <f t="shared" si="1"/>
        <v>1595000</v>
      </c>
      <c r="I26" s="51">
        <f t="shared" si="1"/>
        <v>1595000</v>
      </c>
      <c r="J26" s="51">
        <f>E26-F26-G26-H26-I26</f>
        <v>5264090</v>
      </c>
      <c r="K26" s="51">
        <f t="shared" si="0"/>
        <v>10049090</v>
      </c>
      <c r="L26" s="51"/>
      <c r="M26" s="51"/>
      <c r="N26" s="51"/>
    </row>
    <row r="27" spans="1:16" ht="16" thickBot="1" x14ac:dyDescent="0.4">
      <c r="B27" s="45"/>
      <c r="C27" t="s">
        <v>0</v>
      </c>
      <c r="D27" s="53">
        <f t="shared" ref="D27:K27" si="2">SUM(D22:D26)</f>
        <v>35191</v>
      </c>
      <c r="E27" s="53">
        <f t="shared" si="2"/>
        <v>106282790</v>
      </c>
      <c r="F27" s="53">
        <f t="shared" si="2"/>
        <v>54669390</v>
      </c>
      <c r="G27" s="53">
        <f t="shared" si="2"/>
        <v>33410280</v>
      </c>
      <c r="H27" s="54">
        <f t="shared" si="2"/>
        <v>10398360</v>
      </c>
      <c r="I27" s="54">
        <f t="shared" si="2"/>
        <v>2540670</v>
      </c>
      <c r="J27" s="53">
        <f t="shared" si="2"/>
        <v>5264090</v>
      </c>
      <c r="K27" s="53">
        <f t="shared" si="2"/>
        <v>106282790</v>
      </c>
      <c r="L27" s="57"/>
      <c r="M27" s="57"/>
      <c r="N27" s="57"/>
    </row>
    <row r="28" spans="1:16" ht="16" thickTop="1" x14ac:dyDescent="0.35"/>
    <row r="30" spans="1:16" x14ac:dyDescent="0.35">
      <c r="B30" s="395" t="s">
        <v>149</v>
      </c>
      <c r="C30" s="395"/>
      <c r="D30" s="395"/>
      <c r="E30" s="395"/>
      <c r="F30" s="395"/>
      <c r="G30" s="395"/>
      <c r="H30" s="395"/>
    </row>
    <row r="31" spans="1:16" x14ac:dyDescent="0.35">
      <c r="C31" s="56"/>
      <c r="D31" s="158" t="s">
        <v>147</v>
      </c>
      <c r="E31" s="158" t="s">
        <v>148</v>
      </c>
      <c r="F31" s="395" t="s">
        <v>150</v>
      </c>
      <c r="G31" s="395"/>
      <c r="H31" s="158" t="s">
        <v>34</v>
      </c>
    </row>
    <row r="32" spans="1:16" x14ac:dyDescent="0.35">
      <c r="B32" s="45" t="s">
        <v>53</v>
      </c>
      <c r="C32" s="51">
        <f>C22</f>
        <v>2000</v>
      </c>
      <c r="D32" s="57">
        <f>D27</f>
        <v>35191</v>
      </c>
      <c r="E32" s="57">
        <f>F27</f>
        <v>54669390</v>
      </c>
      <c r="F32" s="58">
        <f>'Rates Comp Year 1 25.25%'!L12</f>
        <v>39.97</v>
      </c>
      <c r="G32" t="s">
        <v>186</v>
      </c>
      <c r="H32" s="58">
        <f>F32*D32</f>
        <v>1406584.27</v>
      </c>
    </row>
    <row r="33" spans="1:16" x14ac:dyDescent="0.35">
      <c r="B33" s="45" t="s">
        <v>54</v>
      </c>
      <c r="C33" s="51">
        <f>C23</f>
        <v>3000</v>
      </c>
      <c r="E33" s="57">
        <f>G27</f>
        <v>33410280</v>
      </c>
      <c r="F33" s="371">
        <f>'Rates Comp Year 1 25.25%'!L13</f>
        <v>1.481E-2</v>
      </c>
      <c r="G33" t="s">
        <v>187</v>
      </c>
      <c r="H33" s="160">
        <f>ROUND(E33*F33,2)</f>
        <v>494806.25</v>
      </c>
      <c r="P33" s="161"/>
    </row>
    <row r="34" spans="1:16" x14ac:dyDescent="0.35">
      <c r="B34" s="45" t="s">
        <v>54</v>
      </c>
      <c r="C34" s="51">
        <f>C25</f>
        <v>5000</v>
      </c>
      <c r="E34" s="57">
        <f>H27</f>
        <v>10398360</v>
      </c>
      <c r="F34" s="371">
        <f>'Rates Comp Year 1 25.25%'!L14</f>
        <v>1.3739999999999999E-2</v>
      </c>
      <c r="G34" t="s">
        <v>187</v>
      </c>
      <c r="H34" s="160">
        <f>ROUND(E34*F34,2)</f>
        <v>142873.47</v>
      </c>
      <c r="P34" s="161"/>
    </row>
    <row r="35" spans="1:16" x14ac:dyDescent="0.35">
      <c r="B35" s="45" t="s">
        <v>54</v>
      </c>
      <c r="C35" s="51">
        <f>C26</f>
        <v>15000</v>
      </c>
      <c r="E35" s="57">
        <f>I27</f>
        <v>2540670</v>
      </c>
      <c r="F35" s="371">
        <f>'Rates Comp Year 1 25.25%'!L15</f>
        <v>1.2669999999999999E-2</v>
      </c>
      <c r="G35" t="s">
        <v>187</v>
      </c>
      <c r="H35" s="160">
        <f>ROUND(E35*F35,2)</f>
        <v>32190.29</v>
      </c>
      <c r="P35" s="161"/>
    </row>
    <row r="36" spans="1:16" x14ac:dyDescent="0.35">
      <c r="B36" s="45" t="s">
        <v>98</v>
      </c>
      <c r="C36" s="51">
        <f>C26</f>
        <v>15000</v>
      </c>
      <c r="D36" s="56"/>
      <c r="E36" s="59">
        <f>J26</f>
        <v>5264090</v>
      </c>
      <c r="F36" s="371">
        <f>'Rates Comp Year 1 25.25%'!L16</f>
        <v>1.1599999999999999E-2</v>
      </c>
      <c r="G36" t="s">
        <v>187</v>
      </c>
      <c r="H36" s="160">
        <f>ROUND(E36*F36,2)</f>
        <v>61063.44</v>
      </c>
      <c r="P36" s="161"/>
    </row>
    <row r="37" spans="1:16" ht="16" thickBot="1" x14ac:dyDescent="0.4">
      <c r="C37" t="s">
        <v>37</v>
      </c>
      <c r="E37" s="53">
        <f>SUM(E32:E36)</f>
        <v>106282790</v>
      </c>
      <c r="H37" s="162">
        <f>SUM(H32:H36)</f>
        <v>2137517.7200000002</v>
      </c>
      <c r="K37" t="s">
        <v>151</v>
      </c>
    </row>
    <row r="38" spans="1:16" ht="16" thickTop="1" x14ac:dyDescent="0.35"/>
    <row r="40" spans="1:16" x14ac:dyDescent="0.35">
      <c r="A40" t="s">
        <v>185</v>
      </c>
      <c r="B40" s="73" t="s">
        <v>177</v>
      </c>
      <c r="I40"/>
    </row>
    <row r="41" spans="1:16" x14ac:dyDescent="0.35">
      <c r="B41" s="45"/>
      <c r="C41" s="45"/>
      <c r="D41" s="45"/>
      <c r="E41" s="45"/>
      <c r="F41" s="45" t="s">
        <v>53</v>
      </c>
      <c r="G41" s="45" t="s">
        <v>54</v>
      </c>
      <c r="H41" s="46" t="s">
        <v>54</v>
      </c>
      <c r="I41" s="45" t="s">
        <v>98</v>
      </c>
      <c r="J41" s="45" t="s">
        <v>59</v>
      </c>
    </row>
    <row r="42" spans="1:16" x14ac:dyDescent="0.35">
      <c r="B42" s="45"/>
      <c r="C42" s="47" t="s">
        <v>146</v>
      </c>
      <c r="D42" s="47" t="s">
        <v>147</v>
      </c>
      <c r="E42" s="47" t="s">
        <v>148</v>
      </c>
      <c r="F42" s="48">
        <f>C43</f>
        <v>5000</v>
      </c>
      <c r="G42" s="48">
        <f>C44</f>
        <v>5000</v>
      </c>
      <c r="H42" s="49">
        <f>C44</f>
        <v>5000</v>
      </c>
      <c r="I42" s="50">
        <f>SUM(F42:H42)</f>
        <v>15000</v>
      </c>
      <c r="J42" s="47"/>
    </row>
    <row r="43" spans="1:16" x14ac:dyDescent="0.35">
      <c r="B43" s="45" t="s">
        <v>53</v>
      </c>
      <c r="C43" s="46">
        <v>5000</v>
      </c>
      <c r="D43" s="51">
        <v>173</v>
      </c>
      <c r="E43" s="51">
        <v>291950</v>
      </c>
      <c r="F43" s="51">
        <f>E43</f>
        <v>291950</v>
      </c>
      <c r="G43" s="51">
        <v>0</v>
      </c>
      <c r="H43" s="52">
        <v>0</v>
      </c>
      <c r="I43" s="51">
        <v>0</v>
      </c>
      <c r="J43" s="51">
        <f>SUM(F43:I43)</f>
        <v>291950</v>
      </c>
    </row>
    <row r="44" spans="1:16" x14ac:dyDescent="0.35">
      <c r="B44" s="45" t="s">
        <v>54</v>
      </c>
      <c r="C44" s="46">
        <v>5000</v>
      </c>
      <c r="D44" s="51">
        <v>15</v>
      </c>
      <c r="E44" s="51">
        <v>103990</v>
      </c>
      <c r="F44" s="51">
        <f>$D44*F$42</f>
        <v>75000</v>
      </c>
      <c r="G44" s="51">
        <f>E44-F44</f>
        <v>28990</v>
      </c>
      <c r="H44" s="52">
        <v>0</v>
      </c>
      <c r="I44" s="51">
        <v>0</v>
      </c>
      <c r="J44" s="51">
        <f>SUM(F44:I44)</f>
        <v>103990</v>
      </c>
      <c r="K44" s="51"/>
      <c r="L44" s="51"/>
      <c r="M44" s="51"/>
      <c r="N44" s="51"/>
      <c r="O44" s="51"/>
    </row>
    <row r="45" spans="1:16" x14ac:dyDescent="0.35">
      <c r="B45" s="45" t="s">
        <v>54</v>
      </c>
      <c r="C45" s="46">
        <v>5000</v>
      </c>
      <c r="D45" s="51">
        <v>2</v>
      </c>
      <c r="E45" s="51">
        <v>24750</v>
      </c>
      <c r="F45" s="51">
        <f t="shared" ref="F45:F46" si="3">$D45*F$42</f>
        <v>10000</v>
      </c>
      <c r="G45" s="51">
        <f>$D45*G$42</f>
        <v>10000</v>
      </c>
      <c r="H45" s="52">
        <f>E45-F45-G45</f>
        <v>4750</v>
      </c>
      <c r="I45" s="51"/>
      <c r="J45" s="51">
        <f>SUM(F45:I45)</f>
        <v>24750</v>
      </c>
    </row>
    <row r="46" spans="1:16" x14ac:dyDescent="0.35">
      <c r="B46" s="45" t="s">
        <v>98</v>
      </c>
      <c r="C46" s="46">
        <f>SUM(C43:C45)</f>
        <v>15000</v>
      </c>
      <c r="D46" s="51">
        <v>10</v>
      </c>
      <c r="E46" s="51">
        <v>655450</v>
      </c>
      <c r="F46" s="51">
        <f t="shared" si="3"/>
        <v>50000</v>
      </c>
      <c r="G46" s="51">
        <f>$D46*G$42</f>
        <v>50000</v>
      </c>
      <c r="H46" s="51">
        <f>$D46*H$42</f>
        <v>50000</v>
      </c>
      <c r="I46" s="51">
        <f>E46-F46-G46-H46</f>
        <v>505450</v>
      </c>
      <c r="J46" s="51">
        <f>SUM(F46:I46)</f>
        <v>655450</v>
      </c>
    </row>
    <row r="47" spans="1:16" ht="16" thickBot="1" x14ac:dyDescent="0.4">
      <c r="B47" s="45"/>
      <c r="C47" t="s">
        <v>0</v>
      </c>
      <c r="D47" s="53">
        <f t="shared" ref="D47:J47" si="4">SUM(D43:D46)</f>
        <v>200</v>
      </c>
      <c r="E47" s="53">
        <f t="shared" si="4"/>
        <v>1076140</v>
      </c>
      <c r="F47" s="53">
        <f t="shared" si="4"/>
        <v>426950</v>
      </c>
      <c r="G47" s="53">
        <f t="shared" si="4"/>
        <v>88990</v>
      </c>
      <c r="H47" s="54">
        <f t="shared" si="4"/>
        <v>54750</v>
      </c>
      <c r="I47" s="53">
        <f t="shared" si="4"/>
        <v>505450</v>
      </c>
      <c r="J47" s="53">
        <f t="shared" si="4"/>
        <v>1076140</v>
      </c>
    </row>
    <row r="48" spans="1:16" ht="16" thickTop="1" x14ac:dyDescent="0.35">
      <c r="I48"/>
    </row>
    <row r="49" spans="1:16" x14ac:dyDescent="0.35">
      <c r="I49"/>
    </row>
    <row r="50" spans="1:16" x14ac:dyDescent="0.35">
      <c r="B50" s="395" t="s">
        <v>149</v>
      </c>
      <c r="C50" s="395"/>
      <c r="D50" s="395"/>
      <c r="E50" s="395"/>
      <c r="F50" s="395"/>
      <c r="G50" s="395"/>
      <c r="H50" s="395"/>
      <c r="I50"/>
    </row>
    <row r="51" spans="1:16" x14ac:dyDescent="0.35">
      <c r="C51" s="56"/>
      <c r="D51" s="158" t="s">
        <v>147</v>
      </c>
      <c r="E51" s="158" t="s">
        <v>148</v>
      </c>
      <c r="F51" s="395" t="s">
        <v>150</v>
      </c>
      <c r="G51" s="395"/>
      <c r="H51" s="158" t="s">
        <v>34</v>
      </c>
      <c r="I51"/>
    </row>
    <row r="52" spans="1:16" x14ac:dyDescent="0.35">
      <c r="B52" s="45" t="s">
        <v>53</v>
      </c>
      <c r="C52" s="51">
        <f>C43</f>
        <v>5000</v>
      </c>
      <c r="D52" s="57">
        <f>D47</f>
        <v>200</v>
      </c>
      <c r="E52" s="57">
        <f>F47</f>
        <v>426950</v>
      </c>
      <c r="F52" s="58">
        <f>'Rates Comp Year 1 25.25%'!L19</f>
        <v>84.72</v>
      </c>
      <c r="G52" t="s">
        <v>186</v>
      </c>
      <c r="H52" s="58">
        <f>F52*D52</f>
        <v>16944</v>
      </c>
      <c r="I52"/>
    </row>
    <row r="53" spans="1:16" x14ac:dyDescent="0.35">
      <c r="B53" s="45" t="s">
        <v>54</v>
      </c>
      <c r="C53" s="51">
        <f>C44</f>
        <v>5000</v>
      </c>
      <c r="E53" s="57">
        <f>G47</f>
        <v>88990</v>
      </c>
      <c r="F53" s="371">
        <f>'Rates Comp Year 1 25.25%'!L20</f>
        <v>1.3739999999999999E-2</v>
      </c>
      <c r="G53" t="s">
        <v>187</v>
      </c>
      <c r="H53" s="160">
        <f>ROUND(E53*F53,2)</f>
        <v>1222.72</v>
      </c>
      <c r="I53"/>
      <c r="P53" s="161"/>
    </row>
    <row r="54" spans="1:16" x14ac:dyDescent="0.35">
      <c r="B54" s="45" t="s">
        <v>54</v>
      </c>
      <c r="C54" s="51">
        <f>C45</f>
        <v>5000</v>
      </c>
      <c r="E54" s="57">
        <f>H47</f>
        <v>54750</v>
      </c>
      <c r="F54" s="371">
        <f>'Rates Comp Year 1 25.25%'!L21</f>
        <v>1.2669999999999999E-2</v>
      </c>
      <c r="G54" t="s">
        <v>187</v>
      </c>
      <c r="H54" s="160">
        <f>ROUND(E54*F54,2)</f>
        <v>693.68</v>
      </c>
      <c r="I54"/>
      <c r="P54" s="161"/>
    </row>
    <row r="55" spans="1:16" x14ac:dyDescent="0.35">
      <c r="B55" s="45" t="s">
        <v>98</v>
      </c>
      <c r="C55" s="51">
        <f>C46</f>
        <v>15000</v>
      </c>
      <c r="D55" s="56"/>
      <c r="E55" s="59">
        <f>I46</f>
        <v>505450</v>
      </c>
      <c r="F55" s="371">
        <f>'Rates Comp Year 1 25.25%'!L22</f>
        <v>1.1599999999999999E-2</v>
      </c>
      <c r="G55" t="s">
        <v>187</v>
      </c>
      <c r="H55" s="160">
        <f>ROUND(E55*F55,2)</f>
        <v>5863.22</v>
      </c>
      <c r="I55"/>
      <c r="P55" s="161"/>
    </row>
    <row r="56" spans="1:16" ht="16" thickBot="1" x14ac:dyDescent="0.4">
      <c r="C56" t="s">
        <v>37</v>
      </c>
      <c r="E56" s="53">
        <f>SUM(E52:E55)</f>
        <v>1076140</v>
      </c>
      <c r="H56" s="162">
        <f>SUM(H52:H55)</f>
        <v>24723.620000000003</v>
      </c>
      <c r="I56"/>
      <c r="J56" t="s">
        <v>151</v>
      </c>
    </row>
    <row r="57" spans="1:16" ht="16" thickTop="1" x14ac:dyDescent="0.35"/>
    <row r="58" spans="1:16" x14ac:dyDescent="0.35">
      <c r="A58" t="s">
        <v>185</v>
      </c>
      <c r="B58" s="73" t="s">
        <v>178</v>
      </c>
      <c r="H58"/>
      <c r="I58"/>
    </row>
    <row r="59" spans="1:16" x14ac:dyDescent="0.35">
      <c r="B59" s="45"/>
      <c r="C59" s="45"/>
      <c r="D59" s="45"/>
      <c r="E59" s="45"/>
      <c r="F59" s="45" t="s">
        <v>53</v>
      </c>
      <c r="G59" s="45" t="s">
        <v>98</v>
      </c>
      <c r="H59" s="45" t="s">
        <v>59</v>
      </c>
      <c r="I59"/>
    </row>
    <row r="60" spans="1:16" x14ac:dyDescent="0.35">
      <c r="B60" s="45"/>
      <c r="C60" s="47" t="s">
        <v>146</v>
      </c>
      <c r="D60" s="47" t="s">
        <v>147</v>
      </c>
      <c r="E60" s="47" t="s">
        <v>148</v>
      </c>
      <c r="F60" s="48">
        <f>C61</f>
        <v>15000</v>
      </c>
      <c r="G60" s="50">
        <f>SUM(F60:F60)</f>
        <v>15000</v>
      </c>
      <c r="H60" s="47"/>
      <c r="I60"/>
    </row>
    <row r="61" spans="1:16" x14ac:dyDescent="0.35">
      <c r="B61" s="45" t="s">
        <v>53</v>
      </c>
      <c r="C61" s="46">
        <v>15000</v>
      </c>
      <c r="D61" s="51">
        <v>24</v>
      </c>
      <c r="E61" s="51">
        <v>145730</v>
      </c>
      <c r="F61" s="51">
        <f>E61</f>
        <v>145730</v>
      </c>
      <c r="G61" s="51">
        <v>0</v>
      </c>
      <c r="H61" s="51">
        <f>SUM(F61:G61)</f>
        <v>145730</v>
      </c>
      <c r="I61"/>
    </row>
    <row r="62" spans="1:16" x14ac:dyDescent="0.35">
      <c r="B62" s="45" t="s">
        <v>98</v>
      </c>
      <c r="C62" s="46">
        <f>SUM(C61:C61)</f>
        <v>15000</v>
      </c>
      <c r="D62" s="51">
        <v>72</v>
      </c>
      <c r="E62" s="51">
        <v>12530570</v>
      </c>
      <c r="F62" s="51">
        <f>$D62*F$60</f>
        <v>1080000</v>
      </c>
      <c r="G62" s="51">
        <f>E62-F62</f>
        <v>11450570</v>
      </c>
      <c r="H62" s="51">
        <f>SUM(F62:G62)</f>
        <v>12530570</v>
      </c>
      <c r="I62"/>
    </row>
    <row r="63" spans="1:16" ht="16" thickBot="1" x14ac:dyDescent="0.4">
      <c r="B63" s="45"/>
      <c r="C63" t="s">
        <v>0</v>
      </c>
      <c r="D63" s="53">
        <f>SUM(D61:D62)</f>
        <v>96</v>
      </c>
      <c r="E63" s="53">
        <f>SUM(E61:E62)</f>
        <v>12676300</v>
      </c>
      <c r="F63" s="53">
        <f>SUM(F61:F62)</f>
        <v>1225730</v>
      </c>
      <c r="G63" s="53">
        <f>SUM(G61:G62)</f>
        <v>11450570</v>
      </c>
      <c r="H63" s="53">
        <f>SUM(H61:H62)</f>
        <v>12676300</v>
      </c>
      <c r="I63"/>
    </row>
    <row r="64" spans="1:16" ht="16" thickTop="1" x14ac:dyDescent="0.35">
      <c r="H64"/>
      <c r="I64"/>
    </row>
    <row r="65" spans="1:16" x14ac:dyDescent="0.35">
      <c r="H65"/>
      <c r="I65"/>
    </row>
    <row r="66" spans="1:16" x14ac:dyDescent="0.35">
      <c r="B66" s="395" t="s">
        <v>149</v>
      </c>
      <c r="C66" s="395"/>
      <c r="D66" s="395"/>
      <c r="E66" s="395"/>
      <c r="F66" s="395"/>
      <c r="G66" s="395"/>
      <c r="H66" s="395"/>
      <c r="I66"/>
    </row>
    <row r="67" spans="1:16" x14ac:dyDescent="0.35">
      <c r="C67" s="56"/>
      <c r="D67" s="158" t="s">
        <v>147</v>
      </c>
      <c r="E67" s="158" t="s">
        <v>148</v>
      </c>
      <c r="F67" s="395" t="s">
        <v>150</v>
      </c>
      <c r="G67" s="395"/>
      <c r="H67" s="158" t="s">
        <v>34</v>
      </c>
      <c r="I67"/>
    </row>
    <row r="68" spans="1:16" x14ac:dyDescent="0.35">
      <c r="B68" s="45" t="s">
        <v>53</v>
      </c>
      <c r="C68" s="51">
        <f>C61</f>
        <v>15000</v>
      </c>
      <c r="D68" s="57">
        <f>D63</f>
        <v>96</v>
      </c>
      <c r="E68" s="57">
        <f>F63</f>
        <v>1225730</v>
      </c>
      <c r="F68" s="58">
        <f>'Rates Comp Year 1 25.25%'!L25</f>
        <v>215.37</v>
      </c>
      <c r="G68" t="s">
        <v>186</v>
      </c>
      <c r="H68" s="58">
        <f>F68*D68</f>
        <v>20675.52</v>
      </c>
      <c r="I68"/>
    </row>
    <row r="69" spans="1:16" x14ac:dyDescent="0.35">
      <c r="B69" s="45" t="s">
        <v>98</v>
      </c>
      <c r="C69" s="51">
        <f>C62</f>
        <v>15000</v>
      </c>
      <c r="D69" s="56"/>
      <c r="E69" s="59">
        <f>G62</f>
        <v>11450570</v>
      </c>
      <c r="F69" s="371">
        <f>'Rates Comp Year 1 25.25%'!L26</f>
        <v>1.1599999999999999E-2</v>
      </c>
      <c r="G69" t="s">
        <v>187</v>
      </c>
      <c r="H69" s="160">
        <f>ROUND(E69*F69,2)</f>
        <v>132826.60999999999</v>
      </c>
      <c r="I69"/>
      <c r="P69" s="161">
        <v>9.2899999999999991</v>
      </c>
    </row>
    <row r="70" spans="1:16" ht="16" thickBot="1" x14ac:dyDescent="0.4">
      <c r="C70" t="s">
        <v>37</v>
      </c>
      <c r="E70" s="53">
        <f>SUM(E68:E69)</f>
        <v>12676300</v>
      </c>
      <c r="H70" s="162">
        <f>SUM(H68:H69)</f>
        <v>153502.12999999998</v>
      </c>
      <c r="I70"/>
    </row>
    <row r="71" spans="1:16" ht="16" thickTop="1" x14ac:dyDescent="0.35"/>
    <row r="72" spans="1:16" x14ac:dyDescent="0.35">
      <c r="A72" t="s">
        <v>185</v>
      </c>
      <c r="B72" s="73" t="s">
        <v>179</v>
      </c>
      <c r="H72"/>
      <c r="I72"/>
    </row>
    <row r="73" spans="1:16" x14ac:dyDescent="0.35">
      <c r="B73" s="45"/>
      <c r="C73" s="45"/>
      <c r="D73" s="45"/>
      <c r="E73" s="45"/>
      <c r="F73" s="45" t="s">
        <v>53</v>
      </c>
      <c r="G73" s="45" t="s">
        <v>98</v>
      </c>
      <c r="H73" s="45" t="s">
        <v>59</v>
      </c>
      <c r="I73"/>
    </row>
    <row r="74" spans="1:16" x14ac:dyDescent="0.35">
      <c r="B74" s="45"/>
      <c r="C74" s="47" t="s">
        <v>146</v>
      </c>
      <c r="D74" s="47" t="s">
        <v>147</v>
      </c>
      <c r="E74" s="47" t="s">
        <v>148</v>
      </c>
      <c r="F74" s="48">
        <f>C75</f>
        <v>100000</v>
      </c>
      <c r="G74" s="50">
        <f>SUM(F74:F74)</f>
        <v>100000</v>
      </c>
      <c r="H74" s="47"/>
      <c r="I74"/>
    </row>
    <row r="75" spans="1:16" x14ac:dyDescent="0.35">
      <c r="B75" s="45" t="s">
        <v>53</v>
      </c>
      <c r="C75" s="46">
        <v>100000</v>
      </c>
      <c r="D75" s="51">
        <v>8</v>
      </c>
      <c r="E75" s="51">
        <v>382380</v>
      </c>
      <c r="F75" s="51">
        <f>E75</f>
        <v>382380</v>
      </c>
      <c r="G75" s="51">
        <v>0</v>
      </c>
      <c r="H75" s="51">
        <f>SUM(F75:G75)</f>
        <v>382380</v>
      </c>
      <c r="I75"/>
    </row>
    <row r="76" spans="1:16" x14ac:dyDescent="0.35">
      <c r="B76" s="45" t="s">
        <v>98</v>
      </c>
      <c r="C76" s="46">
        <f>SUM(C75:C75)</f>
        <v>100000</v>
      </c>
      <c r="D76" s="51">
        <v>4</v>
      </c>
      <c r="E76" s="51">
        <v>754330</v>
      </c>
      <c r="F76" s="51">
        <f>$D76*F$74</f>
        <v>400000</v>
      </c>
      <c r="G76" s="51">
        <f>E76-F76</f>
        <v>354330</v>
      </c>
      <c r="H76" s="51">
        <f>SUM(F76:G76)</f>
        <v>754330</v>
      </c>
      <c r="I76"/>
    </row>
    <row r="77" spans="1:16" ht="16" thickBot="1" x14ac:dyDescent="0.4">
      <c r="B77" s="45"/>
      <c r="C77" t="s">
        <v>0</v>
      </c>
      <c r="D77" s="53">
        <f>SUM(D75:D76)</f>
        <v>12</v>
      </c>
      <c r="E77" s="53">
        <f>SUM(E75:E76)</f>
        <v>1136710</v>
      </c>
      <c r="F77" s="53">
        <f>SUM(F75:F76)</f>
        <v>782380</v>
      </c>
      <c r="G77" s="53">
        <f>SUM(G75:G76)</f>
        <v>354330</v>
      </c>
      <c r="H77" s="53">
        <f>SUM(H75:H76)</f>
        <v>1136710</v>
      </c>
      <c r="I77"/>
    </row>
    <row r="78" spans="1:16" ht="16" thickTop="1" x14ac:dyDescent="0.35">
      <c r="H78"/>
      <c r="I78"/>
    </row>
    <row r="79" spans="1:16" x14ac:dyDescent="0.35">
      <c r="H79"/>
      <c r="I79"/>
    </row>
    <row r="80" spans="1:16" x14ac:dyDescent="0.35">
      <c r="B80" s="395" t="s">
        <v>149</v>
      </c>
      <c r="C80" s="395"/>
      <c r="D80" s="395"/>
      <c r="E80" s="395"/>
      <c r="F80" s="395"/>
      <c r="G80" s="395"/>
      <c r="H80" s="395"/>
      <c r="I80"/>
    </row>
    <row r="81" spans="1:16" x14ac:dyDescent="0.35">
      <c r="C81" s="56"/>
      <c r="D81" s="158" t="s">
        <v>147</v>
      </c>
      <c r="E81" s="158" t="s">
        <v>148</v>
      </c>
      <c r="F81" s="395" t="s">
        <v>150</v>
      </c>
      <c r="G81" s="395"/>
      <c r="H81" s="158" t="s">
        <v>34</v>
      </c>
      <c r="I81"/>
    </row>
    <row r="82" spans="1:16" x14ac:dyDescent="0.35">
      <c r="B82" s="45" t="s">
        <v>53</v>
      </c>
      <c r="C82" s="51">
        <f>C75</f>
        <v>100000</v>
      </c>
      <c r="D82" s="57">
        <f>D77</f>
        <v>12</v>
      </c>
      <c r="E82" s="57">
        <f>F77</f>
        <v>782380</v>
      </c>
      <c r="F82" s="58">
        <f>'Rates Comp Year 1 25.25%'!L29</f>
        <v>1206.23</v>
      </c>
      <c r="G82" t="s">
        <v>186</v>
      </c>
      <c r="H82" s="58">
        <f>F82*D82</f>
        <v>14474.76</v>
      </c>
      <c r="I82"/>
    </row>
    <row r="83" spans="1:16" x14ac:dyDescent="0.35">
      <c r="B83" s="45" t="s">
        <v>98</v>
      </c>
      <c r="C83" s="51">
        <f>C76</f>
        <v>100000</v>
      </c>
      <c r="D83" s="56"/>
      <c r="E83" s="59">
        <f>G76</f>
        <v>354330</v>
      </c>
      <c r="F83" s="371">
        <f>'Rates Comp Year 1 25.25%'!L30</f>
        <v>1.1599999999999999E-2</v>
      </c>
      <c r="G83" t="s">
        <v>187</v>
      </c>
      <c r="H83" s="160">
        <f>ROUND(E83*F83,2)</f>
        <v>4110.2299999999996</v>
      </c>
      <c r="I83"/>
      <c r="P83" s="161">
        <v>9.2899999999999991</v>
      </c>
    </row>
    <row r="84" spans="1:16" ht="16" thickBot="1" x14ac:dyDescent="0.4">
      <c r="C84" t="s">
        <v>37</v>
      </c>
      <c r="E84" s="53">
        <f>SUM(E82:E83)</f>
        <v>1136710</v>
      </c>
      <c r="H84" s="162">
        <f>SUM(H82:H83)</f>
        <v>18584.989999999998</v>
      </c>
      <c r="I84"/>
    </row>
    <row r="85" spans="1:16" ht="16" thickTop="1" x14ac:dyDescent="0.35"/>
    <row r="86" spans="1:16" x14ac:dyDescent="0.35">
      <c r="A86" t="s">
        <v>185</v>
      </c>
      <c r="B86" s="73" t="s">
        <v>188</v>
      </c>
      <c r="H86"/>
      <c r="I86"/>
    </row>
    <row r="87" spans="1:16" x14ac:dyDescent="0.35">
      <c r="E87" s="345">
        <f>E84/12</f>
        <v>94725.833333333328</v>
      </c>
      <c r="H87"/>
      <c r="I87"/>
    </row>
    <row r="88" spans="1:16" x14ac:dyDescent="0.35">
      <c r="B88" s="45"/>
      <c r="C88" s="45"/>
      <c r="D88" s="45"/>
      <c r="E88" s="45"/>
      <c r="H88"/>
      <c r="I88"/>
    </row>
    <row r="89" spans="1:16" x14ac:dyDescent="0.35">
      <c r="B89" s="45"/>
      <c r="C89" s="47" t="s">
        <v>146</v>
      </c>
      <c r="D89" s="47" t="s">
        <v>147</v>
      </c>
      <c r="E89" s="47" t="s">
        <v>148</v>
      </c>
      <c r="H89"/>
      <c r="I89"/>
    </row>
    <row r="90" spans="1:16" x14ac:dyDescent="0.35">
      <c r="B90" s="45" t="s">
        <v>98</v>
      </c>
      <c r="C90" s="46">
        <v>6280000</v>
      </c>
      <c r="D90" s="51">
        <v>12</v>
      </c>
      <c r="E90" s="51">
        <v>6280000</v>
      </c>
      <c r="H90"/>
      <c r="I90"/>
    </row>
    <row r="91" spans="1:16" ht="16" thickBot="1" x14ac:dyDescent="0.4">
      <c r="B91" s="45"/>
      <c r="C91" t="s">
        <v>0</v>
      </c>
      <c r="D91" s="53">
        <f>SUM(D90:D90)</f>
        <v>12</v>
      </c>
      <c r="E91" s="53">
        <f>SUM(E90:E90)</f>
        <v>6280000</v>
      </c>
      <c r="H91"/>
      <c r="I91"/>
    </row>
    <row r="92" spans="1:16" ht="16" thickTop="1" x14ac:dyDescent="0.35">
      <c r="H92"/>
      <c r="I92"/>
    </row>
    <row r="93" spans="1:16" x14ac:dyDescent="0.35">
      <c r="H93"/>
      <c r="I93"/>
    </row>
    <row r="94" spans="1:16" x14ac:dyDescent="0.35">
      <c r="B94" s="395" t="s">
        <v>149</v>
      </c>
      <c r="C94" s="395"/>
      <c r="D94" s="395"/>
      <c r="E94" s="395"/>
      <c r="F94" s="395"/>
      <c r="G94" s="395"/>
      <c r="H94" s="395"/>
      <c r="I94"/>
    </row>
    <row r="95" spans="1:16" x14ac:dyDescent="0.35">
      <c r="C95" s="56"/>
      <c r="D95" s="158" t="s">
        <v>147</v>
      </c>
      <c r="E95" s="158" t="s">
        <v>148</v>
      </c>
      <c r="F95" s="395" t="s">
        <v>150</v>
      </c>
      <c r="G95" s="395"/>
      <c r="H95" s="158" t="s">
        <v>34</v>
      </c>
      <c r="I95"/>
    </row>
    <row r="96" spans="1:16" x14ac:dyDescent="0.35">
      <c r="B96" s="45" t="s">
        <v>148</v>
      </c>
      <c r="C96" s="51"/>
      <c r="D96" s="59">
        <f>D91</f>
        <v>12</v>
      </c>
      <c r="E96" s="59">
        <f>E91</f>
        <v>6280000</v>
      </c>
      <c r="F96" s="371">
        <f>'Rates Comp Year 1 25.25%'!L33</f>
        <v>5.6600000000000001E-3</v>
      </c>
      <c r="G96" t="s">
        <v>187</v>
      </c>
      <c r="H96" s="160">
        <f>ROUND(E96*F96,2)</f>
        <v>35544.800000000003</v>
      </c>
      <c r="I96"/>
      <c r="P96" s="161">
        <v>4.5199999999999996</v>
      </c>
    </row>
    <row r="97" spans="3:9" ht="16" thickBot="1" x14ac:dyDescent="0.4">
      <c r="C97" t="s">
        <v>37</v>
      </c>
      <c r="E97" s="53">
        <f>SUM(E96:E96)</f>
        <v>6280000</v>
      </c>
      <c r="H97" s="162">
        <f>SUM(H96:H96)</f>
        <v>35544.800000000003</v>
      </c>
      <c r="I97"/>
    </row>
    <row r="98" spans="3:9" ht="16" thickTop="1" x14ac:dyDescent="0.35"/>
  </sheetData>
  <mergeCells count="17">
    <mergeCell ref="B66:H66"/>
    <mergeCell ref="A1:K1"/>
    <mergeCell ref="A2:K2"/>
    <mergeCell ref="A3:K3"/>
    <mergeCell ref="A4:K4"/>
    <mergeCell ref="C6:D6"/>
    <mergeCell ref="C7:D7"/>
    <mergeCell ref="C8:D8"/>
    <mergeCell ref="B30:H30"/>
    <mergeCell ref="F31:G31"/>
    <mergeCell ref="B50:H50"/>
    <mergeCell ref="F51:G51"/>
    <mergeCell ref="F67:G67"/>
    <mergeCell ref="B80:H80"/>
    <mergeCell ref="F81:G81"/>
    <mergeCell ref="B94:H94"/>
    <mergeCell ref="F95:G95"/>
  </mergeCells>
  <printOptions horizontalCentered="1"/>
  <pageMargins left="0.6" right="0.6" top="1" bottom="1" header="0.3" footer="0.3"/>
  <pageSetup scale="63" fitToHeight="2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8817-E3B2-44ED-91D1-585073A66FCC}">
  <sheetPr>
    <pageSetUpPr fitToPage="1"/>
  </sheetPr>
  <dimension ref="B2:T33"/>
  <sheetViews>
    <sheetView topLeftCell="A21" workbookViewId="0">
      <selection activeCell="N34" sqref="A1:N34"/>
    </sheetView>
  </sheetViews>
  <sheetFormatPr defaultColWidth="8.84375" defaultRowHeight="15.5" x14ac:dyDescent="0.35"/>
  <cols>
    <col min="1" max="1" width="2.613281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2.613281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6"/>
      <c r="D2" s="76"/>
      <c r="E2" s="76"/>
      <c r="F2" s="77"/>
      <c r="G2" s="76"/>
      <c r="H2" s="76"/>
      <c r="I2" s="76"/>
      <c r="J2" s="76"/>
      <c r="K2" s="76"/>
      <c r="L2" s="77"/>
      <c r="M2" s="78"/>
    </row>
    <row r="3" spans="2:20" x14ac:dyDescent="0.35">
      <c r="B3" s="8"/>
      <c r="C3" s="403" t="s">
        <v>87</v>
      </c>
      <c r="D3" s="403"/>
      <c r="E3" s="403"/>
      <c r="F3" s="403"/>
      <c r="G3" s="403"/>
      <c r="H3" s="403"/>
      <c r="I3" s="403"/>
      <c r="J3" s="403"/>
      <c r="K3" s="403"/>
      <c r="L3" s="403"/>
      <c r="M3" s="404"/>
    </row>
    <row r="4" spans="2:20" x14ac:dyDescent="0.35">
      <c r="B4" s="8"/>
      <c r="C4" s="403" t="s">
        <v>449</v>
      </c>
      <c r="D4" s="403"/>
      <c r="E4" s="403"/>
      <c r="F4" s="403"/>
      <c r="G4" s="403"/>
      <c r="H4" s="403"/>
      <c r="I4" s="403"/>
      <c r="J4" s="403"/>
      <c r="K4" s="403"/>
      <c r="L4" s="403"/>
      <c r="M4" s="404"/>
      <c r="O4" s="4" t="s">
        <v>165</v>
      </c>
      <c r="R4" s="4" t="s">
        <v>166</v>
      </c>
    </row>
    <row r="5" spans="2:20" x14ac:dyDescent="0.35">
      <c r="B5" s="8"/>
      <c r="C5" s="405" t="str">
        <f>Adjustments!B1</f>
        <v>Morgan County Water District</v>
      </c>
      <c r="D5" s="405"/>
      <c r="E5" s="405"/>
      <c r="F5" s="405"/>
      <c r="G5" s="405"/>
      <c r="H5" s="405"/>
      <c r="I5" s="405"/>
      <c r="J5" s="405"/>
      <c r="K5" s="405"/>
      <c r="L5" s="405"/>
      <c r="M5" s="406"/>
      <c r="N5" s="71"/>
      <c r="O5" s="71"/>
      <c r="P5" s="71"/>
      <c r="Q5" s="71"/>
      <c r="R5" s="71"/>
      <c r="S5" s="71"/>
    </row>
    <row r="6" spans="2:20" x14ac:dyDescent="0.35">
      <c r="B6" s="8"/>
      <c r="M6" s="79"/>
    </row>
    <row r="7" spans="2:20" x14ac:dyDescent="0.35">
      <c r="B7" s="9"/>
      <c r="C7" s="76"/>
      <c r="D7" s="76"/>
      <c r="E7" s="76"/>
      <c r="F7" s="77"/>
      <c r="G7" s="78"/>
      <c r="H7" s="9"/>
      <c r="I7" s="76"/>
      <c r="J7" s="76"/>
      <c r="K7" s="76"/>
      <c r="L7" s="77"/>
      <c r="M7" s="78"/>
    </row>
    <row r="8" spans="2:20" x14ac:dyDescent="0.35">
      <c r="B8" s="8"/>
      <c r="C8" s="401" t="s">
        <v>446</v>
      </c>
      <c r="D8" s="401"/>
      <c r="E8" s="401"/>
      <c r="F8" s="401"/>
      <c r="G8" s="402"/>
      <c r="I8" s="401" t="s">
        <v>447</v>
      </c>
      <c r="J8" s="401"/>
      <c r="K8" s="401"/>
      <c r="L8" s="401"/>
      <c r="M8" s="402"/>
      <c r="O8" s="17">
        <v>6.2100000000000002E-2</v>
      </c>
      <c r="P8" s="17" t="s">
        <v>97</v>
      </c>
      <c r="Q8" s="17"/>
      <c r="R8" s="17"/>
      <c r="S8" s="17"/>
    </row>
    <row r="9" spans="2:20" x14ac:dyDescent="0.35">
      <c r="B9" s="8"/>
      <c r="G9" s="79"/>
      <c r="M9" s="79"/>
    </row>
    <row r="10" spans="2:20" x14ac:dyDescent="0.35">
      <c r="B10" s="8"/>
      <c r="C10" s="16"/>
      <c r="G10" s="79"/>
      <c r="I10" s="16"/>
      <c r="L10" s="80"/>
      <c r="M10" s="79"/>
    </row>
    <row r="11" spans="2:20" x14ac:dyDescent="0.35">
      <c r="B11" s="9"/>
      <c r="C11" s="246" t="s">
        <v>322</v>
      </c>
      <c r="D11" s="247"/>
      <c r="E11" s="247"/>
      <c r="F11" s="247"/>
      <c r="G11" s="248"/>
      <c r="H11" s="9"/>
      <c r="I11" s="246" t="s">
        <v>322</v>
      </c>
      <c r="J11" s="247"/>
      <c r="K11" s="247"/>
      <c r="L11" s="77"/>
      <c r="M11" s="78"/>
      <c r="T11" s="82"/>
    </row>
    <row r="12" spans="2:20" x14ac:dyDescent="0.35">
      <c r="B12" s="8"/>
      <c r="C12" s="45" t="s">
        <v>53</v>
      </c>
      <c r="D12" s="51">
        <v>2000</v>
      </c>
      <c r="E12" s="253" t="s">
        <v>148</v>
      </c>
      <c r="F12" s="147">
        <f>'Rates Comp Year 1 25.25%'!L12</f>
        <v>39.97</v>
      </c>
      <c r="G12" s="146" t="s">
        <v>186</v>
      </c>
      <c r="H12" s="8"/>
      <c r="I12" s="45" t="s">
        <v>53</v>
      </c>
      <c r="J12" s="51">
        <v>2000</v>
      </c>
      <c r="K12" s="253" t="s">
        <v>148</v>
      </c>
      <c r="L12" s="147">
        <f>R12</f>
        <v>42.48</v>
      </c>
      <c r="M12" s="146" t="s">
        <v>186</v>
      </c>
      <c r="O12" s="147">
        <f>F12</f>
        <v>39.97</v>
      </c>
      <c r="P12" s="147">
        <f>ROUND(O$8*O12,2)</f>
        <v>2.48</v>
      </c>
      <c r="Q12" s="61">
        <v>0.03</v>
      </c>
      <c r="R12" s="147">
        <f>SUM(O12:Q12)</f>
        <v>42.48</v>
      </c>
      <c r="S12" s="147"/>
      <c r="T12" s="82"/>
    </row>
    <row r="13" spans="2:20" x14ac:dyDescent="0.35">
      <c r="B13" s="8"/>
      <c r="C13" s="45" t="s">
        <v>54</v>
      </c>
      <c r="D13" s="51">
        <v>3000</v>
      </c>
      <c r="E13" s="253" t="s">
        <v>148</v>
      </c>
      <c r="F13" s="61">
        <f>'Rates Comp Year 1 25.25%'!L13</f>
        <v>1.481E-2</v>
      </c>
      <c r="G13" s="146" t="s">
        <v>187</v>
      </c>
      <c r="H13" s="8"/>
      <c r="I13" s="45" t="s">
        <v>54</v>
      </c>
      <c r="J13" s="51">
        <v>3000</v>
      </c>
      <c r="K13" s="253" t="s">
        <v>148</v>
      </c>
      <c r="L13" s="61">
        <f>R13</f>
        <v>1.5690000000000003E-2</v>
      </c>
      <c r="M13" s="146" t="s">
        <v>187</v>
      </c>
      <c r="N13" s="18"/>
      <c r="O13" s="61">
        <f t="shared" ref="O13:O33" si="0">F13</f>
        <v>1.481E-2</v>
      </c>
      <c r="P13" s="61">
        <f>ROUND(O$8*O13,5)</f>
        <v>9.2000000000000003E-4</v>
      </c>
      <c r="Q13" s="61">
        <v>-4.0000000000000003E-5</v>
      </c>
      <c r="R13" s="61">
        <f>SUM(O13:Q13)</f>
        <v>1.5690000000000003E-2</v>
      </c>
      <c r="S13" s="61"/>
      <c r="T13" s="82"/>
    </row>
    <row r="14" spans="2:20" x14ac:dyDescent="0.35">
      <c r="B14" s="8"/>
      <c r="C14" s="45" t="s">
        <v>54</v>
      </c>
      <c r="D14" s="51">
        <v>5000</v>
      </c>
      <c r="E14" s="253" t="s">
        <v>148</v>
      </c>
      <c r="F14" s="61">
        <f>'Rates Comp Year 1 25.25%'!L14</f>
        <v>1.3739999999999999E-2</v>
      </c>
      <c r="G14" s="146" t="s">
        <v>187</v>
      </c>
      <c r="H14" s="8"/>
      <c r="I14" s="45" t="s">
        <v>54</v>
      </c>
      <c r="J14" s="51">
        <v>5000</v>
      </c>
      <c r="K14" s="253" t="s">
        <v>148</v>
      </c>
      <c r="L14" s="61">
        <f t="shared" ref="L14:L16" si="1">R14</f>
        <v>1.4549999999999999E-2</v>
      </c>
      <c r="M14" s="146" t="s">
        <v>187</v>
      </c>
      <c r="O14" s="61">
        <f t="shared" si="0"/>
        <v>1.3739999999999999E-2</v>
      </c>
      <c r="P14" s="61">
        <f t="shared" ref="P14:P16" si="2">ROUND(O$8*O14,5)</f>
        <v>8.4999999999999995E-4</v>
      </c>
      <c r="Q14" s="61">
        <f>Q13</f>
        <v>-4.0000000000000003E-5</v>
      </c>
      <c r="R14" s="61">
        <f t="shared" ref="R14:R16" si="3">SUM(O14:Q14)</f>
        <v>1.4549999999999999E-2</v>
      </c>
      <c r="S14" s="61">
        <v>-1.0000000000000001E-5</v>
      </c>
    </row>
    <row r="15" spans="2:20" x14ac:dyDescent="0.35">
      <c r="B15" s="8"/>
      <c r="C15" s="45" t="s">
        <v>54</v>
      </c>
      <c r="D15" s="51">
        <v>15000</v>
      </c>
      <c r="E15" s="253" t="s">
        <v>148</v>
      </c>
      <c r="F15" s="61">
        <f>'Rates Comp Year 1 25.25%'!L15</f>
        <v>1.2669999999999999E-2</v>
      </c>
      <c r="G15" s="146" t="s">
        <v>187</v>
      </c>
      <c r="H15" s="8"/>
      <c r="I15" s="45" t="s">
        <v>54</v>
      </c>
      <c r="J15" s="51">
        <v>15000</v>
      </c>
      <c r="K15" s="253" t="s">
        <v>148</v>
      </c>
      <c r="L15" s="61">
        <f t="shared" si="1"/>
        <v>1.342E-2</v>
      </c>
      <c r="M15" s="146" t="s">
        <v>187</v>
      </c>
      <c r="O15" s="61">
        <f t="shared" si="0"/>
        <v>1.2669999999999999E-2</v>
      </c>
      <c r="P15" s="61">
        <f t="shared" si="2"/>
        <v>7.9000000000000001E-4</v>
      </c>
      <c r="Q15" s="61">
        <f>Q13</f>
        <v>-4.0000000000000003E-5</v>
      </c>
      <c r="R15" s="61">
        <f t="shared" si="3"/>
        <v>1.342E-2</v>
      </c>
      <c r="S15" s="61"/>
    </row>
    <row r="16" spans="2:20" x14ac:dyDescent="0.35">
      <c r="B16" s="8"/>
      <c r="C16" s="45" t="s">
        <v>98</v>
      </c>
      <c r="D16" s="51">
        <v>15000</v>
      </c>
      <c r="E16" s="253" t="s">
        <v>148</v>
      </c>
      <c r="F16" s="61">
        <f>'Rates Comp Year 1 25.25%'!L16</f>
        <v>1.1599999999999999E-2</v>
      </c>
      <c r="G16" s="146" t="s">
        <v>187</v>
      </c>
      <c r="H16" s="8"/>
      <c r="I16" s="45" t="s">
        <v>98</v>
      </c>
      <c r="J16" s="51">
        <v>15000</v>
      </c>
      <c r="K16" s="253" t="s">
        <v>148</v>
      </c>
      <c r="L16" s="61">
        <f t="shared" si="1"/>
        <v>1.2279999999999999E-2</v>
      </c>
      <c r="M16" s="146" t="s">
        <v>187</v>
      </c>
      <c r="O16" s="61">
        <f t="shared" si="0"/>
        <v>1.1599999999999999E-2</v>
      </c>
      <c r="P16" s="61">
        <f t="shared" si="2"/>
        <v>7.2000000000000005E-4</v>
      </c>
      <c r="Q16" s="61">
        <f>Q13</f>
        <v>-4.0000000000000003E-5</v>
      </c>
      <c r="R16" s="61">
        <f t="shared" si="3"/>
        <v>1.2279999999999999E-2</v>
      </c>
      <c r="S16" s="61"/>
    </row>
    <row r="17" spans="2:19" x14ac:dyDescent="0.35">
      <c r="B17" s="8"/>
      <c r="C17"/>
      <c r="D17"/>
      <c r="E17" s="253"/>
      <c r="F17"/>
      <c r="G17" s="146"/>
      <c r="H17" s="8"/>
      <c r="I17"/>
      <c r="J17"/>
      <c r="K17" s="253"/>
      <c r="M17" s="146"/>
      <c r="O17"/>
      <c r="P17"/>
      <c r="Q17"/>
      <c r="R17"/>
      <c r="S17"/>
    </row>
    <row r="18" spans="2:19" x14ac:dyDescent="0.35">
      <c r="B18" s="8"/>
      <c r="C18" s="73" t="s">
        <v>177</v>
      </c>
      <c r="D18"/>
      <c r="E18" s="253"/>
      <c r="F18"/>
      <c r="G18" s="146"/>
      <c r="H18" s="8"/>
      <c r="I18" s="73" t="s">
        <v>177</v>
      </c>
      <c r="J18"/>
      <c r="K18" s="253"/>
      <c r="M18" s="146"/>
      <c r="O18"/>
      <c r="P18"/>
      <c r="Q18"/>
      <c r="R18"/>
      <c r="S18"/>
    </row>
    <row r="19" spans="2:19" x14ac:dyDescent="0.35">
      <c r="B19" s="8"/>
      <c r="C19" s="45" t="s">
        <v>53</v>
      </c>
      <c r="D19" s="51">
        <v>5000</v>
      </c>
      <c r="E19" s="253" t="s">
        <v>148</v>
      </c>
      <c r="F19" s="147">
        <f>'Rates Comp Year 1 25.25%'!L19</f>
        <v>84.72</v>
      </c>
      <c r="G19" s="146" t="s">
        <v>186</v>
      </c>
      <c r="H19" s="8"/>
      <c r="I19" s="45" t="s">
        <v>53</v>
      </c>
      <c r="J19" s="51">
        <v>5000</v>
      </c>
      <c r="K19" s="253" t="s">
        <v>148</v>
      </c>
      <c r="L19" s="147">
        <f>R19</f>
        <v>90.01</v>
      </c>
      <c r="M19" s="146" t="s">
        <v>186</v>
      </c>
      <c r="O19" s="147">
        <f t="shared" si="0"/>
        <v>84.72</v>
      </c>
      <c r="P19" s="147">
        <f>ROUND(O$8*O19,2)</f>
        <v>5.26</v>
      </c>
      <c r="Q19" s="61">
        <f>Q12</f>
        <v>0.03</v>
      </c>
      <c r="R19" s="147">
        <f>SUM(O19:Q19)</f>
        <v>90.01</v>
      </c>
      <c r="S19" s="147"/>
    </row>
    <row r="20" spans="2:19" x14ac:dyDescent="0.35">
      <c r="B20" s="8"/>
      <c r="C20" s="45" t="s">
        <v>54</v>
      </c>
      <c r="D20" s="51">
        <v>5000</v>
      </c>
      <c r="E20" s="253" t="s">
        <v>148</v>
      </c>
      <c r="F20" s="61">
        <f>'Rates Comp Year 1 25.25%'!L20</f>
        <v>1.3739999999999999E-2</v>
      </c>
      <c r="G20" s="146" t="s">
        <v>187</v>
      </c>
      <c r="H20" s="8"/>
      <c r="I20" s="45" t="s">
        <v>54</v>
      </c>
      <c r="J20" s="51">
        <v>5000</v>
      </c>
      <c r="K20" s="253" t="s">
        <v>148</v>
      </c>
      <c r="L20" s="61">
        <f t="shared" ref="L20:L22" si="4">R20</f>
        <v>1.4549999999999999E-2</v>
      </c>
      <c r="M20" s="146" t="s">
        <v>187</v>
      </c>
      <c r="O20" s="61">
        <f t="shared" si="0"/>
        <v>1.3739999999999999E-2</v>
      </c>
      <c r="P20" s="61">
        <f>P14</f>
        <v>8.4999999999999995E-4</v>
      </c>
      <c r="Q20" s="61">
        <f>Q13</f>
        <v>-4.0000000000000003E-5</v>
      </c>
      <c r="R20" s="61">
        <f t="shared" ref="R20:R22" si="5">SUM(O20:Q20)</f>
        <v>1.4549999999999999E-2</v>
      </c>
      <c r="S20" s="61"/>
    </row>
    <row r="21" spans="2:19" x14ac:dyDescent="0.35">
      <c r="B21" s="8"/>
      <c r="C21" s="45" t="s">
        <v>54</v>
      </c>
      <c r="D21" s="51">
        <v>5000</v>
      </c>
      <c r="E21" s="253" t="s">
        <v>148</v>
      </c>
      <c r="F21" s="61">
        <f>'Rates Comp Year 1 25.25%'!L21</f>
        <v>1.2669999999999999E-2</v>
      </c>
      <c r="G21" s="146" t="s">
        <v>187</v>
      </c>
      <c r="H21" s="8"/>
      <c r="I21" s="45" t="s">
        <v>54</v>
      </c>
      <c r="J21" s="51">
        <v>5000</v>
      </c>
      <c r="K21" s="253" t="s">
        <v>148</v>
      </c>
      <c r="L21" s="61">
        <f t="shared" si="4"/>
        <v>1.342E-2</v>
      </c>
      <c r="M21" s="146" t="s">
        <v>187</v>
      </c>
      <c r="O21" s="61">
        <f t="shared" si="0"/>
        <v>1.2669999999999999E-2</v>
      </c>
      <c r="P21" s="61">
        <f t="shared" ref="P21:P22" si="6">P15</f>
        <v>7.9000000000000001E-4</v>
      </c>
      <c r="Q21" s="61">
        <f>Q20</f>
        <v>-4.0000000000000003E-5</v>
      </c>
      <c r="R21" s="61">
        <f t="shared" si="5"/>
        <v>1.342E-2</v>
      </c>
      <c r="S21" s="61"/>
    </row>
    <row r="22" spans="2:19" x14ac:dyDescent="0.35">
      <c r="B22" s="8"/>
      <c r="C22" s="45" t="s">
        <v>98</v>
      </c>
      <c r="D22" s="51">
        <v>15000</v>
      </c>
      <c r="E22" s="253" t="s">
        <v>148</v>
      </c>
      <c r="F22" s="61">
        <f>'Rates Comp Year 1 25.25%'!L22</f>
        <v>1.1599999999999999E-2</v>
      </c>
      <c r="G22" s="146" t="s">
        <v>187</v>
      </c>
      <c r="H22" s="8"/>
      <c r="I22" s="45" t="s">
        <v>98</v>
      </c>
      <c r="J22" s="51">
        <v>15000</v>
      </c>
      <c r="K22" s="253" t="s">
        <v>148</v>
      </c>
      <c r="L22" s="61">
        <f t="shared" si="4"/>
        <v>1.2279999999999999E-2</v>
      </c>
      <c r="M22" s="146" t="s">
        <v>187</v>
      </c>
      <c r="O22" s="61">
        <f t="shared" si="0"/>
        <v>1.1599999999999999E-2</v>
      </c>
      <c r="P22" s="61">
        <f t="shared" si="6"/>
        <v>7.2000000000000005E-4</v>
      </c>
      <c r="Q22" s="61">
        <f>Q21</f>
        <v>-4.0000000000000003E-5</v>
      </c>
      <c r="R22" s="61">
        <f t="shared" si="5"/>
        <v>1.2279999999999999E-2</v>
      </c>
      <c r="S22" s="61"/>
    </row>
    <row r="23" spans="2:19" x14ac:dyDescent="0.35">
      <c r="B23" s="8"/>
      <c r="C23" s="45"/>
      <c r="D23" s="51"/>
      <c r="E23" s="253"/>
      <c r="F23" s="249"/>
      <c r="G23" s="146"/>
      <c r="H23" s="8"/>
      <c r="I23" s="45"/>
      <c r="J23" s="51"/>
      <c r="K23" s="253"/>
      <c r="M23" s="146"/>
      <c r="O23" s="249"/>
      <c r="P23" s="249"/>
      <c r="Q23" s="249"/>
      <c r="R23" s="249"/>
      <c r="S23" s="249"/>
    </row>
    <row r="24" spans="2:19" x14ac:dyDescent="0.35">
      <c r="B24" s="8"/>
      <c r="C24" s="73" t="s">
        <v>178</v>
      </c>
      <c r="D24"/>
      <c r="E24" s="253"/>
      <c r="F24"/>
      <c r="G24" s="146"/>
      <c r="H24" s="8"/>
      <c r="I24" s="73" t="s">
        <v>178</v>
      </c>
      <c r="J24"/>
      <c r="K24" s="253"/>
      <c r="M24" s="146"/>
      <c r="O24"/>
      <c r="P24"/>
      <c r="Q24"/>
      <c r="R24"/>
      <c r="S24"/>
    </row>
    <row r="25" spans="2:19" x14ac:dyDescent="0.35">
      <c r="B25" s="8"/>
      <c r="C25" s="45" t="s">
        <v>53</v>
      </c>
      <c r="D25" s="51">
        <v>15000</v>
      </c>
      <c r="E25" s="253" t="s">
        <v>148</v>
      </c>
      <c r="F25" s="147">
        <f>'Rates Comp Year 1 25.25%'!L25</f>
        <v>215.37</v>
      </c>
      <c r="G25" s="146" t="s">
        <v>186</v>
      </c>
      <c r="H25" s="8"/>
      <c r="I25" s="45" t="s">
        <v>53</v>
      </c>
      <c r="J25" s="51">
        <v>15000</v>
      </c>
      <c r="K25" s="253" t="s">
        <v>148</v>
      </c>
      <c r="L25" s="147">
        <f>R25</f>
        <v>228.77</v>
      </c>
      <c r="M25" s="146" t="s">
        <v>186</v>
      </c>
      <c r="O25" s="147">
        <f t="shared" si="0"/>
        <v>215.37</v>
      </c>
      <c r="P25" s="147">
        <f>ROUND(O$8*O25,2)</f>
        <v>13.37</v>
      </c>
      <c r="Q25" s="61">
        <f>Q12</f>
        <v>0.03</v>
      </c>
      <c r="R25" s="147">
        <f>SUM(O25:Q25)</f>
        <v>228.77</v>
      </c>
      <c r="S25" s="147"/>
    </row>
    <row r="26" spans="2:19" x14ac:dyDescent="0.35">
      <c r="B26" s="8"/>
      <c r="C26" s="45" t="s">
        <v>98</v>
      </c>
      <c r="D26" s="51">
        <v>15000</v>
      </c>
      <c r="E26" s="253" t="s">
        <v>148</v>
      </c>
      <c r="F26" s="61">
        <f>'Rates Comp Year 1 25.25%'!L26</f>
        <v>1.1599999999999999E-2</v>
      </c>
      <c r="G26" s="146" t="s">
        <v>187</v>
      </c>
      <c r="H26" s="8"/>
      <c r="I26" s="45" t="s">
        <v>98</v>
      </c>
      <c r="J26" s="51">
        <v>15000</v>
      </c>
      <c r="K26" s="253" t="s">
        <v>148</v>
      </c>
      <c r="L26" s="61">
        <f>R26</f>
        <v>1.2279999999999999E-2</v>
      </c>
      <c r="M26" s="146" t="s">
        <v>187</v>
      </c>
      <c r="O26" s="61">
        <f t="shared" si="0"/>
        <v>1.1599999999999999E-2</v>
      </c>
      <c r="P26" s="61">
        <f>P22</f>
        <v>7.2000000000000005E-4</v>
      </c>
      <c r="Q26" s="61">
        <f>Q22</f>
        <v>-4.0000000000000003E-5</v>
      </c>
      <c r="R26" s="61">
        <f>SUM(O26:Q26)</f>
        <v>1.2279999999999999E-2</v>
      </c>
      <c r="S26" s="61"/>
    </row>
    <row r="27" spans="2:19" x14ac:dyDescent="0.35">
      <c r="B27" s="8"/>
      <c r="C27"/>
      <c r="D27"/>
      <c r="E27" s="253"/>
      <c r="F27" s="61"/>
      <c r="G27" s="146"/>
      <c r="H27" s="8"/>
      <c r="I27"/>
      <c r="J27"/>
      <c r="K27" s="253"/>
      <c r="M27" s="146"/>
      <c r="O27" s="61"/>
      <c r="P27" s="61"/>
      <c r="Q27" s="61"/>
      <c r="R27" s="61"/>
      <c r="S27" s="61"/>
    </row>
    <row r="28" spans="2:19" x14ac:dyDescent="0.35">
      <c r="B28" s="8"/>
      <c r="C28" s="73" t="s">
        <v>179</v>
      </c>
      <c r="D28"/>
      <c r="E28" s="253"/>
      <c r="F28" s="61"/>
      <c r="G28" s="146"/>
      <c r="H28" s="8"/>
      <c r="I28" s="73" t="s">
        <v>179</v>
      </c>
      <c r="J28"/>
      <c r="K28" s="253"/>
      <c r="M28" s="146"/>
      <c r="O28" s="61"/>
      <c r="P28" s="61"/>
      <c r="Q28" s="61"/>
      <c r="R28" s="61"/>
      <c r="S28" s="61"/>
    </row>
    <row r="29" spans="2:19" x14ac:dyDescent="0.35">
      <c r="B29" s="8"/>
      <c r="C29" s="45" t="s">
        <v>53</v>
      </c>
      <c r="D29" s="51">
        <v>100000</v>
      </c>
      <c r="E29" s="253" t="s">
        <v>148</v>
      </c>
      <c r="F29" s="147">
        <f>'Rates Comp Year 1 25.25%'!L29</f>
        <v>1206.23</v>
      </c>
      <c r="G29" s="146" t="s">
        <v>186</v>
      </c>
      <c r="H29" s="8"/>
      <c r="I29" s="45" t="s">
        <v>53</v>
      </c>
      <c r="J29" s="51">
        <v>100000</v>
      </c>
      <c r="K29" s="253" t="s">
        <v>148</v>
      </c>
      <c r="L29" s="147">
        <f>R29</f>
        <v>1281.17</v>
      </c>
      <c r="M29" s="146" t="s">
        <v>186</v>
      </c>
      <c r="O29" s="147">
        <f t="shared" si="0"/>
        <v>1206.23</v>
      </c>
      <c r="P29" s="147">
        <f>ROUND(O$8*O29,2)</f>
        <v>74.91</v>
      </c>
      <c r="Q29" s="61">
        <f>Q12</f>
        <v>0.03</v>
      </c>
      <c r="R29" s="147">
        <f>SUM(O29:Q29)</f>
        <v>1281.17</v>
      </c>
      <c r="S29" s="147"/>
    </row>
    <row r="30" spans="2:19" x14ac:dyDescent="0.35">
      <c r="B30" s="8"/>
      <c r="C30" s="45" t="s">
        <v>98</v>
      </c>
      <c r="D30" s="51">
        <v>100000</v>
      </c>
      <c r="E30" s="253" t="s">
        <v>148</v>
      </c>
      <c r="F30" s="61">
        <f>'Rates Comp Year 1 25.25%'!L30</f>
        <v>1.1599999999999999E-2</v>
      </c>
      <c r="G30" s="146" t="s">
        <v>187</v>
      </c>
      <c r="H30" s="8"/>
      <c r="I30" s="45" t="s">
        <v>98</v>
      </c>
      <c r="J30" s="51">
        <v>100000</v>
      </c>
      <c r="K30" s="253" t="s">
        <v>148</v>
      </c>
      <c r="L30" s="61">
        <f>R30</f>
        <v>1.2279999999999999E-2</v>
      </c>
      <c r="M30" s="146" t="s">
        <v>187</v>
      </c>
      <c r="O30" s="61">
        <f t="shared" si="0"/>
        <v>1.1599999999999999E-2</v>
      </c>
      <c r="P30" s="61">
        <f>P22</f>
        <v>7.2000000000000005E-4</v>
      </c>
      <c r="Q30" s="61">
        <f>Q26</f>
        <v>-4.0000000000000003E-5</v>
      </c>
      <c r="R30" s="61">
        <f>SUM(O30:Q30)</f>
        <v>1.2279999999999999E-2</v>
      </c>
      <c r="S30" s="61"/>
    </row>
    <row r="31" spans="2:19" x14ac:dyDescent="0.35">
      <c r="B31" s="8"/>
      <c r="C31"/>
      <c r="D31"/>
      <c r="E31"/>
      <c r="F31" s="61"/>
      <c r="G31" s="146"/>
      <c r="H31" s="8"/>
      <c r="I31"/>
      <c r="J31"/>
      <c r="K31"/>
      <c r="M31" s="146"/>
      <c r="O31" s="61"/>
      <c r="P31" s="61"/>
      <c r="Q31" s="61"/>
      <c r="R31" s="61"/>
      <c r="S31" s="61"/>
    </row>
    <row r="32" spans="2:19" x14ac:dyDescent="0.35">
      <c r="B32" s="8"/>
      <c r="C32" s="73" t="s">
        <v>188</v>
      </c>
      <c r="D32"/>
      <c r="E32"/>
      <c r="F32" s="61"/>
      <c r="G32" s="146"/>
      <c r="H32" s="8"/>
      <c r="I32" s="73" t="s">
        <v>188</v>
      </c>
      <c r="J32"/>
      <c r="K32"/>
      <c r="M32" s="146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54">
        <f>'Rates Comp Year 1 25.25%'!L33</f>
        <v>5.6600000000000001E-3</v>
      </c>
      <c r="G33" s="252" t="s">
        <v>187</v>
      </c>
      <c r="H33" s="10"/>
      <c r="I33" s="81"/>
      <c r="J33" s="81"/>
      <c r="K33" s="81"/>
      <c r="L33" s="254">
        <f>R33</f>
        <v>6.0099999999999997E-3</v>
      </c>
      <c r="M33" s="252" t="s">
        <v>187</v>
      </c>
      <c r="O33" s="254">
        <f t="shared" si="0"/>
        <v>5.6600000000000001E-3</v>
      </c>
      <c r="P33" s="254">
        <f t="shared" ref="P33" si="7">ROUND(O$8*O33,5)</f>
        <v>3.5E-4</v>
      </c>
      <c r="Q33" s="61">
        <v>0</v>
      </c>
      <c r="R33" s="61">
        <f>SUM(O33:Q33)</f>
        <v>6.0099999999999997E-3</v>
      </c>
      <c r="S33" s="254"/>
    </row>
  </sheetData>
  <mergeCells count="5">
    <mergeCell ref="C3:M3"/>
    <mergeCell ref="C4:M4"/>
    <mergeCell ref="C5:M5"/>
    <mergeCell ref="C8:G8"/>
    <mergeCell ref="I8:M8"/>
  </mergeCells>
  <printOptions horizontalCentered="1" verticalCentered="1"/>
  <pageMargins left="0.55000000000000004" right="0.55000000000000004" top="0.45" bottom="0.5" header="0" footer="0"/>
  <pageSetup scale="95" orientation="landscape" horizontalDpi="4294967293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16701-215C-496C-B9F7-864A5AE085A2}">
  <sheetPr>
    <pageSetUpPr fitToPage="1"/>
  </sheetPr>
  <dimension ref="A1:P98"/>
  <sheetViews>
    <sheetView showGridLines="0" workbookViewId="0">
      <selection sqref="A1:K3"/>
    </sheetView>
  </sheetViews>
  <sheetFormatPr defaultColWidth="14.765625" defaultRowHeight="15.5" x14ac:dyDescent="0.35"/>
  <cols>
    <col min="2" max="3" width="10.765625" customWidth="1"/>
    <col min="8" max="9" width="14.765625" style="55"/>
  </cols>
  <sheetData>
    <row r="1" spans="1:14" ht="18.5" x14ac:dyDescent="0.45">
      <c r="A1" s="429" t="s">
        <v>451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50"/>
      <c r="M1" s="150"/>
      <c r="N1" s="150"/>
    </row>
    <row r="2" spans="1:14" ht="18.5" x14ac:dyDescent="0.35">
      <c r="A2" s="430" t="str">
        <f>'SAO - DSC'!C4</f>
        <v>Morgan County Water District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149"/>
      <c r="M2" s="149"/>
      <c r="N2" s="149"/>
    </row>
    <row r="3" spans="1:14" x14ac:dyDescent="0.3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1"/>
      <c r="M3" s="1"/>
      <c r="N3" s="1"/>
    </row>
    <row r="4" spans="1:14" ht="18.5" x14ac:dyDescent="0.45">
      <c r="A4" s="399" t="s">
        <v>95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150"/>
      <c r="M4" s="150"/>
      <c r="N4" s="150"/>
    </row>
    <row r="6" spans="1:14" x14ac:dyDescent="0.35">
      <c r="B6" s="73"/>
      <c r="C6" s="400" t="s">
        <v>174</v>
      </c>
      <c r="D6" s="400"/>
      <c r="F6" s="47" t="s">
        <v>175</v>
      </c>
      <c r="G6" s="47" t="s">
        <v>36</v>
      </c>
      <c r="H6" s="49" t="s">
        <v>34</v>
      </c>
    </row>
    <row r="7" spans="1:14" x14ac:dyDescent="0.35">
      <c r="B7" s="73"/>
      <c r="C7" s="396" t="s">
        <v>176</v>
      </c>
      <c r="D7" s="396"/>
      <c r="F7" s="51">
        <f>D32</f>
        <v>35191</v>
      </c>
      <c r="G7" s="51">
        <f>E37</f>
        <v>106282790</v>
      </c>
      <c r="H7" s="151">
        <f>H37</f>
        <v>2269155.9299999997</v>
      </c>
    </row>
    <row r="8" spans="1:14" x14ac:dyDescent="0.35">
      <c r="B8" s="73"/>
      <c r="C8" s="397" t="s">
        <v>177</v>
      </c>
      <c r="D8" s="397"/>
      <c r="F8" s="51">
        <f>D52</f>
        <v>200</v>
      </c>
      <c r="G8" s="51">
        <f>E56</f>
        <v>1076140</v>
      </c>
      <c r="H8" s="153">
        <f>H56</f>
        <v>26238.48</v>
      </c>
    </row>
    <row r="9" spans="1:14" x14ac:dyDescent="0.35">
      <c r="B9" s="73"/>
      <c r="C9" s="152" t="s">
        <v>178</v>
      </c>
      <c r="D9" s="152"/>
      <c r="F9" s="51">
        <f>D68</f>
        <v>96</v>
      </c>
      <c r="G9" s="51">
        <f>E70</f>
        <v>12676300</v>
      </c>
      <c r="H9" s="153">
        <f>H70</f>
        <v>162574.92000000001</v>
      </c>
    </row>
    <row r="10" spans="1:14" x14ac:dyDescent="0.35">
      <c r="B10" s="73"/>
      <c r="C10" s="152" t="s">
        <v>179</v>
      </c>
      <c r="D10" s="152"/>
      <c r="F10" s="51">
        <f>D82</f>
        <v>12</v>
      </c>
      <c r="G10" s="51">
        <f>E84</f>
        <v>1136710</v>
      </c>
      <c r="H10" s="153">
        <f>H84</f>
        <v>19725.21</v>
      </c>
    </row>
    <row r="11" spans="1:14" x14ac:dyDescent="0.35">
      <c r="B11" s="73"/>
      <c r="C11" s="152" t="s">
        <v>180</v>
      </c>
      <c r="D11" s="152"/>
      <c r="F11" s="48">
        <f>D96</f>
        <v>12</v>
      </c>
      <c r="G11" s="48">
        <f>E97</f>
        <v>6280000</v>
      </c>
      <c r="H11" s="154">
        <f>H97</f>
        <v>37742.800000000003</v>
      </c>
    </row>
    <row r="12" spans="1:14" x14ac:dyDescent="0.35">
      <c r="B12" s="73"/>
      <c r="C12" s="152" t="s">
        <v>181</v>
      </c>
      <c r="D12" s="152"/>
      <c r="F12" s="51">
        <f>SUM(F7:F11)</f>
        <v>35511</v>
      </c>
      <c r="G12" s="51">
        <f>SUM(G7:G11)</f>
        <v>127451940</v>
      </c>
      <c r="H12" s="153">
        <f>SUM(H7:H11)</f>
        <v>2515437.3399999994</v>
      </c>
    </row>
    <row r="13" spans="1:14" x14ac:dyDescent="0.35">
      <c r="B13" s="73"/>
      <c r="C13" s="152" t="s">
        <v>182</v>
      </c>
      <c r="D13" s="152"/>
      <c r="F13" s="45"/>
      <c r="G13" s="45"/>
      <c r="H13" s="154">
        <f>'ExBA - Beg. Rates'!H13</f>
        <v>-12088</v>
      </c>
    </row>
    <row r="14" spans="1:14" x14ac:dyDescent="0.35">
      <c r="B14" s="73"/>
      <c r="C14" s="152" t="s">
        <v>183</v>
      </c>
      <c r="D14" s="152"/>
      <c r="F14" s="45"/>
      <c r="G14" s="45"/>
      <c r="H14" s="153">
        <f>SUM(H12:H13)</f>
        <v>2503349.3399999994</v>
      </c>
      <c r="M14" s="153"/>
    </row>
    <row r="15" spans="1:14" x14ac:dyDescent="0.35">
      <c r="B15" s="73"/>
      <c r="C15" s="256"/>
      <c r="D15" s="152"/>
      <c r="F15" s="45"/>
      <c r="G15" s="45"/>
      <c r="H15" s="257"/>
      <c r="M15" s="153"/>
    </row>
    <row r="16" spans="1:14" x14ac:dyDescent="0.35">
      <c r="B16" s="73"/>
      <c r="C16" s="155"/>
      <c r="D16" s="155"/>
      <c r="H16" s="257"/>
      <c r="L16" s="27"/>
      <c r="M16" s="153"/>
    </row>
    <row r="17" spans="1:16" x14ac:dyDescent="0.35">
      <c r="B17" s="73"/>
      <c r="L17" s="27"/>
      <c r="M17" s="73"/>
    </row>
    <row r="18" spans="1:16" x14ac:dyDescent="0.35">
      <c r="B18" s="73"/>
      <c r="L18" s="27"/>
      <c r="M18" s="73"/>
    </row>
    <row r="19" spans="1:16" x14ac:dyDescent="0.35">
      <c r="A19" t="s">
        <v>185</v>
      </c>
      <c r="B19" s="62" t="s">
        <v>322</v>
      </c>
      <c r="M19" s="255"/>
    </row>
    <row r="20" spans="1:16" x14ac:dyDescent="0.35">
      <c r="B20" s="45"/>
      <c r="C20" s="45"/>
      <c r="D20" s="45"/>
      <c r="E20" s="45"/>
      <c r="F20" s="45" t="s">
        <v>53</v>
      </c>
      <c r="G20" s="45" t="s">
        <v>54</v>
      </c>
      <c r="H20" s="46" t="s">
        <v>54</v>
      </c>
      <c r="I20" s="46" t="s">
        <v>54</v>
      </c>
      <c r="J20" s="45" t="s">
        <v>98</v>
      </c>
      <c r="K20" s="45" t="s">
        <v>59</v>
      </c>
      <c r="L20" s="45"/>
      <c r="M20" s="45"/>
      <c r="N20" s="45"/>
    </row>
    <row r="21" spans="1:16" x14ac:dyDescent="0.35">
      <c r="B21" s="45"/>
      <c r="C21" s="47" t="s">
        <v>146</v>
      </c>
      <c r="D21" s="47" t="s">
        <v>147</v>
      </c>
      <c r="E21" s="47" t="s">
        <v>148</v>
      </c>
      <c r="F21" s="157">
        <f>C22</f>
        <v>2000</v>
      </c>
      <c r="G21" s="48">
        <f>C23</f>
        <v>3000</v>
      </c>
      <c r="H21" s="49">
        <f>C25</f>
        <v>5000</v>
      </c>
      <c r="I21" s="49">
        <f>C25</f>
        <v>5000</v>
      </c>
      <c r="J21" s="50">
        <f>SUM(F21:H21)</f>
        <v>10000</v>
      </c>
      <c r="K21" s="47"/>
      <c r="L21" s="45"/>
      <c r="M21" s="45"/>
      <c r="N21" s="45"/>
    </row>
    <row r="22" spans="1:16" x14ac:dyDescent="0.35">
      <c r="B22" s="45" t="s">
        <v>53</v>
      </c>
      <c r="C22" s="46">
        <v>2000</v>
      </c>
      <c r="D22" s="51">
        <v>14898</v>
      </c>
      <c r="E22" s="51">
        <v>14083390</v>
      </c>
      <c r="F22" s="51">
        <f>E22</f>
        <v>14083390</v>
      </c>
      <c r="G22" s="51">
        <v>0</v>
      </c>
      <c r="H22" s="52">
        <v>0</v>
      </c>
      <c r="I22" s="52"/>
      <c r="J22" s="51">
        <v>0</v>
      </c>
      <c r="K22" s="51">
        <f>SUM(F22:J22)</f>
        <v>14083390</v>
      </c>
      <c r="L22" s="51"/>
      <c r="M22" s="51"/>
      <c r="N22" s="51"/>
    </row>
    <row r="23" spans="1:16" x14ac:dyDescent="0.35">
      <c r="B23" s="45" t="s">
        <v>54</v>
      </c>
      <c r="C23" s="46">
        <v>3000</v>
      </c>
      <c r="D23" s="51">
        <v>15472</v>
      </c>
      <c r="E23" s="51">
        <v>49891280</v>
      </c>
      <c r="F23" s="51">
        <f>$D23*F$21</f>
        <v>30944000</v>
      </c>
      <c r="G23" s="51">
        <f>E23-F23</f>
        <v>18947280</v>
      </c>
      <c r="H23" s="52">
        <v>0</v>
      </c>
      <c r="I23" s="52"/>
      <c r="J23" s="51">
        <v>0</v>
      </c>
      <c r="K23" s="51">
        <f t="shared" ref="K23:K26" si="0">SUM(F23:J23)</f>
        <v>49891280</v>
      </c>
      <c r="L23" s="51"/>
      <c r="M23" s="51"/>
      <c r="N23" s="51"/>
      <c r="O23" s="51"/>
      <c r="P23" s="51"/>
    </row>
    <row r="24" spans="1:16" x14ac:dyDescent="0.35">
      <c r="B24" s="45" t="s">
        <v>54</v>
      </c>
      <c r="C24" s="46">
        <v>5000</v>
      </c>
      <c r="D24" s="51">
        <v>3998</v>
      </c>
      <c r="E24" s="51">
        <v>26273360</v>
      </c>
      <c r="F24" s="51">
        <f>$D24*F$21</f>
        <v>7996000</v>
      </c>
      <c r="G24" s="51">
        <f>$D24*G$21</f>
        <v>11994000</v>
      </c>
      <c r="H24" s="52">
        <f>E24-F24-G24</f>
        <v>6283360</v>
      </c>
      <c r="I24" s="52"/>
      <c r="J24" s="51"/>
      <c r="K24" s="51">
        <f t="shared" si="0"/>
        <v>26273360</v>
      </c>
      <c r="L24" s="51"/>
      <c r="M24" s="51"/>
      <c r="N24" s="51"/>
    </row>
    <row r="25" spans="1:16" x14ac:dyDescent="0.35">
      <c r="B25" s="45" t="s">
        <v>54</v>
      </c>
      <c r="C25" s="46">
        <v>5000</v>
      </c>
      <c r="D25" s="51">
        <v>504</v>
      </c>
      <c r="E25" s="51">
        <v>5985670</v>
      </c>
      <c r="F25" s="51">
        <f t="shared" ref="F25:I26" si="1">$D25*F$21</f>
        <v>1008000</v>
      </c>
      <c r="G25" s="51">
        <f t="shared" si="1"/>
        <v>1512000</v>
      </c>
      <c r="H25" s="51">
        <f t="shared" si="1"/>
        <v>2520000</v>
      </c>
      <c r="I25" s="51">
        <f>E25-F25-G25-H25</f>
        <v>945670</v>
      </c>
      <c r="J25" s="51">
        <v>0</v>
      </c>
      <c r="K25" s="51">
        <f t="shared" si="0"/>
        <v>5985670</v>
      </c>
      <c r="L25" s="51"/>
      <c r="M25" s="51"/>
      <c r="N25" s="51"/>
    </row>
    <row r="26" spans="1:16" x14ac:dyDescent="0.35">
      <c r="B26" s="45" t="s">
        <v>98</v>
      </c>
      <c r="C26" s="46">
        <f>SUM(C22:C25)</f>
        <v>15000</v>
      </c>
      <c r="D26" s="51">
        <v>319</v>
      </c>
      <c r="E26" s="51">
        <v>10049090</v>
      </c>
      <c r="F26" s="51">
        <f t="shared" si="1"/>
        <v>638000</v>
      </c>
      <c r="G26" s="51">
        <f t="shared" si="1"/>
        <v>957000</v>
      </c>
      <c r="H26" s="51">
        <f t="shared" si="1"/>
        <v>1595000</v>
      </c>
      <c r="I26" s="51">
        <f t="shared" si="1"/>
        <v>1595000</v>
      </c>
      <c r="J26" s="51">
        <f>E26-F26-G26-H26-I26</f>
        <v>5264090</v>
      </c>
      <c r="K26" s="51">
        <f t="shared" si="0"/>
        <v>10049090</v>
      </c>
      <c r="L26" s="51"/>
      <c r="M26" s="51"/>
      <c r="N26" s="51"/>
    </row>
    <row r="27" spans="1:16" ht="16" thickBot="1" x14ac:dyDescent="0.4">
      <c r="B27" s="45"/>
      <c r="C27" t="s">
        <v>0</v>
      </c>
      <c r="D27" s="53">
        <f t="shared" ref="D27:K27" si="2">SUM(D22:D26)</f>
        <v>35191</v>
      </c>
      <c r="E27" s="53">
        <f t="shared" si="2"/>
        <v>106282790</v>
      </c>
      <c r="F27" s="53">
        <f t="shared" si="2"/>
        <v>54669390</v>
      </c>
      <c r="G27" s="53">
        <f t="shared" si="2"/>
        <v>33410280</v>
      </c>
      <c r="H27" s="54">
        <f t="shared" si="2"/>
        <v>10398360</v>
      </c>
      <c r="I27" s="54">
        <f t="shared" si="2"/>
        <v>2540670</v>
      </c>
      <c r="J27" s="53">
        <f t="shared" si="2"/>
        <v>5264090</v>
      </c>
      <c r="K27" s="53">
        <f t="shared" si="2"/>
        <v>106282790</v>
      </c>
      <c r="L27" s="57"/>
      <c r="M27" s="57"/>
      <c r="N27" s="57"/>
    </row>
    <row r="28" spans="1:16" ht="16" thickTop="1" x14ac:dyDescent="0.35"/>
    <row r="30" spans="1:16" x14ac:dyDescent="0.35">
      <c r="B30" s="395" t="s">
        <v>149</v>
      </c>
      <c r="C30" s="395"/>
      <c r="D30" s="395"/>
      <c r="E30" s="395"/>
      <c r="F30" s="395"/>
      <c r="G30" s="395"/>
      <c r="H30" s="395"/>
    </row>
    <row r="31" spans="1:16" x14ac:dyDescent="0.35">
      <c r="C31" s="56"/>
      <c r="D31" s="158" t="s">
        <v>147</v>
      </c>
      <c r="E31" s="158" t="s">
        <v>148</v>
      </c>
      <c r="F31" s="395" t="s">
        <v>150</v>
      </c>
      <c r="G31" s="395"/>
      <c r="H31" s="158" t="s">
        <v>34</v>
      </c>
    </row>
    <row r="32" spans="1:16" x14ac:dyDescent="0.35">
      <c r="B32" s="45" t="s">
        <v>53</v>
      </c>
      <c r="C32" s="51">
        <f>C22</f>
        <v>2000</v>
      </c>
      <c r="D32" s="57">
        <f>D27</f>
        <v>35191</v>
      </c>
      <c r="E32" s="57">
        <f>F27</f>
        <v>54669390</v>
      </c>
      <c r="F32" s="58">
        <f>'Rates Comp Year 2 6.21%'!L12</f>
        <v>42.48</v>
      </c>
      <c r="G32" t="s">
        <v>186</v>
      </c>
      <c r="H32" s="58">
        <f>F32*D32</f>
        <v>1494913.68</v>
      </c>
    </row>
    <row r="33" spans="1:16" x14ac:dyDescent="0.35">
      <c r="B33" s="45" t="s">
        <v>54</v>
      </c>
      <c r="C33" s="51">
        <f>C23</f>
        <v>3000</v>
      </c>
      <c r="E33" s="57">
        <f>G27</f>
        <v>33410280</v>
      </c>
      <c r="F33" s="371">
        <f>'Rates Comp Year 2 6.21%'!L13</f>
        <v>1.5690000000000003E-2</v>
      </c>
      <c r="G33" t="s">
        <v>187</v>
      </c>
      <c r="H33" s="160">
        <f>ROUND(E33*F33,2)</f>
        <v>524207.29</v>
      </c>
      <c r="P33" s="161"/>
    </row>
    <row r="34" spans="1:16" x14ac:dyDescent="0.35">
      <c r="B34" s="45" t="s">
        <v>54</v>
      </c>
      <c r="C34" s="51">
        <f>C25</f>
        <v>5000</v>
      </c>
      <c r="E34" s="57">
        <f>H27</f>
        <v>10398360</v>
      </c>
      <c r="F34" s="371">
        <f>'Rates Comp Year 2 6.21%'!L14</f>
        <v>1.4549999999999999E-2</v>
      </c>
      <c r="G34" t="s">
        <v>187</v>
      </c>
      <c r="H34" s="160">
        <f>ROUND(E34*F34,2)</f>
        <v>151296.14000000001</v>
      </c>
      <c r="P34" s="161"/>
    </row>
    <row r="35" spans="1:16" x14ac:dyDescent="0.35">
      <c r="B35" s="45" t="s">
        <v>54</v>
      </c>
      <c r="C35" s="51">
        <f>C26</f>
        <v>15000</v>
      </c>
      <c r="E35" s="57">
        <f>I27</f>
        <v>2540670</v>
      </c>
      <c r="F35" s="371">
        <f>'Rates Comp Year 2 6.21%'!L15</f>
        <v>1.342E-2</v>
      </c>
      <c r="G35" t="s">
        <v>187</v>
      </c>
      <c r="H35" s="160">
        <f>ROUND(E35*F35,2)</f>
        <v>34095.79</v>
      </c>
      <c r="P35" s="161"/>
    </row>
    <row r="36" spans="1:16" x14ac:dyDescent="0.35">
      <c r="B36" s="45" t="s">
        <v>98</v>
      </c>
      <c r="C36" s="51">
        <f>C26</f>
        <v>15000</v>
      </c>
      <c r="D36" s="56"/>
      <c r="E36" s="59">
        <f>J26</f>
        <v>5264090</v>
      </c>
      <c r="F36" s="371">
        <f>'Rates Comp Year 2 6.21%'!L16</f>
        <v>1.2279999999999999E-2</v>
      </c>
      <c r="G36" t="s">
        <v>187</v>
      </c>
      <c r="H36" s="160">
        <f>ROUND(E36*F36,2)</f>
        <v>64643.03</v>
      </c>
      <c r="P36" s="161"/>
    </row>
    <row r="37" spans="1:16" ht="16" thickBot="1" x14ac:dyDescent="0.4">
      <c r="C37" t="s">
        <v>37</v>
      </c>
      <c r="E37" s="53">
        <f>SUM(E32:E36)</f>
        <v>106282790</v>
      </c>
      <c r="H37" s="162">
        <f>SUM(H32:H36)</f>
        <v>2269155.9299999997</v>
      </c>
      <c r="K37" t="s">
        <v>151</v>
      </c>
    </row>
    <row r="38" spans="1:16" ht="16" thickTop="1" x14ac:dyDescent="0.35"/>
    <row r="40" spans="1:16" x14ac:dyDescent="0.35">
      <c r="A40" t="s">
        <v>185</v>
      </c>
      <c r="B40" s="73" t="s">
        <v>177</v>
      </c>
      <c r="I40"/>
    </row>
    <row r="41" spans="1:16" x14ac:dyDescent="0.35">
      <c r="B41" s="45"/>
      <c r="C41" s="45"/>
      <c r="D41" s="45"/>
      <c r="E41" s="45"/>
      <c r="F41" s="45" t="s">
        <v>53</v>
      </c>
      <c r="G41" s="45" t="s">
        <v>54</v>
      </c>
      <c r="H41" s="46" t="s">
        <v>54</v>
      </c>
      <c r="I41" s="45" t="s">
        <v>98</v>
      </c>
      <c r="J41" s="45" t="s">
        <v>59</v>
      </c>
    </row>
    <row r="42" spans="1:16" x14ac:dyDescent="0.35">
      <c r="B42" s="45"/>
      <c r="C42" s="47" t="s">
        <v>146</v>
      </c>
      <c r="D42" s="47" t="s">
        <v>147</v>
      </c>
      <c r="E42" s="47" t="s">
        <v>148</v>
      </c>
      <c r="F42" s="48">
        <f>C43</f>
        <v>5000</v>
      </c>
      <c r="G42" s="48">
        <f>C44</f>
        <v>5000</v>
      </c>
      <c r="H42" s="49">
        <f>C44</f>
        <v>5000</v>
      </c>
      <c r="I42" s="50">
        <f>SUM(F42:H42)</f>
        <v>15000</v>
      </c>
      <c r="J42" s="47"/>
    </row>
    <row r="43" spans="1:16" x14ac:dyDescent="0.35">
      <c r="B43" s="45" t="s">
        <v>53</v>
      </c>
      <c r="C43" s="46">
        <v>5000</v>
      </c>
      <c r="D43" s="51">
        <v>173</v>
      </c>
      <c r="E43" s="51">
        <v>291950</v>
      </c>
      <c r="F43" s="51">
        <f>E43</f>
        <v>291950</v>
      </c>
      <c r="G43" s="51">
        <v>0</v>
      </c>
      <c r="H43" s="52">
        <v>0</v>
      </c>
      <c r="I43" s="51">
        <v>0</v>
      </c>
      <c r="J43" s="51">
        <f>SUM(F43:I43)</f>
        <v>291950</v>
      </c>
    </row>
    <row r="44" spans="1:16" x14ac:dyDescent="0.35">
      <c r="B44" s="45" t="s">
        <v>54</v>
      </c>
      <c r="C44" s="46">
        <v>5000</v>
      </c>
      <c r="D44" s="51">
        <v>15</v>
      </c>
      <c r="E44" s="51">
        <v>103990</v>
      </c>
      <c r="F44" s="51">
        <f>$D44*F$42</f>
        <v>75000</v>
      </c>
      <c r="G44" s="51">
        <f>E44-F44</f>
        <v>28990</v>
      </c>
      <c r="H44" s="52">
        <v>0</v>
      </c>
      <c r="I44" s="51">
        <v>0</v>
      </c>
      <c r="J44" s="51">
        <f>SUM(F44:I44)</f>
        <v>103990</v>
      </c>
      <c r="K44" s="51"/>
      <c r="L44" s="51"/>
      <c r="M44" s="51"/>
      <c r="N44" s="51"/>
      <c r="O44" s="51"/>
    </row>
    <row r="45" spans="1:16" x14ac:dyDescent="0.35">
      <c r="B45" s="45" t="s">
        <v>54</v>
      </c>
      <c r="C45" s="46">
        <v>5000</v>
      </c>
      <c r="D45" s="51">
        <v>2</v>
      </c>
      <c r="E45" s="51">
        <v>24750</v>
      </c>
      <c r="F45" s="51">
        <f t="shared" ref="F45:F46" si="3">$D45*F$42</f>
        <v>10000</v>
      </c>
      <c r="G45" s="51">
        <f>$D45*G$42</f>
        <v>10000</v>
      </c>
      <c r="H45" s="52">
        <f>E45-F45-G45</f>
        <v>4750</v>
      </c>
      <c r="I45" s="51"/>
      <c r="J45" s="51">
        <f>SUM(F45:I45)</f>
        <v>24750</v>
      </c>
    </row>
    <row r="46" spans="1:16" x14ac:dyDescent="0.35">
      <c r="B46" s="45" t="s">
        <v>98</v>
      </c>
      <c r="C46" s="46">
        <f>SUM(C43:C45)</f>
        <v>15000</v>
      </c>
      <c r="D46" s="51">
        <v>10</v>
      </c>
      <c r="E46" s="51">
        <v>655450</v>
      </c>
      <c r="F46" s="51">
        <f t="shared" si="3"/>
        <v>50000</v>
      </c>
      <c r="G46" s="51">
        <f>$D46*G$42</f>
        <v>50000</v>
      </c>
      <c r="H46" s="51">
        <f>$D46*H$42</f>
        <v>50000</v>
      </c>
      <c r="I46" s="51">
        <f>E46-F46-G46-H46</f>
        <v>505450</v>
      </c>
      <c r="J46" s="51">
        <f>SUM(F46:I46)</f>
        <v>655450</v>
      </c>
    </row>
    <row r="47" spans="1:16" ht="16" thickBot="1" x14ac:dyDescent="0.4">
      <c r="B47" s="45"/>
      <c r="C47" t="s">
        <v>0</v>
      </c>
      <c r="D47" s="53">
        <f t="shared" ref="D47:J47" si="4">SUM(D43:D46)</f>
        <v>200</v>
      </c>
      <c r="E47" s="53">
        <f t="shared" si="4"/>
        <v>1076140</v>
      </c>
      <c r="F47" s="53">
        <f t="shared" si="4"/>
        <v>426950</v>
      </c>
      <c r="G47" s="53">
        <f t="shared" si="4"/>
        <v>88990</v>
      </c>
      <c r="H47" s="54">
        <f t="shared" si="4"/>
        <v>54750</v>
      </c>
      <c r="I47" s="53">
        <f t="shared" si="4"/>
        <v>505450</v>
      </c>
      <c r="J47" s="53">
        <f t="shared" si="4"/>
        <v>1076140</v>
      </c>
    </row>
    <row r="48" spans="1:16" ht="16" thickTop="1" x14ac:dyDescent="0.35">
      <c r="I48"/>
    </row>
    <row r="49" spans="1:16" x14ac:dyDescent="0.35">
      <c r="I49"/>
    </row>
    <row r="50" spans="1:16" x14ac:dyDescent="0.35">
      <c r="B50" s="395" t="s">
        <v>149</v>
      </c>
      <c r="C50" s="395"/>
      <c r="D50" s="395"/>
      <c r="E50" s="395"/>
      <c r="F50" s="395"/>
      <c r="G50" s="395"/>
      <c r="H50" s="395"/>
      <c r="I50"/>
    </row>
    <row r="51" spans="1:16" x14ac:dyDescent="0.35">
      <c r="C51" s="56"/>
      <c r="D51" s="158" t="s">
        <v>147</v>
      </c>
      <c r="E51" s="158" t="s">
        <v>148</v>
      </c>
      <c r="F51" s="395" t="s">
        <v>150</v>
      </c>
      <c r="G51" s="395"/>
      <c r="H51" s="158" t="s">
        <v>34</v>
      </c>
      <c r="I51"/>
    </row>
    <row r="52" spans="1:16" x14ac:dyDescent="0.35">
      <c r="B52" s="45" t="s">
        <v>53</v>
      </c>
      <c r="C52" s="51">
        <f>C43</f>
        <v>5000</v>
      </c>
      <c r="D52" s="57">
        <f>D47</f>
        <v>200</v>
      </c>
      <c r="E52" s="57">
        <f>F47</f>
        <v>426950</v>
      </c>
      <c r="F52" s="58">
        <f>'Rates Comp Year 2 6.21%'!L19</f>
        <v>90.01</v>
      </c>
      <c r="G52" t="s">
        <v>186</v>
      </c>
      <c r="H52" s="58">
        <f>F52*D52</f>
        <v>18002</v>
      </c>
      <c r="I52"/>
    </row>
    <row r="53" spans="1:16" x14ac:dyDescent="0.35">
      <c r="B53" s="45" t="s">
        <v>54</v>
      </c>
      <c r="C53" s="51">
        <f>C44</f>
        <v>5000</v>
      </c>
      <c r="E53" s="57">
        <f>G47</f>
        <v>88990</v>
      </c>
      <c r="F53" s="371">
        <f>'Rates Comp Year 2 6.21%'!L20</f>
        <v>1.4549999999999999E-2</v>
      </c>
      <c r="G53" t="s">
        <v>187</v>
      </c>
      <c r="H53" s="160">
        <f>ROUND(E53*F53,2)</f>
        <v>1294.8</v>
      </c>
      <c r="I53"/>
      <c r="P53" s="161"/>
    </row>
    <row r="54" spans="1:16" x14ac:dyDescent="0.35">
      <c r="B54" s="45" t="s">
        <v>54</v>
      </c>
      <c r="C54" s="51">
        <f>C45</f>
        <v>5000</v>
      </c>
      <c r="E54" s="57">
        <f>H47</f>
        <v>54750</v>
      </c>
      <c r="F54" s="371">
        <f>'Rates Comp Year 2 6.21%'!L21</f>
        <v>1.342E-2</v>
      </c>
      <c r="G54" t="s">
        <v>187</v>
      </c>
      <c r="H54" s="160">
        <f>ROUND(E54*F54,2)</f>
        <v>734.75</v>
      </c>
      <c r="I54"/>
      <c r="P54" s="161"/>
    </row>
    <row r="55" spans="1:16" x14ac:dyDescent="0.35">
      <c r="B55" s="45" t="s">
        <v>98</v>
      </c>
      <c r="C55" s="51">
        <f>C46</f>
        <v>15000</v>
      </c>
      <c r="D55" s="56"/>
      <c r="E55" s="59">
        <f>I46</f>
        <v>505450</v>
      </c>
      <c r="F55" s="371">
        <f>'Rates Comp Year 2 6.21%'!L22</f>
        <v>1.2279999999999999E-2</v>
      </c>
      <c r="G55" t="s">
        <v>187</v>
      </c>
      <c r="H55" s="160">
        <f>ROUND(E55*F55,2)</f>
        <v>6206.93</v>
      </c>
      <c r="I55"/>
      <c r="P55" s="161"/>
    </row>
    <row r="56" spans="1:16" ht="16" thickBot="1" x14ac:dyDescent="0.4">
      <c r="C56" t="s">
        <v>37</v>
      </c>
      <c r="E56" s="53">
        <f>SUM(E52:E55)</f>
        <v>1076140</v>
      </c>
      <c r="H56" s="162">
        <f>SUM(H52:H55)</f>
        <v>26238.48</v>
      </c>
      <c r="I56"/>
      <c r="J56" t="s">
        <v>151</v>
      </c>
    </row>
    <row r="57" spans="1:16" ht="16" thickTop="1" x14ac:dyDescent="0.35"/>
    <row r="58" spans="1:16" x14ac:dyDescent="0.35">
      <c r="A58" t="s">
        <v>185</v>
      </c>
      <c r="B58" s="73" t="s">
        <v>178</v>
      </c>
      <c r="H58"/>
      <c r="I58"/>
    </row>
    <row r="59" spans="1:16" x14ac:dyDescent="0.35">
      <c r="B59" s="45"/>
      <c r="C59" s="45"/>
      <c r="D59" s="45"/>
      <c r="E59" s="45"/>
      <c r="F59" s="45" t="s">
        <v>53</v>
      </c>
      <c r="G59" s="45" t="s">
        <v>98</v>
      </c>
      <c r="H59" s="45" t="s">
        <v>59</v>
      </c>
      <c r="I59"/>
    </row>
    <row r="60" spans="1:16" x14ac:dyDescent="0.35">
      <c r="B60" s="45"/>
      <c r="C60" s="47" t="s">
        <v>146</v>
      </c>
      <c r="D60" s="47" t="s">
        <v>147</v>
      </c>
      <c r="E60" s="47" t="s">
        <v>148</v>
      </c>
      <c r="F60" s="48">
        <f>C61</f>
        <v>15000</v>
      </c>
      <c r="G60" s="50">
        <f>SUM(F60:F60)</f>
        <v>15000</v>
      </c>
      <c r="H60" s="47"/>
      <c r="I60"/>
    </row>
    <row r="61" spans="1:16" x14ac:dyDescent="0.35">
      <c r="B61" s="45" t="s">
        <v>53</v>
      </c>
      <c r="C61" s="46">
        <v>15000</v>
      </c>
      <c r="D61" s="51">
        <v>24</v>
      </c>
      <c r="E61" s="51">
        <v>145730</v>
      </c>
      <c r="F61" s="51">
        <f>E61</f>
        <v>145730</v>
      </c>
      <c r="G61" s="51">
        <v>0</v>
      </c>
      <c r="H61" s="51">
        <f>SUM(F61:G61)</f>
        <v>145730</v>
      </c>
      <c r="I61"/>
    </row>
    <row r="62" spans="1:16" x14ac:dyDescent="0.35">
      <c r="B62" s="45" t="s">
        <v>98</v>
      </c>
      <c r="C62" s="46">
        <f>SUM(C61:C61)</f>
        <v>15000</v>
      </c>
      <c r="D62" s="51">
        <v>72</v>
      </c>
      <c r="E62" s="51">
        <v>12530570</v>
      </c>
      <c r="F62" s="51">
        <f>$D62*F$60</f>
        <v>1080000</v>
      </c>
      <c r="G62" s="51">
        <f>E62-F62</f>
        <v>11450570</v>
      </c>
      <c r="H62" s="51">
        <f>SUM(F62:G62)</f>
        <v>12530570</v>
      </c>
      <c r="I62"/>
    </row>
    <row r="63" spans="1:16" ht="16" thickBot="1" x14ac:dyDescent="0.4">
      <c r="B63" s="45"/>
      <c r="C63" t="s">
        <v>0</v>
      </c>
      <c r="D63" s="53">
        <f>SUM(D61:D62)</f>
        <v>96</v>
      </c>
      <c r="E63" s="53">
        <f>SUM(E61:E62)</f>
        <v>12676300</v>
      </c>
      <c r="F63" s="53">
        <f>SUM(F61:F62)</f>
        <v>1225730</v>
      </c>
      <c r="G63" s="53">
        <f>SUM(G61:G62)</f>
        <v>11450570</v>
      </c>
      <c r="H63" s="53">
        <f>SUM(H61:H62)</f>
        <v>12676300</v>
      </c>
      <c r="I63"/>
    </row>
    <row r="64" spans="1:16" ht="16" thickTop="1" x14ac:dyDescent="0.35">
      <c r="H64"/>
      <c r="I64"/>
    </row>
    <row r="65" spans="1:16" x14ac:dyDescent="0.35">
      <c r="H65"/>
      <c r="I65"/>
    </row>
    <row r="66" spans="1:16" x14ac:dyDescent="0.35">
      <c r="B66" s="395" t="s">
        <v>149</v>
      </c>
      <c r="C66" s="395"/>
      <c r="D66" s="395"/>
      <c r="E66" s="395"/>
      <c r="F66" s="395"/>
      <c r="G66" s="395"/>
      <c r="H66" s="395"/>
      <c r="I66"/>
    </row>
    <row r="67" spans="1:16" x14ac:dyDescent="0.35">
      <c r="C67" s="56"/>
      <c r="D67" s="158" t="s">
        <v>147</v>
      </c>
      <c r="E67" s="158" t="s">
        <v>148</v>
      </c>
      <c r="F67" s="395" t="s">
        <v>150</v>
      </c>
      <c r="G67" s="395"/>
      <c r="H67" s="158" t="s">
        <v>34</v>
      </c>
      <c r="I67"/>
    </row>
    <row r="68" spans="1:16" x14ac:dyDescent="0.35">
      <c r="B68" s="45" t="s">
        <v>53</v>
      </c>
      <c r="C68" s="51">
        <f>C61</f>
        <v>15000</v>
      </c>
      <c r="D68" s="57">
        <f>D63</f>
        <v>96</v>
      </c>
      <c r="E68" s="57">
        <f>F63</f>
        <v>1225730</v>
      </c>
      <c r="F68" s="58">
        <f>'Rates Comp Year 2 6.21%'!L25</f>
        <v>228.77</v>
      </c>
      <c r="G68" t="s">
        <v>186</v>
      </c>
      <c r="H68" s="58">
        <f>F68*D68</f>
        <v>21961.920000000002</v>
      </c>
      <c r="I68"/>
    </row>
    <row r="69" spans="1:16" x14ac:dyDescent="0.35">
      <c r="B69" s="45" t="s">
        <v>98</v>
      </c>
      <c r="C69" s="51">
        <f>C62</f>
        <v>15000</v>
      </c>
      <c r="D69" s="56"/>
      <c r="E69" s="59">
        <f>G62</f>
        <v>11450570</v>
      </c>
      <c r="F69" s="371">
        <f>'Rates Comp Year 2 6.21%'!L26</f>
        <v>1.2279999999999999E-2</v>
      </c>
      <c r="G69" t="s">
        <v>187</v>
      </c>
      <c r="H69" s="160">
        <f>ROUND(E69*F69,2)</f>
        <v>140613</v>
      </c>
      <c r="I69"/>
      <c r="P69" s="161"/>
    </row>
    <row r="70" spans="1:16" ht="16" thickBot="1" x14ac:dyDescent="0.4">
      <c r="C70" t="s">
        <v>37</v>
      </c>
      <c r="E70" s="53">
        <f>SUM(E68:E69)</f>
        <v>12676300</v>
      </c>
      <c r="H70" s="162">
        <f>SUM(H68:H69)</f>
        <v>162574.92000000001</v>
      </c>
      <c r="I70"/>
    </row>
    <row r="71" spans="1:16" ht="16" thickTop="1" x14ac:dyDescent="0.35"/>
    <row r="72" spans="1:16" x14ac:dyDescent="0.35">
      <c r="A72" t="s">
        <v>185</v>
      </c>
      <c r="B72" s="73" t="s">
        <v>179</v>
      </c>
      <c r="H72"/>
      <c r="I72"/>
    </row>
    <row r="73" spans="1:16" x14ac:dyDescent="0.35">
      <c r="B73" s="45"/>
      <c r="C73" s="45"/>
      <c r="D73" s="45"/>
      <c r="E73" s="45"/>
      <c r="F73" s="45" t="s">
        <v>53</v>
      </c>
      <c r="G73" s="45" t="s">
        <v>98</v>
      </c>
      <c r="H73" s="45" t="s">
        <v>59</v>
      </c>
      <c r="I73"/>
    </row>
    <row r="74" spans="1:16" x14ac:dyDescent="0.35">
      <c r="B74" s="45"/>
      <c r="C74" s="47" t="s">
        <v>146</v>
      </c>
      <c r="D74" s="47" t="s">
        <v>147</v>
      </c>
      <c r="E74" s="47" t="s">
        <v>148</v>
      </c>
      <c r="F74" s="48">
        <f>C75</f>
        <v>100000</v>
      </c>
      <c r="G74" s="50">
        <f>SUM(F74:F74)</f>
        <v>100000</v>
      </c>
      <c r="H74" s="47"/>
      <c r="I74"/>
    </row>
    <row r="75" spans="1:16" x14ac:dyDescent="0.35">
      <c r="B75" s="45" t="s">
        <v>53</v>
      </c>
      <c r="C75" s="46">
        <v>100000</v>
      </c>
      <c r="D75" s="51">
        <v>8</v>
      </c>
      <c r="E75" s="51">
        <v>382380</v>
      </c>
      <c r="F75" s="51">
        <f>E75</f>
        <v>382380</v>
      </c>
      <c r="G75" s="51">
        <v>0</v>
      </c>
      <c r="H75" s="51">
        <f>SUM(F75:G75)</f>
        <v>382380</v>
      </c>
      <c r="I75"/>
    </row>
    <row r="76" spans="1:16" x14ac:dyDescent="0.35">
      <c r="B76" s="45" t="s">
        <v>98</v>
      </c>
      <c r="C76" s="46">
        <f>SUM(C75:C75)</f>
        <v>100000</v>
      </c>
      <c r="D76" s="51">
        <v>4</v>
      </c>
      <c r="E76" s="51">
        <v>754330</v>
      </c>
      <c r="F76" s="51">
        <f>$D76*F$74</f>
        <v>400000</v>
      </c>
      <c r="G76" s="51">
        <f>E76-F76</f>
        <v>354330</v>
      </c>
      <c r="H76" s="51">
        <f>SUM(F76:G76)</f>
        <v>754330</v>
      </c>
      <c r="I76"/>
    </row>
    <row r="77" spans="1:16" ht="16" thickBot="1" x14ac:dyDescent="0.4">
      <c r="B77" s="45"/>
      <c r="C77" t="s">
        <v>0</v>
      </c>
      <c r="D77" s="53">
        <f>SUM(D75:D76)</f>
        <v>12</v>
      </c>
      <c r="E77" s="53">
        <f>SUM(E75:E76)</f>
        <v>1136710</v>
      </c>
      <c r="F77" s="53">
        <f>SUM(F75:F76)</f>
        <v>782380</v>
      </c>
      <c r="G77" s="53">
        <f>SUM(G75:G76)</f>
        <v>354330</v>
      </c>
      <c r="H77" s="53">
        <f>SUM(H75:H76)</f>
        <v>1136710</v>
      </c>
      <c r="I77"/>
    </row>
    <row r="78" spans="1:16" ht="16" thickTop="1" x14ac:dyDescent="0.35">
      <c r="H78"/>
      <c r="I78"/>
    </row>
    <row r="79" spans="1:16" x14ac:dyDescent="0.35">
      <c r="H79"/>
      <c r="I79"/>
    </row>
    <row r="80" spans="1:16" x14ac:dyDescent="0.35">
      <c r="B80" s="395" t="s">
        <v>149</v>
      </c>
      <c r="C80" s="395"/>
      <c r="D80" s="395"/>
      <c r="E80" s="395"/>
      <c r="F80" s="395"/>
      <c r="G80" s="395"/>
      <c r="H80" s="395"/>
      <c r="I80"/>
    </row>
    <row r="81" spans="1:16" x14ac:dyDescent="0.35">
      <c r="C81" s="56"/>
      <c r="D81" s="158" t="s">
        <v>147</v>
      </c>
      <c r="E81" s="158" t="s">
        <v>148</v>
      </c>
      <c r="F81" s="395" t="s">
        <v>150</v>
      </c>
      <c r="G81" s="395"/>
      <c r="H81" s="158" t="s">
        <v>34</v>
      </c>
      <c r="I81"/>
    </row>
    <row r="82" spans="1:16" x14ac:dyDescent="0.35">
      <c r="B82" s="45" t="s">
        <v>53</v>
      </c>
      <c r="C82" s="51">
        <f>C75</f>
        <v>100000</v>
      </c>
      <c r="D82" s="57">
        <f>D77</f>
        <v>12</v>
      </c>
      <c r="E82" s="57">
        <f>F77</f>
        <v>782380</v>
      </c>
      <c r="F82" s="58">
        <f>'Rates Comp Year 2 6.21%'!L29</f>
        <v>1281.17</v>
      </c>
      <c r="G82" t="s">
        <v>186</v>
      </c>
      <c r="H82" s="58">
        <f>F82*D82</f>
        <v>15374.04</v>
      </c>
      <c r="I82"/>
    </row>
    <row r="83" spans="1:16" x14ac:dyDescent="0.35">
      <c r="B83" s="45" t="s">
        <v>98</v>
      </c>
      <c r="C83" s="51">
        <f>C76</f>
        <v>100000</v>
      </c>
      <c r="D83" s="56"/>
      <c r="E83" s="59">
        <f>G76</f>
        <v>354330</v>
      </c>
      <c r="F83" s="371">
        <f>'Rates Comp Year 2 6.21%'!L30</f>
        <v>1.2279999999999999E-2</v>
      </c>
      <c r="G83" t="s">
        <v>187</v>
      </c>
      <c r="H83" s="160">
        <f>ROUND(E83*F83,2)</f>
        <v>4351.17</v>
      </c>
      <c r="I83"/>
      <c r="P83" s="161"/>
    </row>
    <row r="84" spans="1:16" ht="16" thickBot="1" x14ac:dyDescent="0.4">
      <c r="C84" t="s">
        <v>37</v>
      </c>
      <c r="E84" s="53">
        <f>SUM(E82:E83)</f>
        <v>1136710</v>
      </c>
      <c r="H84" s="162">
        <f>SUM(H82:H83)</f>
        <v>19725.21</v>
      </c>
      <c r="I84"/>
    </row>
    <row r="85" spans="1:16" ht="16" thickTop="1" x14ac:dyDescent="0.35"/>
    <row r="86" spans="1:16" x14ac:dyDescent="0.35">
      <c r="A86" t="s">
        <v>185</v>
      </c>
      <c r="B86" s="73" t="s">
        <v>188</v>
      </c>
      <c r="H86"/>
      <c r="I86"/>
    </row>
    <row r="87" spans="1:16" x14ac:dyDescent="0.35">
      <c r="E87" s="345">
        <f>E84/12</f>
        <v>94725.833333333328</v>
      </c>
      <c r="H87"/>
      <c r="I87"/>
    </row>
    <row r="88" spans="1:16" x14ac:dyDescent="0.35">
      <c r="B88" s="45"/>
      <c r="C88" s="45"/>
      <c r="D88" s="45"/>
      <c r="E88" s="45"/>
      <c r="H88"/>
      <c r="I88"/>
    </row>
    <row r="89" spans="1:16" x14ac:dyDescent="0.35">
      <c r="B89" s="45"/>
      <c r="C89" s="47" t="s">
        <v>146</v>
      </c>
      <c r="D89" s="47" t="s">
        <v>147</v>
      </c>
      <c r="E89" s="47" t="s">
        <v>148</v>
      </c>
      <c r="H89"/>
      <c r="I89"/>
    </row>
    <row r="90" spans="1:16" x14ac:dyDescent="0.35">
      <c r="B90" s="45" t="s">
        <v>98</v>
      </c>
      <c r="C90" s="46">
        <v>6280000</v>
      </c>
      <c r="D90" s="51">
        <v>12</v>
      </c>
      <c r="E90" s="51">
        <v>6280000</v>
      </c>
      <c r="H90"/>
      <c r="I90"/>
    </row>
    <row r="91" spans="1:16" ht="16" thickBot="1" x14ac:dyDescent="0.4">
      <c r="B91" s="45"/>
      <c r="C91" t="s">
        <v>0</v>
      </c>
      <c r="D91" s="53">
        <f>SUM(D90:D90)</f>
        <v>12</v>
      </c>
      <c r="E91" s="53">
        <f>SUM(E90:E90)</f>
        <v>6280000</v>
      </c>
      <c r="H91"/>
      <c r="I91"/>
    </row>
    <row r="92" spans="1:16" ht="16" thickTop="1" x14ac:dyDescent="0.35">
      <c r="H92"/>
      <c r="I92"/>
    </row>
    <row r="93" spans="1:16" x14ac:dyDescent="0.35">
      <c r="H93"/>
      <c r="I93"/>
    </row>
    <row r="94" spans="1:16" x14ac:dyDescent="0.35">
      <c r="B94" s="395" t="s">
        <v>149</v>
      </c>
      <c r="C94" s="395"/>
      <c r="D94" s="395"/>
      <c r="E94" s="395"/>
      <c r="F94" s="395"/>
      <c r="G94" s="395"/>
      <c r="H94" s="395"/>
      <c r="I94"/>
    </row>
    <row r="95" spans="1:16" x14ac:dyDescent="0.35">
      <c r="C95" s="56"/>
      <c r="D95" s="158" t="s">
        <v>147</v>
      </c>
      <c r="E95" s="158" t="s">
        <v>148</v>
      </c>
      <c r="F95" s="395" t="s">
        <v>150</v>
      </c>
      <c r="G95" s="395"/>
      <c r="H95" s="158" t="s">
        <v>34</v>
      </c>
      <c r="I95"/>
    </row>
    <row r="96" spans="1:16" x14ac:dyDescent="0.35">
      <c r="B96" s="45" t="s">
        <v>148</v>
      </c>
      <c r="C96" s="51"/>
      <c r="D96" s="59">
        <f>D91</f>
        <v>12</v>
      </c>
      <c r="E96" s="59">
        <f>E91</f>
        <v>6280000</v>
      </c>
      <c r="F96" s="371">
        <f>'Rates Comp Year 2 6.21%'!L33</f>
        <v>6.0099999999999997E-3</v>
      </c>
      <c r="G96" t="s">
        <v>187</v>
      </c>
      <c r="H96" s="160">
        <f>ROUND(E96*F96,2)</f>
        <v>37742.800000000003</v>
      </c>
      <c r="I96"/>
      <c r="P96" s="161"/>
    </row>
    <row r="97" spans="3:9" ht="16" thickBot="1" x14ac:dyDescent="0.4">
      <c r="C97" t="s">
        <v>37</v>
      </c>
      <c r="E97" s="53">
        <f>SUM(E96:E96)</f>
        <v>6280000</v>
      </c>
      <c r="H97" s="162">
        <f>SUM(H96:H96)</f>
        <v>37742.800000000003</v>
      </c>
      <c r="I97"/>
    </row>
    <row r="98" spans="3:9" ht="16" thickTop="1" x14ac:dyDescent="0.35"/>
  </sheetData>
  <mergeCells count="17">
    <mergeCell ref="B66:H66"/>
    <mergeCell ref="A1:K1"/>
    <mergeCell ref="A2:K2"/>
    <mergeCell ref="A3:K3"/>
    <mergeCell ref="A4:K4"/>
    <mergeCell ref="C6:D6"/>
    <mergeCell ref="C7:D7"/>
    <mergeCell ref="C8:D8"/>
    <mergeCell ref="B30:H30"/>
    <mergeCell ref="F31:G31"/>
    <mergeCell ref="B50:H50"/>
    <mergeCell ref="F51:G51"/>
    <mergeCell ref="F67:G67"/>
    <mergeCell ref="B80:H80"/>
    <mergeCell ref="F81:G81"/>
    <mergeCell ref="B94:H94"/>
    <mergeCell ref="F95:G95"/>
  </mergeCells>
  <printOptions horizontalCentered="1"/>
  <pageMargins left="0.6" right="0.6" top="1" bottom="1" header="0.3" footer="0.3"/>
  <pageSetup scale="63" fitToHeight="2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642EE-D5A4-42AB-8B87-0F64E01191A3}">
  <sheetPr>
    <pageSetUpPr fitToPage="1"/>
  </sheetPr>
  <dimension ref="B2:T33"/>
  <sheetViews>
    <sheetView workbookViewId="0">
      <selection activeCell="N34" sqref="A1:N34"/>
    </sheetView>
  </sheetViews>
  <sheetFormatPr defaultColWidth="8.84375" defaultRowHeight="15.5" x14ac:dyDescent="0.35"/>
  <cols>
    <col min="1" max="1" width="2.61328125" style="4" customWidth="1"/>
    <col min="2" max="2" width="1.07421875" style="4" customWidth="1"/>
    <col min="3" max="3" width="4.765625" style="4" customWidth="1"/>
    <col min="4" max="5" width="10.765625" style="4" customWidth="1"/>
    <col min="6" max="6" width="11.765625" style="15" customWidth="1"/>
    <col min="7" max="7" width="10.765625" style="4" customWidth="1"/>
    <col min="8" max="8" width="1.23046875" style="4" customWidth="1"/>
    <col min="9" max="11" width="10.765625" style="4" customWidth="1"/>
    <col min="12" max="12" width="10.765625" style="15" customWidth="1"/>
    <col min="13" max="13" width="10.765625" style="4" customWidth="1"/>
    <col min="14" max="14" width="2.61328125" style="4" customWidth="1"/>
    <col min="15" max="19" width="12.765625" style="4" customWidth="1"/>
    <col min="20" max="206" width="9.69140625" style="4" customWidth="1"/>
    <col min="207" max="16384" width="8.84375" style="4"/>
  </cols>
  <sheetData>
    <row r="2" spans="2:20" x14ac:dyDescent="0.35">
      <c r="B2" s="9"/>
      <c r="C2" s="76"/>
      <c r="D2" s="76"/>
      <c r="E2" s="76"/>
      <c r="F2" s="77"/>
      <c r="G2" s="76"/>
      <c r="H2" s="76"/>
      <c r="I2" s="76"/>
      <c r="J2" s="76"/>
      <c r="K2" s="76"/>
      <c r="L2" s="77"/>
      <c r="M2" s="78"/>
    </row>
    <row r="3" spans="2:20" x14ac:dyDescent="0.35">
      <c r="B3" s="8"/>
      <c r="C3" s="403" t="s">
        <v>87</v>
      </c>
      <c r="D3" s="403"/>
      <c r="E3" s="403"/>
      <c r="F3" s="403"/>
      <c r="G3" s="403"/>
      <c r="H3" s="403"/>
      <c r="I3" s="403"/>
      <c r="J3" s="403"/>
      <c r="K3" s="403"/>
      <c r="L3" s="403"/>
      <c r="M3" s="404"/>
    </row>
    <row r="4" spans="2:20" x14ac:dyDescent="0.35">
      <c r="B4" s="8"/>
      <c r="C4" s="403" t="s">
        <v>449</v>
      </c>
      <c r="D4" s="403"/>
      <c r="E4" s="403"/>
      <c r="F4" s="403"/>
      <c r="G4" s="403"/>
      <c r="H4" s="403"/>
      <c r="I4" s="403"/>
      <c r="J4" s="403"/>
      <c r="K4" s="403"/>
      <c r="L4" s="403"/>
      <c r="M4" s="404"/>
      <c r="O4" s="4" t="s">
        <v>165</v>
      </c>
      <c r="R4" s="4" t="s">
        <v>166</v>
      </c>
    </row>
    <row r="5" spans="2:20" x14ac:dyDescent="0.35">
      <c r="B5" s="8"/>
      <c r="C5" s="405" t="str">
        <f>Adjustments!B1</f>
        <v>Morgan County Water District</v>
      </c>
      <c r="D5" s="405"/>
      <c r="E5" s="405"/>
      <c r="F5" s="405"/>
      <c r="G5" s="405"/>
      <c r="H5" s="405"/>
      <c r="I5" s="405"/>
      <c r="J5" s="405"/>
      <c r="K5" s="405"/>
      <c r="L5" s="405"/>
      <c r="M5" s="406"/>
      <c r="N5" s="71"/>
      <c r="O5" s="71"/>
      <c r="P5" s="71"/>
      <c r="Q5" s="71"/>
      <c r="R5" s="71"/>
      <c r="S5" s="71"/>
    </row>
    <row r="6" spans="2:20" x14ac:dyDescent="0.35">
      <c r="B6" s="8"/>
      <c r="M6" s="79"/>
    </row>
    <row r="7" spans="2:20" x14ac:dyDescent="0.35">
      <c r="B7" s="9"/>
      <c r="C7" s="76"/>
      <c r="D7" s="76"/>
      <c r="E7" s="76"/>
      <c r="F7" s="77"/>
      <c r="G7" s="78"/>
      <c r="H7" s="9"/>
      <c r="I7" s="76"/>
      <c r="J7" s="76"/>
      <c r="K7" s="76"/>
      <c r="L7" s="77"/>
      <c r="M7" s="78"/>
    </row>
    <row r="8" spans="2:20" x14ac:dyDescent="0.35">
      <c r="B8" s="8"/>
      <c r="C8" s="401" t="s">
        <v>447</v>
      </c>
      <c r="D8" s="401"/>
      <c r="E8" s="401"/>
      <c r="F8" s="401"/>
      <c r="G8" s="402"/>
      <c r="I8" s="401" t="s">
        <v>448</v>
      </c>
      <c r="J8" s="401"/>
      <c r="K8" s="401"/>
      <c r="L8" s="401"/>
      <c r="M8" s="402"/>
      <c r="O8" s="17">
        <v>5.8400000000000001E-2</v>
      </c>
      <c r="P8" s="17" t="s">
        <v>97</v>
      </c>
      <c r="Q8" s="17"/>
      <c r="R8" s="17"/>
      <c r="S8" s="17"/>
    </row>
    <row r="9" spans="2:20" x14ac:dyDescent="0.35">
      <c r="B9" s="8"/>
      <c r="G9" s="79"/>
      <c r="M9" s="79"/>
    </row>
    <row r="10" spans="2:20" x14ac:dyDescent="0.35">
      <c r="B10" s="8"/>
      <c r="C10" s="16"/>
      <c r="G10" s="79"/>
      <c r="I10" s="16"/>
      <c r="L10" s="80"/>
      <c r="M10" s="79"/>
    </row>
    <row r="11" spans="2:20" x14ac:dyDescent="0.35">
      <c r="B11" s="9"/>
      <c r="C11" s="246" t="s">
        <v>322</v>
      </c>
      <c r="D11" s="247"/>
      <c r="E11" s="247"/>
      <c r="F11" s="247"/>
      <c r="G11" s="248"/>
      <c r="H11" s="9"/>
      <c r="I11" s="246" t="s">
        <v>322</v>
      </c>
      <c r="J11" s="247"/>
      <c r="K11" s="247"/>
      <c r="L11" s="77"/>
      <c r="M11" s="78"/>
      <c r="T11" s="82"/>
    </row>
    <row r="12" spans="2:20" x14ac:dyDescent="0.35">
      <c r="B12" s="8"/>
      <c r="C12" s="45" t="s">
        <v>53</v>
      </c>
      <c r="D12" s="51">
        <v>2000</v>
      </c>
      <c r="E12" s="253" t="s">
        <v>148</v>
      </c>
      <c r="F12" s="147">
        <f>'Rates Comp Year 2 6.21%'!L12</f>
        <v>42.48</v>
      </c>
      <c r="G12" s="146" t="s">
        <v>186</v>
      </c>
      <c r="H12" s="8"/>
      <c r="I12" s="45" t="s">
        <v>53</v>
      </c>
      <c r="J12" s="51">
        <v>2000</v>
      </c>
      <c r="K12" s="253" t="s">
        <v>148</v>
      </c>
      <c r="L12" s="147">
        <f>R12</f>
        <v>44.989999999999995</v>
      </c>
      <c r="M12" s="146" t="s">
        <v>186</v>
      </c>
      <c r="O12" s="147">
        <f>F12</f>
        <v>42.48</v>
      </c>
      <c r="P12" s="147">
        <f>ROUND(O$8*O12,2)</f>
        <v>2.48</v>
      </c>
      <c r="Q12" s="61">
        <v>0.03</v>
      </c>
      <c r="R12" s="147">
        <f>SUM(O12:Q12)</f>
        <v>44.989999999999995</v>
      </c>
      <c r="S12" s="147"/>
      <c r="T12" s="82"/>
    </row>
    <row r="13" spans="2:20" x14ac:dyDescent="0.35">
      <c r="B13" s="8"/>
      <c r="C13" s="45" t="s">
        <v>54</v>
      </c>
      <c r="D13" s="51">
        <v>3000</v>
      </c>
      <c r="E13" s="253" t="s">
        <v>148</v>
      </c>
      <c r="F13" s="61">
        <f>'Rates Comp Year 2 6.21%'!L13</f>
        <v>1.5690000000000003E-2</v>
      </c>
      <c r="G13" s="146" t="s">
        <v>187</v>
      </c>
      <c r="H13" s="8"/>
      <c r="I13" s="45" t="s">
        <v>54</v>
      </c>
      <c r="J13" s="51">
        <v>3000</v>
      </c>
      <c r="K13" s="253" t="s">
        <v>148</v>
      </c>
      <c r="L13" s="61">
        <f>R13</f>
        <v>1.6570000000000005E-2</v>
      </c>
      <c r="M13" s="146" t="s">
        <v>187</v>
      </c>
      <c r="N13" s="18"/>
      <c r="O13" s="61">
        <f t="shared" ref="O13:O33" si="0">F13</f>
        <v>1.5690000000000003E-2</v>
      </c>
      <c r="P13" s="61">
        <f>ROUND(O$8*O13,5)</f>
        <v>9.2000000000000003E-4</v>
      </c>
      <c r="Q13" s="61">
        <v>-4.0000000000000003E-5</v>
      </c>
      <c r="R13" s="61">
        <f>SUM(O13:Q13)</f>
        <v>1.6570000000000005E-2</v>
      </c>
      <c r="S13" s="61"/>
      <c r="T13" s="82"/>
    </row>
    <row r="14" spans="2:20" x14ac:dyDescent="0.35">
      <c r="B14" s="8"/>
      <c r="C14" s="45" t="s">
        <v>54</v>
      </c>
      <c r="D14" s="51">
        <v>5000</v>
      </c>
      <c r="E14" s="253" t="s">
        <v>148</v>
      </c>
      <c r="F14" s="61">
        <f>'Rates Comp Year 2 6.21%'!L14</f>
        <v>1.4549999999999999E-2</v>
      </c>
      <c r="G14" s="146" t="s">
        <v>187</v>
      </c>
      <c r="H14" s="8"/>
      <c r="I14" s="45" t="s">
        <v>54</v>
      </c>
      <c r="J14" s="51">
        <v>5000</v>
      </c>
      <c r="K14" s="253" t="s">
        <v>148</v>
      </c>
      <c r="L14" s="61">
        <f t="shared" ref="L14:L16" si="1">R14</f>
        <v>1.5359999999999999E-2</v>
      </c>
      <c r="M14" s="146" t="s">
        <v>187</v>
      </c>
      <c r="O14" s="61">
        <f t="shared" si="0"/>
        <v>1.4549999999999999E-2</v>
      </c>
      <c r="P14" s="61">
        <f t="shared" ref="P14:P16" si="2">ROUND(O$8*O14,5)</f>
        <v>8.4999999999999995E-4</v>
      </c>
      <c r="Q14" s="61">
        <f>Q13</f>
        <v>-4.0000000000000003E-5</v>
      </c>
      <c r="R14" s="61">
        <f t="shared" ref="R14:R16" si="3">SUM(O14:Q14)</f>
        <v>1.5359999999999999E-2</v>
      </c>
      <c r="S14" s="61">
        <v>-1.0000000000000001E-5</v>
      </c>
    </row>
    <row r="15" spans="2:20" x14ac:dyDescent="0.35">
      <c r="B15" s="8"/>
      <c r="C15" s="45" t="s">
        <v>54</v>
      </c>
      <c r="D15" s="51">
        <v>15000</v>
      </c>
      <c r="E15" s="253" t="s">
        <v>148</v>
      </c>
      <c r="F15" s="61">
        <f>'Rates Comp Year 2 6.21%'!L15</f>
        <v>1.342E-2</v>
      </c>
      <c r="G15" s="146" t="s">
        <v>187</v>
      </c>
      <c r="H15" s="8"/>
      <c r="I15" s="45" t="s">
        <v>54</v>
      </c>
      <c r="J15" s="51">
        <v>15000</v>
      </c>
      <c r="K15" s="253" t="s">
        <v>148</v>
      </c>
      <c r="L15" s="61">
        <f t="shared" si="1"/>
        <v>1.4159999999999999E-2</v>
      </c>
      <c r="M15" s="146" t="s">
        <v>187</v>
      </c>
      <c r="O15" s="61">
        <f t="shared" si="0"/>
        <v>1.342E-2</v>
      </c>
      <c r="P15" s="61">
        <f t="shared" si="2"/>
        <v>7.7999999999999999E-4</v>
      </c>
      <c r="Q15" s="61">
        <f>Q13</f>
        <v>-4.0000000000000003E-5</v>
      </c>
      <c r="R15" s="61">
        <f t="shared" si="3"/>
        <v>1.4159999999999999E-2</v>
      </c>
      <c r="S15" s="61"/>
    </row>
    <row r="16" spans="2:20" x14ac:dyDescent="0.35">
      <c r="B16" s="8"/>
      <c r="C16" s="45" t="s">
        <v>98</v>
      </c>
      <c r="D16" s="51">
        <v>15000</v>
      </c>
      <c r="E16" s="253" t="s">
        <v>148</v>
      </c>
      <c r="F16" s="61">
        <f>'Rates Comp Year 2 6.21%'!L16</f>
        <v>1.2279999999999999E-2</v>
      </c>
      <c r="G16" s="146" t="s">
        <v>187</v>
      </c>
      <c r="H16" s="8"/>
      <c r="I16" s="45" t="s">
        <v>98</v>
      </c>
      <c r="J16" s="51">
        <v>15000</v>
      </c>
      <c r="K16" s="253" t="s">
        <v>148</v>
      </c>
      <c r="L16" s="61">
        <f t="shared" si="1"/>
        <v>1.2959999999999999E-2</v>
      </c>
      <c r="M16" s="146" t="s">
        <v>187</v>
      </c>
      <c r="O16" s="61">
        <f t="shared" si="0"/>
        <v>1.2279999999999999E-2</v>
      </c>
      <c r="P16" s="61">
        <f t="shared" si="2"/>
        <v>7.2000000000000005E-4</v>
      </c>
      <c r="Q16" s="61">
        <f>Q13</f>
        <v>-4.0000000000000003E-5</v>
      </c>
      <c r="R16" s="61">
        <f t="shared" si="3"/>
        <v>1.2959999999999999E-2</v>
      </c>
      <c r="S16" s="61"/>
    </row>
    <row r="17" spans="2:19" x14ac:dyDescent="0.35">
      <c r="B17" s="8"/>
      <c r="C17"/>
      <c r="D17"/>
      <c r="E17" s="253"/>
      <c r="F17"/>
      <c r="G17" s="146"/>
      <c r="H17" s="8"/>
      <c r="I17"/>
      <c r="J17"/>
      <c r="K17" s="253"/>
      <c r="M17" s="146"/>
      <c r="O17"/>
      <c r="P17"/>
      <c r="Q17"/>
      <c r="R17"/>
      <c r="S17"/>
    </row>
    <row r="18" spans="2:19" x14ac:dyDescent="0.35">
      <c r="B18" s="8"/>
      <c r="C18" s="73" t="s">
        <v>177</v>
      </c>
      <c r="D18"/>
      <c r="E18" s="253"/>
      <c r="F18"/>
      <c r="G18" s="146"/>
      <c r="H18" s="8"/>
      <c r="I18" s="73" t="s">
        <v>177</v>
      </c>
      <c r="J18"/>
      <c r="K18" s="253"/>
      <c r="M18" s="146"/>
      <c r="O18"/>
      <c r="P18"/>
      <c r="Q18"/>
      <c r="R18"/>
      <c r="S18"/>
    </row>
    <row r="19" spans="2:19" x14ac:dyDescent="0.35">
      <c r="B19" s="8"/>
      <c r="C19" s="45" t="s">
        <v>53</v>
      </c>
      <c r="D19" s="51">
        <v>5000</v>
      </c>
      <c r="E19" s="253" t="s">
        <v>148</v>
      </c>
      <c r="F19" s="147">
        <f>'Rates Comp Year 2 6.21%'!L19</f>
        <v>90.01</v>
      </c>
      <c r="G19" s="146" t="s">
        <v>186</v>
      </c>
      <c r="H19" s="8"/>
      <c r="I19" s="45" t="s">
        <v>53</v>
      </c>
      <c r="J19" s="51">
        <v>5000</v>
      </c>
      <c r="K19" s="253" t="s">
        <v>148</v>
      </c>
      <c r="L19" s="147">
        <f>R19</f>
        <v>95.300000000000011</v>
      </c>
      <c r="M19" s="146" t="s">
        <v>186</v>
      </c>
      <c r="O19" s="147">
        <f t="shared" si="0"/>
        <v>90.01</v>
      </c>
      <c r="P19" s="147">
        <f>ROUND(O$8*O19,2)</f>
        <v>5.26</v>
      </c>
      <c r="Q19" s="61">
        <f>Q12</f>
        <v>0.03</v>
      </c>
      <c r="R19" s="147">
        <f>SUM(O19:Q19)</f>
        <v>95.300000000000011</v>
      </c>
      <c r="S19" s="147"/>
    </row>
    <row r="20" spans="2:19" x14ac:dyDescent="0.35">
      <c r="B20" s="8"/>
      <c r="C20" s="45" t="s">
        <v>54</v>
      </c>
      <c r="D20" s="51">
        <v>5000</v>
      </c>
      <c r="E20" s="253" t="s">
        <v>148</v>
      </c>
      <c r="F20" s="61">
        <f>'Rates Comp Year 2 6.21%'!L20</f>
        <v>1.4549999999999999E-2</v>
      </c>
      <c r="G20" s="146" t="s">
        <v>187</v>
      </c>
      <c r="H20" s="8"/>
      <c r="I20" s="45" t="s">
        <v>54</v>
      </c>
      <c r="J20" s="51">
        <v>5000</v>
      </c>
      <c r="K20" s="253" t="s">
        <v>148</v>
      </c>
      <c r="L20" s="61">
        <f t="shared" ref="L20:L22" si="4">R20</f>
        <v>1.5359999999999999E-2</v>
      </c>
      <c r="M20" s="146" t="s">
        <v>187</v>
      </c>
      <c r="O20" s="61">
        <f t="shared" si="0"/>
        <v>1.4549999999999999E-2</v>
      </c>
      <c r="P20" s="61">
        <f>P14</f>
        <v>8.4999999999999995E-4</v>
      </c>
      <c r="Q20" s="61">
        <f>Q13</f>
        <v>-4.0000000000000003E-5</v>
      </c>
      <c r="R20" s="61">
        <f t="shared" ref="R20:R22" si="5">SUM(O20:Q20)</f>
        <v>1.5359999999999999E-2</v>
      </c>
      <c r="S20" s="61"/>
    </row>
    <row r="21" spans="2:19" x14ac:dyDescent="0.35">
      <c r="B21" s="8"/>
      <c r="C21" s="45" t="s">
        <v>54</v>
      </c>
      <c r="D21" s="51">
        <v>5000</v>
      </c>
      <c r="E21" s="253" t="s">
        <v>148</v>
      </c>
      <c r="F21" s="61">
        <f>'Rates Comp Year 2 6.21%'!L21</f>
        <v>1.342E-2</v>
      </c>
      <c r="G21" s="146" t="s">
        <v>187</v>
      </c>
      <c r="H21" s="8"/>
      <c r="I21" s="45" t="s">
        <v>54</v>
      </c>
      <c r="J21" s="51">
        <v>5000</v>
      </c>
      <c r="K21" s="253" t="s">
        <v>148</v>
      </c>
      <c r="L21" s="61">
        <f t="shared" si="4"/>
        <v>1.4159999999999999E-2</v>
      </c>
      <c r="M21" s="146" t="s">
        <v>187</v>
      </c>
      <c r="O21" s="61">
        <f t="shared" si="0"/>
        <v>1.342E-2</v>
      </c>
      <c r="P21" s="61">
        <f t="shared" ref="P21:P22" si="6">P15</f>
        <v>7.7999999999999999E-4</v>
      </c>
      <c r="Q21" s="61">
        <f>Q20</f>
        <v>-4.0000000000000003E-5</v>
      </c>
      <c r="R21" s="61">
        <f t="shared" si="5"/>
        <v>1.4159999999999999E-2</v>
      </c>
      <c r="S21" s="61"/>
    </row>
    <row r="22" spans="2:19" x14ac:dyDescent="0.35">
      <c r="B22" s="8"/>
      <c r="C22" s="45" t="s">
        <v>98</v>
      </c>
      <c r="D22" s="51">
        <v>15000</v>
      </c>
      <c r="E22" s="253" t="s">
        <v>148</v>
      </c>
      <c r="F22" s="61">
        <f>'Rates Comp Year 2 6.21%'!L22</f>
        <v>1.2279999999999999E-2</v>
      </c>
      <c r="G22" s="146" t="s">
        <v>187</v>
      </c>
      <c r="H22" s="8"/>
      <c r="I22" s="45" t="s">
        <v>98</v>
      </c>
      <c r="J22" s="51">
        <v>15000</v>
      </c>
      <c r="K22" s="253" t="s">
        <v>148</v>
      </c>
      <c r="L22" s="61">
        <f t="shared" si="4"/>
        <v>1.2959999999999999E-2</v>
      </c>
      <c r="M22" s="146" t="s">
        <v>187</v>
      </c>
      <c r="O22" s="61">
        <f t="shared" si="0"/>
        <v>1.2279999999999999E-2</v>
      </c>
      <c r="P22" s="61">
        <f t="shared" si="6"/>
        <v>7.2000000000000005E-4</v>
      </c>
      <c r="Q22" s="61">
        <f>Q21</f>
        <v>-4.0000000000000003E-5</v>
      </c>
      <c r="R22" s="61">
        <f t="shared" si="5"/>
        <v>1.2959999999999999E-2</v>
      </c>
      <c r="S22" s="61"/>
    </row>
    <row r="23" spans="2:19" x14ac:dyDescent="0.35">
      <c r="B23" s="8"/>
      <c r="C23" s="45"/>
      <c r="D23" s="51"/>
      <c r="E23" s="253"/>
      <c r="F23" s="249"/>
      <c r="G23" s="146"/>
      <c r="H23" s="8"/>
      <c r="I23" s="45"/>
      <c r="J23" s="51"/>
      <c r="K23" s="253"/>
      <c r="M23" s="146"/>
      <c r="O23" s="249"/>
      <c r="P23" s="249"/>
      <c r="Q23" s="249"/>
      <c r="R23" s="249"/>
      <c r="S23" s="249"/>
    </row>
    <row r="24" spans="2:19" x14ac:dyDescent="0.35">
      <c r="B24" s="8"/>
      <c r="C24" s="73" t="s">
        <v>178</v>
      </c>
      <c r="D24"/>
      <c r="E24" s="253"/>
      <c r="F24"/>
      <c r="G24" s="146"/>
      <c r="H24" s="8"/>
      <c r="I24" s="73" t="s">
        <v>178</v>
      </c>
      <c r="J24"/>
      <c r="K24" s="253"/>
      <c r="M24" s="146"/>
      <c r="O24"/>
      <c r="P24"/>
      <c r="Q24"/>
      <c r="R24"/>
      <c r="S24"/>
    </row>
    <row r="25" spans="2:19" x14ac:dyDescent="0.35">
      <c r="B25" s="8"/>
      <c r="C25" s="45" t="s">
        <v>53</v>
      </c>
      <c r="D25" s="51">
        <v>15000</v>
      </c>
      <c r="E25" s="253" t="s">
        <v>148</v>
      </c>
      <c r="F25" s="147">
        <f>'Rates Comp Year 2 6.21%'!L25</f>
        <v>228.77</v>
      </c>
      <c r="G25" s="146" t="s">
        <v>186</v>
      </c>
      <c r="H25" s="8"/>
      <c r="I25" s="45" t="s">
        <v>53</v>
      </c>
      <c r="J25" s="51">
        <v>15000</v>
      </c>
      <c r="K25" s="253" t="s">
        <v>148</v>
      </c>
      <c r="L25" s="147">
        <f>R25</f>
        <v>242.16</v>
      </c>
      <c r="M25" s="146" t="s">
        <v>186</v>
      </c>
      <c r="O25" s="147">
        <f t="shared" si="0"/>
        <v>228.77</v>
      </c>
      <c r="P25" s="147">
        <f>ROUND(O$8*O25,2)</f>
        <v>13.36</v>
      </c>
      <c r="Q25" s="61">
        <f>Q12</f>
        <v>0.03</v>
      </c>
      <c r="R25" s="147">
        <f>SUM(O25:Q25)</f>
        <v>242.16</v>
      </c>
      <c r="S25" s="147"/>
    </row>
    <row r="26" spans="2:19" x14ac:dyDescent="0.35">
      <c r="B26" s="8"/>
      <c r="C26" s="45" t="s">
        <v>98</v>
      </c>
      <c r="D26" s="51">
        <v>15000</v>
      </c>
      <c r="E26" s="253" t="s">
        <v>148</v>
      </c>
      <c r="F26" s="61">
        <f>'Rates Comp Year 2 6.21%'!L26</f>
        <v>1.2279999999999999E-2</v>
      </c>
      <c r="G26" s="146" t="s">
        <v>187</v>
      </c>
      <c r="H26" s="8"/>
      <c r="I26" s="45" t="s">
        <v>98</v>
      </c>
      <c r="J26" s="51">
        <v>15000</v>
      </c>
      <c r="K26" s="253" t="s">
        <v>148</v>
      </c>
      <c r="L26" s="61">
        <f>R26</f>
        <v>1.2959999999999999E-2</v>
      </c>
      <c r="M26" s="146" t="s">
        <v>187</v>
      </c>
      <c r="O26" s="61">
        <f t="shared" si="0"/>
        <v>1.2279999999999999E-2</v>
      </c>
      <c r="P26" s="61">
        <f>P22</f>
        <v>7.2000000000000005E-4</v>
      </c>
      <c r="Q26" s="61">
        <f>Q22</f>
        <v>-4.0000000000000003E-5</v>
      </c>
      <c r="R26" s="61">
        <f>SUM(O26:Q26)</f>
        <v>1.2959999999999999E-2</v>
      </c>
      <c r="S26" s="61"/>
    </row>
    <row r="27" spans="2:19" x14ac:dyDescent="0.35">
      <c r="B27" s="8"/>
      <c r="C27"/>
      <c r="D27"/>
      <c r="E27" s="253"/>
      <c r="F27" s="61"/>
      <c r="G27" s="146"/>
      <c r="H27" s="8"/>
      <c r="I27"/>
      <c r="J27"/>
      <c r="K27" s="253"/>
      <c r="M27" s="146"/>
      <c r="O27" s="61"/>
      <c r="P27" s="61"/>
      <c r="Q27" s="61"/>
      <c r="R27" s="61"/>
      <c r="S27" s="61"/>
    </row>
    <row r="28" spans="2:19" x14ac:dyDescent="0.35">
      <c r="B28" s="8"/>
      <c r="C28" s="73" t="s">
        <v>179</v>
      </c>
      <c r="D28"/>
      <c r="E28" s="253"/>
      <c r="F28" s="61"/>
      <c r="G28" s="146"/>
      <c r="H28" s="8"/>
      <c r="I28" s="73" t="s">
        <v>179</v>
      </c>
      <c r="J28"/>
      <c r="K28" s="253"/>
      <c r="M28" s="146"/>
      <c r="O28" s="61"/>
      <c r="P28" s="61"/>
      <c r="Q28" s="61"/>
      <c r="R28" s="61"/>
      <c r="S28" s="61"/>
    </row>
    <row r="29" spans="2:19" x14ac:dyDescent="0.35">
      <c r="B29" s="8"/>
      <c r="C29" s="45" t="s">
        <v>53</v>
      </c>
      <c r="D29" s="51">
        <v>100000</v>
      </c>
      <c r="E29" s="253" t="s">
        <v>148</v>
      </c>
      <c r="F29" s="147">
        <f>'Rates Comp Year 2 6.21%'!L29</f>
        <v>1281.17</v>
      </c>
      <c r="G29" s="146" t="s">
        <v>186</v>
      </c>
      <c r="H29" s="8"/>
      <c r="I29" s="45" t="s">
        <v>53</v>
      </c>
      <c r="J29" s="51">
        <v>100000</v>
      </c>
      <c r="K29" s="253" t="s">
        <v>148</v>
      </c>
      <c r="L29" s="147">
        <f>R29</f>
        <v>1356.02</v>
      </c>
      <c r="M29" s="146" t="s">
        <v>186</v>
      </c>
      <c r="O29" s="147">
        <f t="shared" si="0"/>
        <v>1281.17</v>
      </c>
      <c r="P29" s="147">
        <f>ROUND(O$8*O29,2)</f>
        <v>74.819999999999993</v>
      </c>
      <c r="Q29" s="61">
        <f>Q12</f>
        <v>0.03</v>
      </c>
      <c r="R29" s="147">
        <f>SUM(O29:Q29)</f>
        <v>1356.02</v>
      </c>
      <c r="S29" s="147"/>
    </row>
    <row r="30" spans="2:19" x14ac:dyDescent="0.35">
      <c r="B30" s="8"/>
      <c r="C30" s="45" t="s">
        <v>98</v>
      </c>
      <c r="D30" s="51">
        <v>100000</v>
      </c>
      <c r="E30" s="253" t="s">
        <v>148</v>
      </c>
      <c r="F30" s="61">
        <f>'Rates Comp Year 2 6.21%'!L30</f>
        <v>1.2279999999999999E-2</v>
      </c>
      <c r="G30" s="146" t="s">
        <v>187</v>
      </c>
      <c r="H30" s="8"/>
      <c r="I30" s="45" t="s">
        <v>98</v>
      </c>
      <c r="J30" s="51">
        <v>100000</v>
      </c>
      <c r="K30" s="253" t="s">
        <v>148</v>
      </c>
      <c r="L30" s="61">
        <f>R30</f>
        <v>1.2959999999999999E-2</v>
      </c>
      <c r="M30" s="146" t="s">
        <v>187</v>
      </c>
      <c r="O30" s="61">
        <f t="shared" si="0"/>
        <v>1.2279999999999999E-2</v>
      </c>
      <c r="P30" s="61">
        <f>P22</f>
        <v>7.2000000000000005E-4</v>
      </c>
      <c r="Q30" s="61">
        <f>Q26</f>
        <v>-4.0000000000000003E-5</v>
      </c>
      <c r="R30" s="61">
        <f>SUM(O30:Q30)</f>
        <v>1.2959999999999999E-2</v>
      </c>
      <c r="S30" s="61"/>
    </row>
    <row r="31" spans="2:19" x14ac:dyDescent="0.35">
      <c r="B31" s="8"/>
      <c r="C31"/>
      <c r="D31"/>
      <c r="E31"/>
      <c r="F31" s="61"/>
      <c r="G31" s="146"/>
      <c r="H31" s="8"/>
      <c r="I31"/>
      <c r="J31"/>
      <c r="K31"/>
      <c r="M31" s="146"/>
      <c r="O31" s="61"/>
      <c r="P31" s="61"/>
      <c r="Q31" s="61"/>
      <c r="R31" s="61"/>
      <c r="S31" s="61"/>
    </row>
    <row r="32" spans="2:19" x14ac:dyDescent="0.35">
      <c r="B32" s="8"/>
      <c r="C32" s="73" t="s">
        <v>188</v>
      </c>
      <c r="D32"/>
      <c r="E32"/>
      <c r="F32" s="61"/>
      <c r="G32" s="146"/>
      <c r="H32" s="8"/>
      <c r="I32" s="73" t="s">
        <v>188</v>
      </c>
      <c r="J32"/>
      <c r="K32"/>
      <c r="M32" s="146"/>
      <c r="O32" s="61"/>
      <c r="P32" s="61"/>
      <c r="Q32" s="61"/>
      <c r="R32" s="61"/>
      <c r="S32" s="61"/>
    </row>
    <row r="33" spans="2:19" x14ac:dyDescent="0.35">
      <c r="B33" s="10"/>
      <c r="C33" s="47"/>
      <c r="D33" s="48"/>
      <c r="E33" s="48"/>
      <c r="F33" s="254">
        <f>'Rates Comp Year 2 6.21%'!L33</f>
        <v>6.0099999999999997E-3</v>
      </c>
      <c r="G33" s="252" t="s">
        <v>187</v>
      </c>
      <c r="H33" s="10"/>
      <c r="I33" s="81"/>
      <c r="J33" s="81"/>
      <c r="K33" s="81"/>
      <c r="L33" s="254">
        <f>R33</f>
        <v>6.3599999999999993E-3</v>
      </c>
      <c r="M33" s="252" t="s">
        <v>187</v>
      </c>
      <c r="O33" s="254">
        <f t="shared" si="0"/>
        <v>6.0099999999999997E-3</v>
      </c>
      <c r="P33" s="254">
        <f t="shared" ref="P33" si="7">ROUND(O$8*O33,5)</f>
        <v>3.5E-4</v>
      </c>
      <c r="Q33" s="61">
        <v>0</v>
      </c>
      <c r="R33" s="61">
        <f>SUM(O33:Q33)</f>
        <v>6.3599999999999993E-3</v>
      </c>
      <c r="S33" s="254"/>
    </row>
  </sheetData>
  <mergeCells count="5">
    <mergeCell ref="C3:M3"/>
    <mergeCell ref="C4:M4"/>
    <mergeCell ref="C5:M5"/>
    <mergeCell ref="C8:G8"/>
    <mergeCell ref="I8:M8"/>
  </mergeCells>
  <printOptions horizontalCentered="1" verticalCentered="1"/>
  <pageMargins left="0.55000000000000004" right="0.55000000000000004" top="0.45" bottom="0.5" header="0" footer="0"/>
  <pageSetup scale="95" orientation="landscape" horizontalDpi="4294967293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1032-DEA3-4DE9-9D8E-F938F1EE5F2D}">
  <sheetPr>
    <pageSetUpPr fitToPage="1"/>
  </sheetPr>
  <dimension ref="A1:R98"/>
  <sheetViews>
    <sheetView showGridLines="0" tabSelected="1" workbookViewId="0">
      <selection sqref="A1:K1"/>
    </sheetView>
  </sheetViews>
  <sheetFormatPr defaultColWidth="14.765625" defaultRowHeight="15.5" x14ac:dyDescent="0.35"/>
  <cols>
    <col min="2" max="3" width="10.765625" customWidth="1"/>
    <col min="8" max="9" width="14.765625" style="55"/>
  </cols>
  <sheetData>
    <row r="1" spans="1:14" ht="18.5" x14ac:dyDescent="0.45">
      <c r="A1" s="429" t="s">
        <v>452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150"/>
      <c r="M1" s="150"/>
      <c r="N1" s="150"/>
    </row>
    <row r="2" spans="1:14" ht="18.5" x14ac:dyDescent="0.35">
      <c r="A2" s="430" t="str">
        <f>'SAO - DSC'!C4</f>
        <v>Morgan County Water District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149"/>
      <c r="M2" s="149"/>
      <c r="N2" s="149"/>
    </row>
    <row r="3" spans="1:14" x14ac:dyDescent="0.3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1"/>
      <c r="M3" s="1"/>
      <c r="N3" s="1"/>
    </row>
    <row r="4" spans="1:14" ht="18.5" x14ac:dyDescent="0.45">
      <c r="A4" s="399" t="s">
        <v>95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150"/>
      <c r="M4" s="150"/>
      <c r="N4" s="150"/>
    </row>
    <row r="6" spans="1:14" x14ac:dyDescent="0.35">
      <c r="B6" s="73"/>
      <c r="C6" s="400" t="s">
        <v>174</v>
      </c>
      <c r="D6" s="400"/>
      <c r="F6" s="47" t="s">
        <v>175</v>
      </c>
      <c r="G6" s="47" t="s">
        <v>36</v>
      </c>
      <c r="H6" s="49" t="s">
        <v>34</v>
      </c>
    </row>
    <row r="7" spans="1:14" x14ac:dyDescent="0.35">
      <c r="B7" s="73"/>
      <c r="C7" s="396" t="s">
        <v>176</v>
      </c>
      <c r="D7" s="396"/>
      <c r="F7" s="51">
        <f>D32</f>
        <v>35191</v>
      </c>
      <c r="G7" s="51">
        <f>E37</f>
        <v>106282790</v>
      </c>
      <c r="H7" s="151">
        <f>H37</f>
        <v>2400768.7399999998</v>
      </c>
    </row>
    <row r="8" spans="1:14" x14ac:dyDescent="0.35">
      <c r="B8" s="73"/>
      <c r="C8" s="397" t="s">
        <v>177</v>
      </c>
      <c r="D8" s="397"/>
      <c r="F8" s="51">
        <f>D52</f>
        <v>200</v>
      </c>
      <c r="G8" s="51">
        <f>E56</f>
        <v>1076140</v>
      </c>
      <c r="H8" s="153">
        <f>H56</f>
        <v>27752.780000000002</v>
      </c>
    </row>
    <row r="9" spans="1:14" x14ac:dyDescent="0.35">
      <c r="B9" s="73"/>
      <c r="C9" s="152" t="s">
        <v>178</v>
      </c>
      <c r="D9" s="152"/>
      <c r="F9" s="51">
        <f>D68</f>
        <v>96</v>
      </c>
      <c r="G9" s="51">
        <f>E70</f>
        <v>12676300</v>
      </c>
      <c r="H9" s="153">
        <f>H70</f>
        <v>171646.75</v>
      </c>
    </row>
    <row r="10" spans="1:14" x14ac:dyDescent="0.35">
      <c r="B10" s="73"/>
      <c r="C10" s="152" t="s">
        <v>179</v>
      </c>
      <c r="D10" s="152"/>
      <c r="F10" s="51">
        <f>D82</f>
        <v>12</v>
      </c>
      <c r="G10" s="51">
        <f>E84</f>
        <v>1136710</v>
      </c>
      <c r="H10" s="153">
        <f>H84</f>
        <v>20864.36</v>
      </c>
    </row>
    <row r="11" spans="1:14" x14ac:dyDescent="0.35">
      <c r="B11" s="73"/>
      <c r="C11" s="152" t="s">
        <v>180</v>
      </c>
      <c r="D11" s="152"/>
      <c r="F11" s="48">
        <f>D96</f>
        <v>12</v>
      </c>
      <c r="G11" s="48">
        <f>E97</f>
        <v>6280000</v>
      </c>
      <c r="H11" s="154">
        <f>H97</f>
        <v>39940.800000000003</v>
      </c>
    </row>
    <row r="12" spans="1:14" x14ac:dyDescent="0.35">
      <c r="B12" s="73"/>
      <c r="C12" s="152" t="s">
        <v>181</v>
      </c>
      <c r="D12" s="152"/>
      <c r="F12" s="51">
        <f>SUM(F7:F11)</f>
        <v>35511</v>
      </c>
      <c r="G12" s="51">
        <f>SUM(G7:G11)</f>
        <v>127451940</v>
      </c>
      <c r="H12" s="153">
        <f>SUM(H7:H11)</f>
        <v>2660973.4299999992</v>
      </c>
    </row>
    <row r="13" spans="1:14" x14ac:dyDescent="0.35">
      <c r="B13" s="73"/>
      <c r="C13" s="152" t="s">
        <v>182</v>
      </c>
      <c r="D13" s="152"/>
      <c r="F13" s="45"/>
      <c r="G13" s="45"/>
      <c r="H13" s="154">
        <f>'ExBA - Beg. Rates'!H13</f>
        <v>-12088</v>
      </c>
    </row>
    <row r="14" spans="1:14" x14ac:dyDescent="0.35">
      <c r="B14" s="73"/>
      <c r="C14" s="152" t="s">
        <v>183</v>
      </c>
      <c r="D14" s="152"/>
      <c r="F14" s="45"/>
      <c r="G14" s="45"/>
      <c r="H14" s="153">
        <f>SUM(H12:H13)</f>
        <v>2648885.4299999992</v>
      </c>
      <c r="M14" s="153"/>
    </row>
    <row r="15" spans="1:14" x14ac:dyDescent="0.35">
      <c r="B15" s="73"/>
      <c r="C15" s="256"/>
      <c r="D15" s="152"/>
      <c r="F15" s="45"/>
      <c r="G15" s="45"/>
      <c r="H15" s="257"/>
      <c r="M15" s="153"/>
    </row>
    <row r="16" spans="1:14" x14ac:dyDescent="0.35">
      <c r="B16" s="73"/>
      <c r="C16" s="155"/>
      <c r="D16" s="155"/>
      <c r="H16" s="257"/>
      <c r="L16" s="27"/>
      <c r="M16" s="153"/>
    </row>
    <row r="17" spans="1:18" x14ac:dyDescent="0.35">
      <c r="B17" s="73"/>
      <c r="L17" s="27"/>
      <c r="M17" s="73"/>
    </row>
    <row r="18" spans="1:18" x14ac:dyDescent="0.35">
      <c r="B18" s="73"/>
      <c r="L18" s="27"/>
      <c r="M18" s="73"/>
    </row>
    <row r="19" spans="1:18" x14ac:dyDescent="0.35">
      <c r="A19" t="s">
        <v>185</v>
      </c>
      <c r="B19" s="62" t="s">
        <v>322</v>
      </c>
      <c r="M19" s="255"/>
    </row>
    <row r="20" spans="1:18" x14ac:dyDescent="0.35">
      <c r="B20" s="45"/>
      <c r="C20" s="45"/>
      <c r="D20" s="45"/>
      <c r="E20" s="45"/>
      <c r="F20" s="45" t="s">
        <v>53</v>
      </c>
      <c r="G20" s="45" t="s">
        <v>54</v>
      </c>
      <c r="H20" s="46" t="s">
        <v>54</v>
      </c>
      <c r="I20" s="46" t="s">
        <v>54</v>
      </c>
      <c r="J20" s="45" t="s">
        <v>98</v>
      </c>
      <c r="K20" s="45" t="s">
        <v>59</v>
      </c>
      <c r="L20" s="45"/>
      <c r="M20" s="45"/>
      <c r="N20" s="45"/>
    </row>
    <row r="21" spans="1:18" x14ac:dyDescent="0.35">
      <c r="B21" s="45"/>
      <c r="C21" s="47" t="s">
        <v>146</v>
      </c>
      <c r="D21" s="47" t="s">
        <v>147</v>
      </c>
      <c r="E21" s="47" t="s">
        <v>148</v>
      </c>
      <c r="F21" s="157">
        <f>C22</f>
        <v>2000</v>
      </c>
      <c r="G21" s="48">
        <f>C23</f>
        <v>3000</v>
      </c>
      <c r="H21" s="49">
        <f>C25</f>
        <v>5000</v>
      </c>
      <c r="I21" s="49">
        <f>C25</f>
        <v>5000</v>
      </c>
      <c r="J21" s="50">
        <f>SUM(F21:H21)</f>
        <v>10000</v>
      </c>
      <c r="K21" s="47"/>
      <c r="L21" s="45"/>
      <c r="M21" s="45"/>
      <c r="N21" s="45"/>
    </row>
    <row r="22" spans="1:18" x14ac:dyDescent="0.35">
      <c r="B22" s="45" t="s">
        <v>53</v>
      </c>
      <c r="C22" s="46">
        <v>2000</v>
      </c>
      <c r="D22" s="51">
        <v>14898</v>
      </c>
      <c r="E22" s="51">
        <v>14083390</v>
      </c>
      <c r="F22" s="51">
        <f>E22</f>
        <v>14083390</v>
      </c>
      <c r="G22" s="51">
        <v>0</v>
      </c>
      <c r="H22" s="52">
        <v>0</v>
      </c>
      <c r="I22" s="52"/>
      <c r="J22" s="51">
        <v>0</v>
      </c>
      <c r="K22" s="51">
        <f>SUM(F22:J22)</f>
        <v>14083390</v>
      </c>
      <c r="L22" s="51"/>
      <c r="M22" s="51"/>
      <c r="N22" s="51"/>
    </row>
    <row r="23" spans="1:18" x14ac:dyDescent="0.35">
      <c r="B23" s="45" t="s">
        <v>54</v>
      </c>
      <c r="C23" s="46">
        <v>3000</v>
      </c>
      <c r="D23" s="51">
        <v>15472</v>
      </c>
      <c r="E23" s="51">
        <v>49891280</v>
      </c>
      <c r="F23" s="51">
        <f>$D23*F$21</f>
        <v>30944000</v>
      </c>
      <c r="G23" s="51">
        <f>E23-F23</f>
        <v>18947280</v>
      </c>
      <c r="H23" s="52">
        <v>0</v>
      </c>
      <c r="I23" s="52"/>
      <c r="J23" s="51">
        <v>0</v>
      </c>
      <c r="K23" s="51">
        <f t="shared" ref="K23:K26" si="0">SUM(F23:J23)</f>
        <v>49891280</v>
      </c>
      <c r="L23" s="51"/>
      <c r="M23" s="51"/>
      <c r="N23" s="51"/>
      <c r="O23" s="51"/>
      <c r="P23" s="51"/>
    </row>
    <row r="24" spans="1:18" x14ac:dyDescent="0.35">
      <c r="B24" s="45" t="s">
        <v>54</v>
      </c>
      <c r="C24" s="46">
        <v>5000</v>
      </c>
      <c r="D24" s="51">
        <v>3998</v>
      </c>
      <c r="E24" s="51">
        <v>26273360</v>
      </c>
      <c r="F24" s="51">
        <f>$D24*F$21</f>
        <v>7996000</v>
      </c>
      <c r="G24" s="51">
        <f>$D24*G$21</f>
        <v>11994000</v>
      </c>
      <c r="H24" s="52">
        <f>E24-F24-G24</f>
        <v>6283360</v>
      </c>
      <c r="I24" s="52"/>
      <c r="J24" s="51"/>
      <c r="K24" s="51">
        <f t="shared" si="0"/>
        <v>26273360</v>
      </c>
      <c r="L24" s="51"/>
      <c r="M24" s="51"/>
      <c r="N24" s="51"/>
    </row>
    <row r="25" spans="1:18" x14ac:dyDescent="0.35">
      <c r="B25" s="45" t="s">
        <v>54</v>
      </c>
      <c r="C25" s="46">
        <v>5000</v>
      </c>
      <c r="D25" s="51">
        <v>504</v>
      </c>
      <c r="E25" s="51">
        <v>5985670</v>
      </c>
      <c r="F25" s="51">
        <f t="shared" ref="F25:I26" si="1">$D25*F$21</f>
        <v>1008000</v>
      </c>
      <c r="G25" s="51">
        <f t="shared" si="1"/>
        <v>1512000</v>
      </c>
      <c r="H25" s="51">
        <f t="shared" si="1"/>
        <v>2520000</v>
      </c>
      <c r="I25" s="51">
        <f>E25-F25-G25-H25</f>
        <v>945670</v>
      </c>
      <c r="J25" s="51">
        <v>0</v>
      </c>
      <c r="K25" s="51">
        <f t="shared" si="0"/>
        <v>5985670</v>
      </c>
      <c r="L25" s="51"/>
      <c r="M25" s="51"/>
      <c r="N25" s="51"/>
    </row>
    <row r="26" spans="1:18" x14ac:dyDescent="0.35">
      <c r="B26" s="45" t="s">
        <v>98</v>
      </c>
      <c r="C26" s="46">
        <f>SUM(C22:C25)</f>
        <v>15000</v>
      </c>
      <c r="D26" s="51">
        <v>319</v>
      </c>
      <c r="E26" s="51">
        <v>10049090</v>
      </c>
      <c r="F26" s="51">
        <f t="shared" si="1"/>
        <v>638000</v>
      </c>
      <c r="G26" s="51">
        <f t="shared" si="1"/>
        <v>957000</v>
      </c>
      <c r="H26" s="51">
        <f t="shared" si="1"/>
        <v>1595000</v>
      </c>
      <c r="I26" s="51">
        <f t="shared" si="1"/>
        <v>1595000</v>
      </c>
      <c r="J26" s="51">
        <f>E26-F26-G26-H26-I26</f>
        <v>5264090</v>
      </c>
      <c r="K26" s="51">
        <f t="shared" si="0"/>
        <v>10049090</v>
      </c>
      <c r="L26" s="51"/>
      <c r="M26" s="51"/>
      <c r="N26" s="51"/>
    </row>
    <row r="27" spans="1:18" ht="16" thickBot="1" x14ac:dyDescent="0.4">
      <c r="B27" s="45"/>
      <c r="C27" t="s">
        <v>0</v>
      </c>
      <c r="D27" s="53">
        <f t="shared" ref="D27:K27" si="2">SUM(D22:D26)</f>
        <v>35191</v>
      </c>
      <c r="E27" s="53">
        <f t="shared" si="2"/>
        <v>106282790</v>
      </c>
      <c r="F27" s="53">
        <f t="shared" si="2"/>
        <v>54669390</v>
      </c>
      <c r="G27" s="53">
        <f t="shared" si="2"/>
        <v>33410280</v>
      </c>
      <c r="H27" s="54">
        <f t="shared" si="2"/>
        <v>10398360</v>
      </c>
      <c r="I27" s="54">
        <f t="shared" si="2"/>
        <v>2540670</v>
      </c>
      <c r="J27" s="53">
        <f t="shared" si="2"/>
        <v>5264090</v>
      </c>
      <c r="K27" s="53">
        <f t="shared" si="2"/>
        <v>106282790</v>
      </c>
      <c r="L27" s="57"/>
      <c r="M27" s="57"/>
      <c r="N27" s="57"/>
    </row>
    <row r="28" spans="1:18" ht="16" thickTop="1" x14ac:dyDescent="0.35"/>
    <row r="30" spans="1:18" x14ac:dyDescent="0.35">
      <c r="B30" s="395" t="s">
        <v>149</v>
      </c>
      <c r="C30" s="395"/>
      <c r="D30" s="395"/>
      <c r="E30" s="395"/>
      <c r="F30" s="395"/>
      <c r="G30" s="395"/>
      <c r="H30" s="395"/>
    </row>
    <row r="31" spans="1:18" x14ac:dyDescent="0.35">
      <c r="C31" s="56"/>
      <c r="D31" s="158" t="s">
        <v>147</v>
      </c>
      <c r="E31" s="158" t="s">
        <v>148</v>
      </c>
      <c r="F31" s="395" t="s">
        <v>150</v>
      </c>
      <c r="G31" s="395"/>
      <c r="H31" s="158" t="s">
        <v>34</v>
      </c>
    </row>
    <row r="32" spans="1:18" x14ac:dyDescent="0.35">
      <c r="B32" s="45" t="s">
        <v>53</v>
      </c>
      <c r="C32" s="51">
        <f>C22</f>
        <v>2000</v>
      </c>
      <c r="D32" s="57">
        <f>D27</f>
        <v>35191</v>
      </c>
      <c r="E32" s="57">
        <f>F27</f>
        <v>54669390</v>
      </c>
      <c r="F32" s="58">
        <f>'Rates Comp Year 3 5.84%'!L12</f>
        <v>44.989999999999995</v>
      </c>
      <c r="G32" t="s">
        <v>186</v>
      </c>
      <c r="H32" s="58">
        <f>F32*D32</f>
        <v>1583243.0899999999</v>
      </c>
      <c r="Q32">
        <v>45.28</v>
      </c>
      <c r="R32" t="s">
        <v>186</v>
      </c>
    </row>
    <row r="33" spans="1:18" x14ac:dyDescent="0.35">
      <c r="B33" s="45" t="s">
        <v>54</v>
      </c>
      <c r="C33" s="51">
        <f>C23</f>
        <v>3000</v>
      </c>
      <c r="E33" s="57">
        <f>G27</f>
        <v>33410280</v>
      </c>
      <c r="F33" s="371">
        <f>'Rates Comp Year 3 5.84%'!L13</f>
        <v>1.6570000000000005E-2</v>
      </c>
      <c r="G33" t="s">
        <v>187</v>
      </c>
      <c r="H33" s="160">
        <f>ROUND(E33*F33,2)</f>
        <v>553608.34</v>
      </c>
      <c r="P33" s="161"/>
      <c r="Q33">
        <v>1.6830000000000001E-2</v>
      </c>
      <c r="R33" t="s">
        <v>187</v>
      </c>
    </row>
    <row r="34" spans="1:18" x14ac:dyDescent="0.35">
      <c r="B34" s="45" t="s">
        <v>54</v>
      </c>
      <c r="C34" s="51">
        <f>C25</f>
        <v>5000</v>
      </c>
      <c r="E34" s="57">
        <f>H27</f>
        <v>10398360</v>
      </c>
      <c r="F34" s="371">
        <f>'Rates Comp Year 3 5.84%'!L14</f>
        <v>1.5359999999999999E-2</v>
      </c>
      <c r="G34" t="s">
        <v>187</v>
      </c>
      <c r="H34" s="160">
        <f>ROUND(E34*F34,2)</f>
        <v>159718.81</v>
      </c>
      <c r="P34" s="161"/>
      <c r="Q34">
        <v>1.5609999999999999E-2</v>
      </c>
      <c r="R34" t="s">
        <v>187</v>
      </c>
    </row>
    <row r="35" spans="1:18" x14ac:dyDescent="0.35">
      <c r="B35" s="45" t="s">
        <v>54</v>
      </c>
      <c r="C35" s="51">
        <f>C26</f>
        <v>15000</v>
      </c>
      <c r="E35" s="57">
        <f>I27</f>
        <v>2540670</v>
      </c>
      <c r="F35" s="371">
        <f>'Rates Comp Year 3 5.84%'!L15</f>
        <v>1.4159999999999999E-2</v>
      </c>
      <c r="G35" t="s">
        <v>187</v>
      </c>
      <c r="H35" s="160">
        <f>ROUND(E35*F35,2)</f>
        <v>35975.89</v>
      </c>
      <c r="P35" s="161"/>
      <c r="Q35">
        <v>1.4409999999999999E-2</v>
      </c>
      <c r="R35" t="s">
        <v>187</v>
      </c>
    </row>
    <row r="36" spans="1:18" x14ac:dyDescent="0.35">
      <c r="B36" s="45" t="s">
        <v>98</v>
      </c>
      <c r="C36" s="51">
        <f>C26</f>
        <v>15000</v>
      </c>
      <c r="D36" s="56"/>
      <c r="E36" s="59">
        <f>J26</f>
        <v>5264090</v>
      </c>
      <c r="F36" s="371">
        <f>'Rates Comp Year 3 5.84%'!L16</f>
        <v>1.2959999999999999E-2</v>
      </c>
      <c r="G36" t="s">
        <v>187</v>
      </c>
      <c r="H36" s="160">
        <f>ROUND(E36*F36,2)</f>
        <v>68222.61</v>
      </c>
      <c r="P36" s="161"/>
      <c r="Q36">
        <v>1.319E-2</v>
      </c>
      <c r="R36" t="s">
        <v>187</v>
      </c>
    </row>
    <row r="37" spans="1:18" ht="16" thickBot="1" x14ac:dyDescent="0.4">
      <c r="C37" t="s">
        <v>37</v>
      </c>
      <c r="E37" s="53">
        <f>SUM(E32:E36)</f>
        <v>106282790</v>
      </c>
      <c r="H37" s="162">
        <f>SUM(H32:H36)</f>
        <v>2400768.7399999998</v>
      </c>
      <c r="K37" t="s">
        <v>151</v>
      </c>
    </row>
    <row r="38" spans="1:18" ht="16" thickTop="1" x14ac:dyDescent="0.35"/>
    <row r="39" spans="1:18" x14ac:dyDescent="0.35">
      <c r="Q39">
        <v>45.28</v>
      </c>
      <c r="R39" t="s">
        <v>186</v>
      </c>
    </row>
    <row r="40" spans="1:18" x14ac:dyDescent="0.35">
      <c r="A40" t="s">
        <v>185</v>
      </c>
      <c r="B40" s="73" t="s">
        <v>177</v>
      </c>
      <c r="I40"/>
      <c r="Q40">
        <v>1.5609999999999999E-2</v>
      </c>
      <c r="R40" t="s">
        <v>187</v>
      </c>
    </row>
    <row r="41" spans="1:18" x14ac:dyDescent="0.35">
      <c r="B41" s="45"/>
      <c r="C41" s="45"/>
      <c r="D41" s="45"/>
      <c r="E41" s="45"/>
      <c r="F41" s="45" t="s">
        <v>53</v>
      </c>
      <c r="G41" s="45" t="s">
        <v>54</v>
      </c>
      <c r="H41" s="46" t="s">
        <v>54</v>
      </c>
      <c r="I41" s="45" t="s">
        <v>98</v>
      </c>
      <c r="J41" s="45" t="s">
        <v>59</v>
      </c>
      <c r="Q41">
        <v>1.44E-2</v>
      </c>
      <c r="R41" t="s">
        <v>187</v>
      </c>
    </row>
    <row r="42" spans="1:18" x14ac:dyDescent="0.35">
      <c r="B42" s="45"/>
      <c r="C42" s="47" t="s">
        <v>146</v>
      </c>
      <c r="D42" s="47" t="s">
        <v>147</v>
      </c>
      <c r="E42" s="47" t="s">
        <v>148</v>
      </c>
      <c r="F42" s="48">
        <f>C43</f>
        <v>5000</v>
      </c>
      <c r="G42" s="48">
        <f>C44</f>
        <v>5000</v>
      </c>
      <c r="H42" s="49">
        <f>C44</f>
        <v>5000</v>
      </c>
      <c r="I42" s="50">
        <f>SUM(F42:H42)</f>
        <v>15000</v>
      </c>
      <c r="J42" s="47"/>
      <c r="Q42">
        <v>1.3180000000000001E-2</v>
      </c>
      <c r="R42" t="s">
        <v>187</v>
      </c>
    </row>
    <row r="43" spans="1:18" x14ac:dyDescent="0.35">
      <c r="B43" s="45" t="s">
        <v>53</v>
      </c>
      <c r="C43" s="46">
        <v>5000</v>
      </c>
      <c r="D43" s="51">
        <v>173</v>
      </c>
      <c r="E43" s="51">
        <v>291950</v>
      </c>
      <c r="F43" s="51">
        <f>E43</f>
        <v>291950</v>
      </c>
      <c r="G43" s="51">
        <v>0</v>
      </c>
      <c r="H43" s="52">
        <v>0</v>
      </c>
      <c r="I43" s="51">
        <v>0</v>
      </c>
      <c r="J43" s="51">
        <f>SUM(F43:I43)</f>
        <v>291950</v>
      </c>
    </row>
    <row r="44" spans="1:18" x14ac:dyDescent="0.35">
      <c r="B44" s="45" t="s">
        <v>54</v>
      </c>
      <c r="C44" s="46">
        <v>5000</v>
      </c>
      <c r="D44" s="51">
        <v>15</v>
      </c>
      <c r="E44" s="51">
        <v>103990</v>
      </c>
      <c r="F44" s="51">
        <f>$D44*F$42</f>
        <v>75000</v>
      </c>
      <c r="G44" s="51">
        <f>E44-F44</f>
        <v>28990</v>
      </c>
      <c r="H44" s="52">
        <v>0</v>
      </c>
      <c r="I44" s="51">
        <v>0</v>
      </c>
      <c r="J44" s="51">
        <f>SUM(F44:I44)</f>
        <v>103990</v>
      </c>
      <c r="K44" s="51"/>
      <c r="L44" s="51"/>
      <c r="M44" s="51"/>
      <c r="N44" s="51"/>
      <c r="O44" s="51"/>
    </row>
    <row r="45" spans="1:18" x14ac:dyDescent="0.35">
      <c r="B45" s="45" t="s">
        <v>54</v>
      </c>
      <c r="C45" s="46">
        <v>5000</v>
      </c>
      <c r="D45" s="51">
        <v>2</v>
      </c>
      <c r="E45" s="51">
        <v>24750</v>
      </c>
      <c r="F45" s="51">
        <f t="shared" ref="F45:F46" si="3">$D45*F$42</f>
        <v>10000</v>
      </c>
      <c r="G45" s="51">
        <f>$D45*G$42</f>
        <v>10000</v>
      </c>
      <c r="H45" s="52">
        <f>E45-F45-G45</f>
        <v>4750</v>
      </c>
      <c r="I45" s="51"/>
      <c r="J45" s="51">
        <f>SUM(F45:I45)</f>
        <v>24750</v>
      </c>
      <c r="Q45">
        <v>244.14</v>
      </c>
      <c r="R45" t="s">
        <v>186</v>
      </c>
    </row>
    <row r="46" spans="1:18" x14ac:dyDescent="0.35">
      <c r="B46" s="45" t="s">
        <v>98</v>
      </c>
      <c r="C46" s="46">
        <f>SUM(C43:C45)</f>
        <v>15000</v>
      </c>
      <c r="D46" s="51">
        <v>10</v>
      </c>
      <c r="E46" s="51">
        <v>655450</v>
      </c>
      <c r="F46" s="51">
        <f t="shared" si="3"/>
        <v>50000</v>
      </c>
      <c r="G46" s="51">
        <f>$D46*G$42</f>
        <v>50000</v>
      </c>
      <c r="H46" s="51">
        <f>$D46*H$42</f>
        <v>50000</v>
      </c>
      <c r="I46" s="51">
        <f>E46-F46-G46-H46</f>
        <v>505450</v>
      </c>
      <c r="J46" s="51">
        <f>SUM(F46:I46)</f>
        <v>655450</v>
      </c>
      <c r="Q46">
        <v>1.3180000000000001E-2</v>
      </c>
      <c r="R46" t="s">
        <v>187</v>
      </c>
    </row>
    <row r="47" spans="1:18" ht="16" thickBot="1" x14ac:dyDescent="0.4">
      <c r="B47" s="45"/>
      <c r="C47" t="s">
        <v>0</v>
      </c>
      <c r="D47" s="53">
        <f t="shared" ref="D47:J47" si="4">SUM(D43:D46)</f>
        <v>200</v>
      </c>
      <c r="E47" s="53">
        <f t="shared" si="4"/>
        <v>1076140</v>
      </c>
      <c r="F47" s="53">
        <f t="shared" si="4"/>
        <v>426950</v>
      </c>
      <c r="G47" s="53">
        <f t="shared" si="4"/>
        <v>88990</v>
      </c>
      <c r="H47" s="54">
        <f t="shared" si="4"/>
        <v>54750</v>
      </c>
      <c r="I47" s="53">
        <f t="shared" si="4"/>
        <v>505450</v>
      </c>
      <c r="J47" s="53">
        <f t="shared" si="4"/>
        <v>1076140</v>
      </c>
    </row>
    <row r="48" spans="1:18" ht="16" thickTop="1" x14ac:dyDescent="0.35">
      <c r="I48"/>
    </row>
    <row r="49" spans="1:18" x14ac:dyDescent="0.35">
      <c r="I49"/>
      <c r="Q49">
        <v>1367.5</v>
      </c>
      <c r="R49" t="s">
        <v>186</v>
      </c>
    </row>
    <row r="50" spans="1:18" x14ac:dyDescent="0.35">
      <c r="B50" s="395" t="s">
        <v>149</v>
      </c>
      <c r="C50" s="395"/>
      <c r="D50" s="395"/>
      <c r="E50" s="395"/>
      <c r="F50" s="395"/>
      <c r="G50" s="395"/>
      <c r="H50" s="395"/>
      <c r="I50"/>
      <c r="Q50">
        <v>1.3180000000000001E-2</v>
      </c>
      <c r="R50" t="s">
        <v>187</v>
      </c>
    </row>
    <row r="51" spans="1:18" x14ac:dyDescent="0.35">
      <c r="C51" s="56"/>
      <c r="D51" s="158" t="s">
        <v>147</v>
      </c>
      <c r="E51" s="158" t="s">
        <v>148</v>
      </c>
      <c r="F51" s="395" t="s">
        <v>150</v>
      </c>
      <c r="G51" s="395"/>
      <c r="H51" s="158" t="s">
        <v>34</v>
      </c>
      <c r="I51"/>
    </row>
    <row r="52" spans="1:18" x14ac:dyDescent="0.35">
      <c r="B52" s="45" t="s">
        <v>53</v>
      </c>
      <c r="C52" s="51">
        <f>C43</f>
        <v>5000</v>
      </c>
      <c r="D52" s="57">
        <f>D47</f>
        <v>200</v>
      </c>
      <c r="E52" s="57">
        <f>F47</f>
        <v>426950</v>
      </c>
      <c r="F52" s="58">
        <f>'Rates Comp Year 3 5.84%'!L19</f>
        <v>95.300000000000011</v>
      </c>
      <c r="G52" t="s">
        <v>186</v>
      </c>
      <c r="H52" s="58">
        <f>F52*D52</f>
        <v>19060.000000000004</v>
      </c>
      <c r="I52"/>
    </row>
    <row r="53" spans="1:18" x14ac:dyDescent="0.35">
      <c r="B53" s="45" t="s">
        <v>54</v>
      </c>
      <c r="C53" s="51">
        <f>C44</f>
        <v>5000</v>
      </c>
      <c r="E53" s="57">
        <f>G47</f>
        <v>88990</v>
      </c>
      <c r="F53" s="371">
        <f>'Rates Comp Year 3 5.84%'!L20</f>
        <v>1.5359999999999999E-2</v>
      </c>
      <c r="G53" t="s">
        <v>187</v>
      </c>
      <c r="H53" s="160">
        <f>ROUND(E53*F53,2)</f>
        <v>1366.89</v>
      </c>
      <c r="I53"/>
      <c r="P53" s="161"/>
      <c r="Q53">
        <v>6.4199999999999995E-3</v>
      </c>
      <c r="R53" t="s">
        <v>187</v>
      </c>
    </row>
    <row r="54" spans="1:18" x14ac:dyDescent="0.35">
      <c r="B54" s="45" t="s">
        <v>54</v>
      </c>
      <c r="C54" s="51">
        <f>C45</f>
        <v>5000</v>
      </c>
      <c r="E54" s="57">
        <f>H47</f>
        <v>54750</v>
      </c>
      <c r="F54" s="371">
        <f>'Rates Comp Year 3 5.84%'!L21</f>
        <v>1.4159999999999999E-2</v>
      </c>
      <c r="G54" t="s">
        <v>187</v>
      </c>
      <c r="H54" s="160">
        <f>ROUND(E54*F54,2)</f>
        <v>775.26</v>
      </c>
      <c r="I54"/>
      <c r="P54" s="161"/>
    </row>
    <row r="55" spans="1:18" x14ac:dyDescent="0.35">
      <c r="B55" s="45" t="s">
        <v>98</v>
      </c>
      <c r="C55" s="51">
        <f>C46</f>
        <v>15000</v>
      </c>
      <c r="D55" s="56"/>
      <c r="E55" s="59">
        <f>I46</f>
        <v>505450</v>
      </c>
      <c r="F55" s="371">
        <f>'Rates Comp Year 3 5.84%'!L22</f>
        <v>1.2959999999999999E-2</v>
      </c>
      <c r="G55" t="s">
        <v>187</v>
      </c>
      <c r="H55" s="160">
        <f>ROUND(E55*F55,2)</f>
        <v>6550.63</v>
      </c>
      <c r="I55"/>
      <c r="P55" s="161"/>
    </row>
    <row r="56" spans="1:18" ht="16" thickBot="1" x14ac:dyDescent="0.4">
      <c r="C56" t="s">
        <v>37</v>
      </c>
      <c r="E56" s="53">
        <f>SUM(E52:E55)</f>
        <v>1076140</v>
      </c>
      <c r="H56" s="162">
        <f>SUM(H52:H55)</f>
        <v>27752.780000000002</v>
      </c>
      <c r="I56"/>
      <c r="J56" t="s">
        <v>151</v>
      </c>
    </row>
    <row r="57" spans="1:18" ht="16" thickTop="1" x14ac:dyDescent="0.35"/>
    <row r="58" spans="1:18" x14ac:dyDescent="0.35">
      <c r="A58" t="s">
        <v>185</v>
      </c>
      <c r="B58" s="73" t="s">
        <v>178</v>
      </c>
      <c r="H58"/>
      <c r="I58"/>
    </row>
    <row r="59" spans="1:18" x14ac:dyDescent="0.35">
      <c r="B59" s="45"/>
      <c r="C59" s="45"/>
      <c r="D59" s="45"/>
      <c r="E59" s="45"/>
      <c r="F59" s="45" t="s">
        <v>53</v>
      </c>
      <c r="G59" s="45" t="s">
        <v>98</v>
      </c>
      <c r="H59" s="45" t="s">
        <v>59</v>
      </c>
      <c r="I59"/>
    </row>
    <row r="60" spans="1:18" x14ac:dyDescent="0.35">
      <c r="B60" s="45"/>
      <c r="C60" s="47" t="s">
        <v>146</v>
      </c>
      <c r="D60" s="47" t="s">
        <v>147</v>
      </c>
      <c r="E60" s="47" t="s">
        <v>148</v>
      </c>
      <c r="F60" s="48">
        <f>C61</f>
        <v>15000</v>
      </c>
      <c r="G60" s="50">
        <f>SUM(F60:F60)</f>
        <v>15000</v>
      </c>
      <c r="H60" s="47"/>
      <c r="I60"/>
    </row>
    <row r="61" spans="1:18" x14ac:dyDescent="0.35">
      <c r="B61" s="45" t="s">
        <v>53</v>
      </c>
      <c r="C61" s="46">
        <v>15000</v>
      </c>
      <c r="D61" s="51">
        <v>24</v>
      </c>
      <c r="E61" s="51">
        <v>145730</v>
      </c>
      <c r="F61" s="51">
        <f>E61</f>
        <v>145730</v>
      </c>
      <c r="G61" s="51">
        <v>0</v>
      </c>
      <c r="H61" s="51">
        <f>SUM(F61:G61)</f>
        <v>145730</v>
      </c>
      <c r="I61"/>
    </row>
    <row r="62" spans="1:18" x14ac:dyDescent="0.35">
      <c r="B62" s="45" t="s">
        <v>98</v>
      </c>
      <c r="C62" s="46">
        <f>SUM(C61:C61)</f>
        <v>15000</v>
      </c>
      <c r="D62" s="51">
        <v>72</v>
      </c>
      <c r="E62" s="51">
        <v>12530570</v>
      </c>
      <c r="F62" s="51">
        <f>$D62*F$60</f>
        <v>1080000</v>
      </c>
      <c r="G62" s="51">
        <f>E62-F62</f>
        <v>11450570</v>
      </c>
      <c r="H62" s="51">
        <f>SUM(F62:G62)</f>
        <v>12530570</v>
      </c>
      <c r="I62"/>
    </row>
    <row r="63" spans="1:18" ht="16" thickBot="1" x14ac:dyDescent="0.4">
      <c r="B63" s="45"/>
      <c r="C63" t="s">
        <v>0</v>
      </c>
      <c r="D63" s="53">
        <f>SUM(D61:D62)</f>
        <v>96</v>
      </c>
      <c r="E63" s="53">
        <f>SUM(E61:E62)</f>
        <v>12676300</v>
      </c>
      <c r="F63" s="53">
        <f>SUM(F61:F62)</f>
        <v>1225730</v>
      </c>
      <c r="G63" s="53">
        <f>SUM(G61:G62)</f>
        <v>11450570</v>
      </c>
      <c r="H63" s="53">
        <f>SUM(H61:H62)</f>
        <v>12676300</v>
      </c>
      <c r="I63"/>
    </row>
    <row r="64" spans="1:18" ht="16" thickTop="1" x14ac:dyDescent="0.35">
      <c r="H64"/>
      <c r="I64"/>
    </row>
    <row r="65" spans="1:16" x14ac:dyDescent="0.35">
      <c r="H65"/>
      <c r="I65"/>
    </row>
    <row r="66" spans="1:16" x14ac:dyDescent="0.35">
      <c r="B66" s="395" t="s">
        <v>149</v>
      </c>
      <c r="C66" s="395"/>
      <c r="D66" s="395"/>
      <c r="E66" s="395"/>
      <c r="F66" s="395"/>
      <c r="G66" s="395"/>
      <c r="H66" s="395"/>
      <c r="I66"/>
    </row>
    <row r="67" spans="1:16" x14ac:dyDescent="0.35">
      <c r="C67" s="56"/>
      <c r="D67" s="158" t="s">
        <v>147</v>
      </c>
      <c r="E67" s="158" t="s">
        <v>148</v>
      </c>
      <c r="F67" s="395" t="s">
        <v>150</v>
      </c>
      <c r="G67" s="395"/>
      <c r="H67" s="158" t="s">
        <v>34</v>
      </c>
      <c r="I67"/>
    </row>
    <row r="68" spans="1:16" x14ac:dyDescent="0.35">
      <c r="B68" s="45" t="s">
        <v>53</v>
      </c>
      <c r="C68" s="51">
        <f>C61</f>
        <v>15000</v>
      </c>
      <c r="D68" s="57">
        <f>D63</f>
        <v>96</v>
      </c>
      <c r="E68" s="57">
        <f>F63</f>
        <v>1225730</v>
      </c>
      <c r="F68" s="58">
        <f>'Rates Comp Year 3 5.84%'!L25</f>
        <v>242.16</v>
      </c>
      <c r="G68" t="s">
        <v>186</v>
      </c>
      <c r="H68" s="58">
        <f>F68*D68</f>
        <v>23247.360000000001</v>
      </c>
      <c r="I68"/>
    </row>
    <row r="69" spans="1:16" x14ac:dyDescent="0.35">
      <c r="B69" s="45" t="s">
        <v>98</v>
      </c>
      <c r="C69" s="51">
        <f>C62</f>
        <v>15000</v>
      </c>
      <c r="D69" s="56"/>
      <c r="E69" s="59">
        <f>G62</f>
        <v>11450570</v>
      </c>
      <c r="F69" s="371">
        <f>'Rates Comp Year 3 5.84%'!L26</f>
        <v>1.2959999999999999E-2</v>
      </c>
      <c r="G69" t="s">
        <v>187</v>
      </c>
      <c r="H69" s="160">
        <f>ROUND(E69*F69,2)</f>
        <v>148399.39000000001</v>
      </c>
      <c r="I69"/>
      <c r="P69" s="161"/>
    </row>
    <row r="70" spans="1:16" ht="16" thickBot="1" x14ac:dyDescent="0.4">
      <c r="C70" t="s">
        <v>37</v>
      </c>
      <c r="E70" s="53">
        <f>SUM(E68:E69)</f>
        <v>12676300</v>
      </c>
      <c r="H70" s="162">
        <f>SUM(H68:H69)</f>
        <v>171646.75</v>
      </c>
      <c r="I70"/>
    </row>
    <row r="71" spans="1:16" ht="16" thickTop="1" x14ac:dyDescent="0.35"/>
    <row r="72" spans="1:16" x14ac:dyDescent="0.35">
      <c r="A72" t="s">
        <v>185</v>
      </c>
      <c r="B72" s="73" t="s">
        <v>179</v>
      </c>
      <c r="H72"/>
      <c r="I72"/>
    </row>
    <row r="73" spans="1:16" x14ac:dyDescent="0.35">
      <c r="B73" s="45"/>
      <c r="C73" s="45"/>
      <c r="D73" s="45"/>
      <c r="E73" s="45"/>
      <c r="F73" s="45" t="s">
        <v>53</v>
      </c>
      <c r="G73" s="45" t="s">
        <v>98</v>
      </c>
      <c r="H73" s="45" t="s">
        <v>59</v>
      </c>
      <c r="I73"/>
    </row>
    <row r="74" spans="1:16" x14ac:dyDescent="0.35">
      <c r="B74" s="45"/>
      <c r="C74" s="47" t="s">
        <v>146</v>
      </c>
      <c r="D74" s="47" t="s">
        <v>147</v>
      </c>
      <c r="E74" s="47" t="s">
        <v>148</v>
      </c>
      <c r="F74" s="48">
        <f>C75</f>
        <v>100000</v>
      </c>
      <c r="G74" s="50">
        <f>SUM(F74:F74)</f>
        <v>100000</v>
      </c>
      <c r="H74" s="47"/>
      <c r="I74"/>
    </row>
    <row r="75" spans="1:16" x14ac:dyDescent="0.35">
      <c r="B75" s="45" t="s">
        <v>53</v>
      </c>
      <c r="C75" s="46">
        <v>100000</v>
      </c>
      <c r="D75" s="51">
        <v>8</v>
      </c>
      <c r="E75" s="51">
        <v>382380</v>
      </c>
      <c r="F75" s="51">
        <f>E75</f>
        <v>382380</v>
      </c>
      <c r="G75" s="51">
        <v>0</v>
      </c>
      <c r="H75" s="51">
        <f>SUM(F75:G75)</f>
        <v>382380</v>
      </c>
      <c r="I75"/>
    </row>
    <row r="76" spans="1:16" x14ac:dyDescent="0.35">
      <c r="B76" s="45" t="s">
        <v>98</v>
      </c>
      <c r="C76" s="46">
        <f>SUM(C75:C75)</f>
        <v>100000</v>
      </c>
      <c r="D76" s="51">
        <v>4</v>
      </c>
      <c r="E76" s="51">
        <v>754330</v>
      </c>
      <c r="F76" s="51">
        <f>$D76*F$74</f>
        <v>400000</v>
      </c>
      <c r="G76" s="51">
        <f>E76-F76</f>
        <v>354330</v>
      </c>
      <c r="H76" s="51">
        <f>SUM(F76:G76)</f>
        <v>754330</v>
      </c>
      <c r="I76"/>
    </row>
    <row r="77" spans="1:16" ht="16" thickBot="1" x14ac:dyDescent="0.4">
      <c r="B77" s="45"/>
      <c r="C77" t="s">
        <v>0</v>
      </c>
      <c r="D77" s="53">
        <f>SUM(D75:D76)</f>
        <v>12</v>
      </c>
      <c r="E77" s="53">
        <f>SUM(E75:E76)</f>
        <v>1136710</v>
      </c>
      <c r="F77" s="53">
        <f>SUM(F75:F76)</f>
        <v>782380</v>
      </c>
      <c r="G77" s="53">
        <f>SUM(G75:G76)</f>
        <v>354330</v>
      </c>
      <c r="H77" s="53">
        <f>SUM(H75:H76)</f>
        <v>1136710</v>
      </c>
      <c r="I77"/>
    </row>
    <row r="78" spans="1:16" ht="16" thickTop="1" x14ac:dyDescent="0.35">
      <c r="H78"/>
      <c r="I78"/>
    </row>
    <row r="79" spans="1:16" x14ac:dyDescent="0.35">
      <c r="H79"/>
      <c r="I79"/>
    </row>
    <row r="80" spans="1:16" x14ac:dyDescent="0.35">
      <c r="B80" s="395" t="s">
        <v>149</v>
      </c>
      <c r="C80" s="395"/>
      <c r="D80" s="395"/>
      <c r="E80" s="395"/>
      <c r="F80" s="395"/>
      <c r="G80" s="395"/>
      <c r="H80" s="395"/>
      <c r="I80"/>
    </row>
    <row r="81" spans="1:16" x14ac:dyDescent="0.35">
      <c r="C81" s="56"/>
      <c r="D81" s="158" t="s">
        <v>147</v>
      </c>
      <c r="E81" s="158" t="s">
        <v>148</v>
      </c>
      <c r="F81" s="395" t="s">
        <v>150</v>
      </c>
      <c r="G81" s="395"/>
      <c r="H81" s="158" t="s">
        <v>34</v>
      </c>
      <c r="I81"/>
    </row>
    <row r="82" spans="1:16" x14ac:dyDescent="0.35">
      <c r="B82" s="45" t="s">
        <v>53</v>
      </c>
      <c r="C82" s="51">
        <f>C75</f>
        <v>100000</v>
      </c>
      <c r="D82" s="57">
        <f>D77</f>
        <v>12</v>
      </c>
      <c r="E82" s="57">
        <f>F77</f>
        <v>782380</v>
      </c>
      <c r="F82" s="58">
        <f>'Rates Comp Year 3 5.84%'!L29</f>
        <v>1356.02</v>
      </c>
      <c r="G82" t="s">
        <v>186</v>
      </c>
      <c r="H82" s="58">
        <f>F82*D82</f>
        <v>16272.24</v>
      </c>
      <c r="I82"/>
    </row>
    <row r="83" spans="1:16" x14ac:dyDescent="0.35">
      <c r="B83" s="45" t="s">
        <v>98</v>
      </c>
      <c r="C83" s="51">
        <f>C76</f>
        <v>100000</v>
      </c>
      <c r="D83" s="56"/>
      <c r="E83" s="59">
        <f>G76</f>
        <v>354330</v>
      </c>
      <c r="F83" s="371">
        <f>'Rates Comp Year 3 5.84%'!L30</f>
        <v>1.2959999999999999E-2</v>
      </c>
      <c r="G83" t="s">
        <v>187</v>
      </c>
      <c r="H83" s="160">
        <f>ROUND(E83*F83,2)</f>
        <v>4592.12</v>
      </c>
      <c r="I83"/>
      <c r="P83" s="161"/>
    </row>
    <row r="84" spans="1:16" ht="16" thickBot="1" x14ac:dyDescent="0.4">
      <c r="C84" t="s">
        <v>37</v>
      </c>
      <c r="E84" s="53">
        <f>SUM(E82:E83)</f>
        <v>1136710</v>
      </c>
      <c r="H84" s="162">
        <f>SUM(H82:H83)</f>
        <v>20864.36</v>
      </c>
      <c r="I84"/>
    </row>
    <row r="85" spans="1:16" ht="16" thickTop="1" x14ac:dyDescent="0.35"/>
    <row r="86" spans="1:16" x14ac:dyDescent="0.35">
      <c r="A86" t="s">
        <v>185</v>
      </c>
      <c r="B86" s="73" t="s">
        <v>188</v>
      </c>
      <c r="H86"/>
      <c r="I86"/>
    </row>
    <row r="87" spans="1:16" x14ac:dyDescent="0.35">
      <c r="E87" s="345">
        <f>E84/12</f>
        <v>94725.833333333328</v>
      </c>
      <c r="H87"/>
      <c r="I87"/>
    </row>
    <row r="88" spans="1:16" x14ac:dyDescent="0.35">
      <c r="B88" s="45"/>
      <c r="C88" s="45"/>
      <c r="D88" s="45"/>
      <c r="E88" s="45"/>
      <c r="H88"/>
      <c r="I88"/>
    </row>
    <row r="89" spans="1:16" x14ac:dyDescent="0.35">
      <c r="B89" s="45"/>
      <c r="C89" s="47" t="s">
        <v>146</v>
      </c>
      <c r="D89" s="47" t="s">
        <v>147</v>
      </c>
      <c r="E89" s="47" t="s">
        <v>148</v>
      </c>
      <c r="H89"/>
      <c r="I89"/>
    </row>
    <row r="90" spans="1:16" x14ac:dyDescent="0.35">
      <c r="B90" s="45" t="s">
        <v>98</v>
      </c>
      <c r="C90" s="46">
        <v>6280000</v>
      </c>
      <c r="D90" s="51">
        <v>12</v>
      </c>
      <c r="E90" s="51">
        <v>6280000</v>
      </c>
      <c r="H90"/>
      <c r="I90"/>
    </row>
    <row r="91" spans="1:16" ht="16" thickBot="1" x14ac:dyDescent="0.4">
      <c r="B91" s="45"/>
      <c r="C91" t="s">
        <v>0</v>
      </c>
      <c r="D91" s="53">
        <f>SUM(D90:D90)</f>
        <v>12</v>
      </c>
      <c r="E91" s="53">
        <f>SUM(E90:E90)</f>
        <v>6280000</v>
      </c>
      <c r="H91"/>
      <c r="I91"/>
    </row>
    <row r="92" spans="1:16" ht="16" thickTop="1" x14ac:dyDescent="0.35">
      <c r="H92"/>
      <c r="I92"/>
    </row>
    <row r="93" spans="1:16" x14ac:dyDescent="0.35">
      <c r="H93"/>
      <c r="I93"/>
    </row>
    <row r="94" spans="1:16" x14ac:dyDescent="0.35">
      <c r="B94" s="395" t="s">
        <v>149</v>
      </c>
      <c r="C94" s="395"/>
      <c r="D94" s="395"/>
      <c r="E94" s="395"/>
      <c r="F94" s="395"/>
      <c r="G94" s="395"/>
      <c r="H94" s="395"/>
      <c r="I94"/>
    </row>
    <row r="95" spans="1:16" x14ac:dyDescent="0.35">
      <c r="C95" s="56"/>
      <c r="D95" s="158" t="s">
        <v>147</v>
      </c>
      <c r="E95" s="158" t="s">
        <v>148</v>
      </c>
      <c r="F95" s="395" t="s">
        <v>150</v>
      </c>
      <c r="G95" s="395"/>
      <c r="H95" s="158" t="s">
        <v>34</v>
      </c>
      <c r="I95"/>
    </row>
    <row r="96" spans="1:16" x14ac:dyDescent="0.35">
      <c r="B96" s="45" t="s">
        <v>148</v>
      </c>
      <c r="C96" s="51"/>
      <c r="D96" s="59">
        <f>D91</f>
        <v>12</v>
      </c>
      <c r="E96" s="59">
        <f>E91</f>
        <v>6280000</v>
      </c>
      <c r="F96" s="371">
        <f>'Rates Comp Year 3 5.84%'!L33</f>
        <v>6.3599999999999993E-3</v>
      </c>
      <c r="G96" t="s">
        <v>187</v>
      </c>
      <c r="H96" s="160">
        <f>ROUND(E96*F96,2)</f>
        <v>39940.800000000003</v>
      </c>
      <c r="I96"/>
      <c r="P96" s="161"/>
    </row>
    <row r="97" spans="3:9" ht="16" thickBot="1" x14ac:dyDescent="0.4">
      <c r="C97" t="s">
        <v>37</v>
      </c>
      <c r="E97" s="53">
        <f>SUM(E96:E96)</f>
        <v>6280000</v>
      </c>
      <c r="H97" s="162">
        <f>SUM(H96:H96)</f>
        <v>39940.800000000003</v>
      </c>
      <c r="I97"/>
    </row>
    <row r="98" spans="3:9" ht="16" thickTop="1" x14ac:dyDescent="0.35"/>
  </sheetData>
  <mergeCells count="17">
    <mergeCell ref="B66:H66"/>
    <mergeCell ref="A1:K1"/>
    <mergeCell ref="A2:K2"/>
    <mergeCell ref="A3:K3"/>
    <mergeCell ref="A4:K4"/>
    <mergeCell ref="C6:D6"/>
    <mergeCell ref="C7:D7"/>
    <mergeCell ref="C8:D8"/>
    <mergeCell ref="B30:H30"/>
    <mergeCell ref="F31:G31"/>
    <mergeCell ref="B50:H50"/>
    <mergeCell ref="F51:G51"/>
    <mergeCell ref="F67:G67"/>
    <mergeCell ref="B80:H80"/>
    <mergeCell ref="F81:G81"/>
    <mergeCell ref="B94:H94"/>
    <mergeCell ref="F95:G95"/>
  </mergeCells>
  <printOptions horizontalCentered="1"/>
  <pageMargins left="0.6" right="0.6" top="1" bottom="1" header="0.3" footer="0.3"/>
  <pageSetup scale="63" fitToHeight="2" orientation="landscape" horizontalDpi="4294967293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02D4-D515-4E93-ACB5-973A4D800860}">
  <dimension ref="A6:C21"/>
  <sheetViews>
    <sheetView topLeftCell="A6" zoomScale="160" zoomScaleNormal="160" workbookViewId="0">
      <selection activeCell="B6" sqref="B6:B21"/>
    </sheetView>
  </sheetViews>
  <sheetFormatPr defaultRowHeight="15.5" x14ac:dyDescent="0.35"/>
  <cols>
    <col min="2" max="2" width="15.3046875" customWidth="1"/>
  </cols>
  <sheetData>
    <row r="6" spans="1:3" x14ac:dyDescent="0.35">
      <c r="A6">
        <v>1</v>
      </c>
      <c r="B6" s="178"/>
      <c r="C6" t="s">
        <v>402</v>
      </c>
    </row>
    <row r="7" spans="1:3" x14ac:dyDescent="0.35">
      <c r="A7">
        <v>2</v>
      </c>
      <c r="B7" s="178"/>
      <c r="C7" t="s">
        <v>403</v>
      </c>
    </row>
    <row r="8" spans="1:3" x14ac:dyDescent="0.35">
      <c r="A8">
        <v>3</v>
      </c>
      <c r="B8" s="178"/>
      <c r="C8" t="s">
        <v>404</v>
      </c>
    </row>
    <row r="9" spans="1:3" x14ac:dyDescent="0.35">
      <c r="A9">
        <v>4</v>
      </c>
      <c r="B9" s="178"/>
      <c r="C9" t="s">
        <v>405</v>
      </c>
    </row>
    <row r="10" spans="1:3" x14ac:dyDescent="0.35">
      <c r="A10">
        <v>5</v>
      </c>
      <c r="B10" s="178"/>
      <c r="C10" t="s">
        <v>406</v>
      </c>
    </row>
    <row r="11" spans="1:3" x14ac:dyDescent="0.35">
      <c r="A11">
        <v>6</v>
      </c>
      <c r="B11" s="178"/>
      <c r="C11" t="s">
        <v>407</v>
      </c>
    </row>
    <row r="12" spans="1:3" x14ac:dyDescent="0.35">
      <c r="A12">
        <v>7</v>
      </c>
      <c r="B12" s="178"/>
      <c r="C12" t="s">
        <v>408</v>
      </c>
    </row>
    <row r="13" spans="1:3" x14ac:dyDescent="0.35">
      <c r="A13">
        <v>8</v>
      </c>
      <c r="B13" s="178"/>
      <c r="C13" t="s">
        <v>409</v>
      </c>
    </row>
    <row r="14" spans="1:3" x14ac:dyDescent="0.35">
      <c r="A14">
        <v>9</v>
      </c>
      <c r="B14" s="178"/>
      <c r="C14" t="s">
        <v>410</v>
      </c>
    </row>
    <row r="15" spans="1:3" x14ac:dyDescent="0.35">
      <c r="A15">
        <v>10</v>
      </c>
      <c r="B15" s="178"/>
      <c r="C15" t="s">
        <v>411</v>
      </c>
    </row>
    <row r="16" spans="1:3" x14ac:dyDescent="0.35">
      <c r="A16">
        <v>11</v>
      </c>
      <c r="B16" s="178"/>
    </row>
    <row r="17" spans="1:3" x14ac:dyDescent="0.35">
      <c r="A17">
        <v>12</v>
      </c>
      <c r="B17" s="178"/>
      <c r="C17" t="s">
        <v>412</v>
      </c>
    </row>
    <row r="18" spans="1:3" x14ac:dyDescent="0.35">
      <c r="A18">
        <v>13</v>
      </c>
      <c r="B18" s="178"/>
      <c r="C18" t="s">
        <v>413</v>
      </c>
    </row>
    <row r="19" spans="1:3" x14ac:dyDescent="0.35">
      <c r="A19">
        <v>14</v>
      </c>
      <c r="B19" s="178"/>
      <c r="C19" t="s">
        <v>411</v>
      </c>
    </row>
    <row r="20" spans="1:3" x14ac:dyDescent="0.35">
      <c r="A20">
        <v>15</v>
      </c>
      <c r="B20" s="178"/>
      <c r="C20" t="s">
        <v>414</v>
      </c>
    </row>
    <row r="21" spans="1:3" x14ac:dyDescent="0.35">
      <c r="A21">
        <v>16</v>
      </c>
      <c r="B21" s="178"/>
      <c r="C21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3947-24F1-4415-A981-D9D73DE7886B}">
  <dimension ref="A9:C19"/>
  <sheetViews>
    <sheetView workbookViewId="0">
      <selection activeCell="C1" sqref="C1:C1048576"/>
    </sheetView>
  </sheetViews>
  <sheetFormatPr defaultColWidth="12.765625" defaultRowHeight="15.5" x14ac:dyDescent="0.35"/>
  <cols>
    <col min="3" max="3" width="12.765625" style="60"/>
  </cols>
  <sheetData>
    <row r="9" spans="1:3" x14ac:dyDescent="0.35">
      <c r="A9" s="27" t="s">
        <v>392</v>
      </c>
    </row>
    <row r="10" spans="1:3" x14ac:dyDescent="0.35">
      <c r="A10" s="27" t="s">
        <v>15</v>
      </c>
      <c r="C10" s="60">
        <f>-'SAO - DSC'!H24</f>
        <v>127294</v>
      </c>
    </row>
    <row r="11" spans="1:3" x14ac:dyDescent="0.35">
      <c r="A11" s="27" t="s">
        <v>16</v>
      </c>
      <c r="C11" s="281">
        <f>-'SAO - DSC'!H25</f>
        <v>10535</v>
      </c>
    </row>
    <row r="13" spans="1:3" x14ac:dyDescent="0.35">
      <c r="A13" s="27" t="s">
        <v>393</v>
      </c>
      <c r="C13" s="60">
        <f>SUM(C10:C12)</f>
        <v>137829</v>
      </c>
    </row>
    <row r="14" spans="1:3" x14ac:dyDescent="0.35">
      <c r="A14" s="27" t="s">
        <v>394</v>
      </c>
      <c r="C14" s="281">
        <f>'ExBA - Beg. Rates'!F12</f>
        <v>35511</v>
      </c>
    </row>
    <row r="16" spans="1:3" x14ac:dyDescent="0.35">
      <c r="A16" s="27" t="s">
        <v>395</v>
      </c>
      <c r="C16" s="60">
        <f>ROUND(C13/C14,2)</f>
        <v>3.88</v>
      </c>
    </row>
    <row r="17" spans="1:3" x14ac:dyDescent="0.35">
      <c r="A17" s="27" t="s">
        <v>396</v>
      </c>
      <c r="C17" s="281">
        <v>-5.87</v>
      </c>
    </row>
    <row r="18" spans="1:3" ht="16" thickBot="1" x14ac:dyDescent="0.4">
      <c r="A18" s="27" t="s">
        <v>114</v>
      </c>
      <c r="C18" s="282">
        <f>SUM(C16:C17)</f>
        <v>-1.9900000000000002</v>
      </c>
    </row>
    <row r="19" spans="1:3" ht="16" thickTop="1" x14ac:dyDescent="0.3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61141-BBFA-4F00-8D25-3AA7C2CB3C92}">
  <dimension ref="A1:Q38"/>
  <sheetViews>
    <sheetView workbookViewId="0">
      <selection activeCell="Q15" sqref="Q15"/>
    </sheetView>
  </sheetViews>
  <sheetFormatPr defaultRowHeight="15.5" x14ac:dyDescent="0.35"/>
  <cols>
    <col min="2" max="2" width="16.765625" style="24" customWidth="1"/>
    <col min="3" max="3" width="1.3046875" customWidth="1"/>
    <col min="4" max="4" width="11.4609375" style="24" customWidth="1"/>
    <col min="5" max="5" width="1.3046875" customWidth="1"/>
    <col min="6" max="6" width="11.4609375" style="24" customWidth="1"/>
    <col min="7" max="7" width="1.3046875" customWidth="1"/>
    <col min="8" max="8" width="11.4609375" style="24" customWidth="1"/>
    <col min="9" max="9" width="1.3046875" customWidth="1"/>
    <col min="10" max="10" width="11.4609375" style="24" customWidth="1"/>
    <col min="11" max="11" width="1.3046875" customWidth="1"/>
    <col min="12" max="12" width="11.4609375" style="24" customWidth="1"/>
  </cols>
  <sheetData>
    <row r="1" spans="1:17" x14ac:dyDescent="0.35">
      <c r="D1" s="145"/>
      <c r="F1" s="145"/>
      <c r="H1" s="145"/>
      <c r="J1" s="145"/>
      <c r="L1" s="145"/>
    </row>
    <row r="2" spans="1:17" x14ac:dyDescent="0.35">
      <c r="D2" s="145"/>
      <c r="F2" s="145"/>
      <c r="H2" s="145"/>
      <c r="J2" s="145"/>
      <c r="L2" s="145"/>
    </row>
    <row r="3" spans="1:17" ht="16" thickBot="1" x14ac:dyDescent="0.4">
      <c r="B3" s="182" t="s">
        <v>80</v>
      </c>
      <c r="D3" s="25" t="s">
        <v>1</v>
      </c>
      <c r="F3" s="25" t="s">
        <v>304</v>
      </c>
      <c r="H3" s="25" t="s">
        <v>305</v>
      </c>
      <c r="J3" s="25" t="s">
        <v>120</v>
      </c>
      <c r="L3" s="25"/>
    </row>
    <row r="4" spans="1:17" ht="16" thickTop="1" x14ac:dyDescent="0.35">
      <c r="A4">
        <v>1</v>
      </c>
      <c r="B4" s="178" t="s">
        <v>285</v>
      </c>
      <c r="D4" s="24">
        <v>19.5</v>
      </c>
      <c r="L4" s="24">
        <f t="shared" ref="L4:L24" si="0">SUM(D4,F4,H4,J4)</f>
        <v>19.5</v>
      </c>
      <c r="N4" s="186">
        <v>1</v>
      </c>
      <c r="O4" s="178" t="s">
        <v>285</v>
      </c>
      <c r="Q4" t="s">
        <v>399</v>
      </c>
    </row>
    <row r="5" spans="1:17" x14ac:dyDescent="0.35">
      <c r="A5">
        <v>2</v>
      </c>
      <c r="B5" s="178" t="s">
        <v>283</v>
      </c>
      <c r="D5" s="24">
        <v>18.25</v>
      </c>
      <c r="F5" s="24">
        <v>22.07</v>
      </c>
      <c r="H5" s="24">
        <v>8.16</v>
      </c>
      <c r="L5" s="24">
        <f t="shared" si="0"/>
        <v>48.480000000000004</v>
      </c>
      <c r="N5" s="186">
        <v>2</v>
      </c>
      <c r="O5" s="178" t="s">
        <v>283</v>
      </c>
      <c r="Q5" t="s">
        <v>399</v>
      </c>
    </row>
    <row r="6" spans="1:17" x14ac:dyDescent="0.35">
      <c r="A6">
        <v>3</v>
      </c>
      <c r="B6" s="178" t="s">
        <v>279</v>
      </c>
      <c r="D6" s="24">
        <v>18.25</v>
      </c>
      <c r="F6" s="24">
        <v>22.07</v>
      </c>
      <c r="H6" s="24">
        <v>8.16</v>
      </c>
      <c r="J6" s="24">
        <v>873.37</v>
      </c>
      <c r="L6" s="24">
        <f t="shared" si="0"/>
        <v>921.85</v>
      </c>
      <c r="N6" s="186">
        <v>3</v>
      </c>
      <c r="O6" s="178" t="s">
        <v>279</v>
      </c>
      <c r="Q6" t="s">
        <v>399</v>
      </c>
    </row>
    <row r="7" spans="1:17" x14ac:dyDescent="0.35">
      <c r="A7">
        <v>4</v>
      </c>
      <c r="B7" s="178" t="s">
        <v>282</v>
      </c>
      <c r="D7" s="24">
        <v>8.75</v>
      </c>
      <c r="F7" s="24">
        <v>22.07</v>
      </c>
      <c r="H7" s="24">
        <v>8.16</v>
      </c>
      <c r="J7" s="24">
        <v>873.37</v>
      </c>
      <c r="L7" s="24">
        <f t="shared" si="0"/>
        <v>912.35</v>
      </c>
      <c r="N7" s="186">
        <v>4</v>
      </c>
      <c r="O7" s="178" t="s">
        <v>282</v>
      </c>
      <c r="Q7" t="s">
        <v>399</v>
      </c>
    </row>
    <row r="8" spans="1:17" x14ac:dyDescent="0.35">
      <c r="A8">
        <v>6</v>
      </c>
      <c r="B8" s="178" t="s">
        <v>301</v>
      </c>
      <c r="D8" s="24">
        <v>19.5</v>
      </c>
      <c r="F8" s="24">
        <v>75.040000000000006</v>
      </c>
      <c r="H8" s="24">
        <v>23.64</v>
      </c>
      <c r="L8" s="24">
        <f t="shared" si="0"/>
        <v>118.18</v>
      </c>
      <c r="N8" s="186">
        <v>5</v>
      </c>
      <c r="O8" s="178" t="s">
        <v>306</v>
      </c>
      <c r="Q8" t="s">
        <v>398</v>
      </c>
    </row>
    <row r="9" spans="1:17" x14ac:dyDescent="0.35">
      <c r="A9">
        <v>7</v>
      </c>
      <c r="B9" s="178" t="s">
        <v>281</v>
      </c>
      <c r="D9" s="24">
        <v>12.75</v>
      </c>
      <c r="F9" s="24">
        <v>22.07</v>
      </c>
      <c r="H9" s="24">
        <v>8.16</v>
      </c>
      <c r="J9" s="24">
        <v>873.37</v>
      </c>
      <c r="L9" s="24">
        <f t="shared" si="0"/>
        <v>916.35</v>
      </c>
      <c r="N9" s="186">
        <v>6</v>
      </c>
      <c r="O9" s="178" t="s">
        <v>287</v>
      </c>
      <c r="Q9" t="s">
        <v>399</v>
      </c>
    </row>
    <row r="10" spans="1:17" x14ac:dyDescent="0.35">
      <c r="A10">
        <v>8</v>
      </c>
      <c r="B10" s="178" t="s">
        <v>284</v>
      </c>
      <c r="D10" s="24">
        <v>2.75</v>
      </c>
      <c r="F10" s="24">
        <v>22.07</v>
      </c>
      <c r="H10" s="24">
        <v>8.16</v>
      </c>
      <c r="J10" s="24">
        <v>873.37</v>
      </c>
      <c r="L10" s="24">
        <f t="shared" si="0"/>
        <v>906.35</v>
      </c>
      <c r="N10" s="186">
        <v>7</v>
      </c>
      <c r="O10" s="178" t="s">
        <v>281</v>
      </c>
      <c r="Q10" t="s">
        <v>399</v>
      </c>
    </row>
    <row r="11" spans="1:17" x14ac:dyDescent="0.35">
      <c r="A11">
        <v>10</v>
      </c>
      <c r="B11" s="24" t="s">
        <v>292</v>
      </c>
      <c r="D11" s="24">
        <v>4.75</v>
      </c>
      <c r="F11" s="24">
        <v>22.07</v>
      </c>
      <c r="H11" s="24">
        <v>8.16</v>
      </c>
      <c r="J11" s="24">
        <v>873.37</v>
      </c>
      <c r="L11" s="24">
        <f t="shared" si="0"/>
        <v>908.35</v>
      </c>
      <c r="N11" s="186">
        <v>8</v>
      </c>
      <c r="O11" s="178" t="s">
        <v>284</v>
      </c>
      <c r="Q11" t="s">
        <v>399</v>
      </c>
    </row>
    <row r="12" spans="1:17" x14ac:dyDescent="0.35">
      <c r="A12">
        <v>11</v>
      </c>
      <c r="B12" s="178" t="s">
        <v>290</v>
      </c>
      <c r="D12" s="24">
        <v>5.5</v>
      </c>
      <c r="F12" s="24">
        <v>22.07</v>
      </c>
      <c r="H12" s="24">
        <v>8.16</v>
      </c>
      <c r="J12" s="24">
        <v>873.37</v>
      </c>
      <c r="L12" s="24">
        <f t="shared" si="0"/>
        <v>909.1</v>
      </c>
      <c r="N12" s="186">
        <v>9</v>
      </c>
      <c r="O12" s="178" t="s">
        <v>307</v>
      </c>
      <c r="Q12" t="s">
        <v>398</v>
      </c>
    </row>
    <row r="13" spans="1:17" x14ac:dyDescent="0.35">
      <c r="A13">
        <v>12</v>
      </c>
      <c r="B13" s="24" t="s">
        <v>278</v>
      </c>
      <c r="D13" s="24">
        <v>2.75</v>
      </c>
      <c r="F13" s="24">
        <v>22.07</v>
      </c>
      <c r="H13" s="24">
        <v>8.16</v>
      </c>
      <c r="J13" s="24">
        <v>873.37</v>
      </c>
      <c r="L13" s="24">
        <f t="shared" si="0"/>
        <v>906.35</v>
      </c>
      <c r="N13" s="186">
        <v>10</v>
      </c>
      <c r="O13" s="178" t="s">
        <v>292</v>
      </c>
      <c r="Q13" t="s">
        <v>399</v>
      </c>
    </row>
    <row r="14" spans="1:17" x14ac:dyDescent="0.35">
      <c r="B14" s="178" t="s">
        <v>280</v>
      </c>
      <c r="L14" s="24">
        <f t="shared" si="0"/>
        <v>0</v>
      </c>
      <c r="N14" s="186">
        <v>11</v>
      </c>
      <c r="O14" s="178" t="s">
        <v>290</v>
      </c>
      <c r="Q14" t="s">
        <v>399</v>
      </c>
    </row>
    <row r="15" spans="1:17" x14ac:dyDescent="0.35">
      <c r="A15">
        <v>13</v>
      </c>
      <c r="B15" s="178" t="s">
        <v>286</v>
      </c>
      <c r="D15" s="24">
        <v>8.75</v>
      </c>
      <c r="F15" s="24">
        <v>22.07</v>
      </c>
      <c r="H15" s="24">
        <v>8.16</v>
      </c>
      <c r="J15" s="24">
        <v>873.37</v>
      </c>
      <c r="L15" s="24">
        <f t="shared" si="0"/>
        <v>912.35</v>
      </c>
      <c r="N15" s="186">
        <v>12</v>
      </c>
      <c r="O15" s="178" t="s">
        <v>308</v>
      </c>
    </row>
    <row r="16" spans="1:17" x14ac:dyDescent="0.35">
      <c r="B16" s="178" t="s">
        <v>288</v>
      </c>
      <c r="L16" s="24">
        <f t="shared" si="0"/>
        <v>0</v>
      </c>
      <c r="N16" s="186">
        <v>13</v>
      </c>
      <c r="O16" s="178" t="s">
        <v>309</v>
      </c>
    </row>
    <row r="17" spans="2:15" x14ac:dyDescent="0.35">
      <c r="B17" s="178" t="s">
        <v>289</v>
      </c>
      <c r="L17" s="24">
        <f t="shared" si="0"/>
        <v>0</v>
      </c>
      <c r="N17" s="186">
        <v>14</v>
      </c>
      <c r="O17" s="178" t="s">
        <v>310</v>
      </c>
    </row>
    <row r="18" spans="2:15" x14ac:dyDescent="0.35">
      <c r="B18" s="24" t="s">
        <v>291</v>
      </c>
      <c r="L18" s="24">
        <f t="shared" si="0"/>
        <v>0</v>
      </c>
      <c r="N18" s="186">
        <v>15</v>
      </c>
      <c r="O18" s="178" t="s">
        <v>311</v>
      </c>
    </row>
    <row r="19" spans="2:15" x14ac:dyDescent="0.35">
      <c r="B19" s="24" t="s">
        <v>293</v>
      </c>
      <c r="L19" s="24">
        <f t="shared" si="0"/>
        <v>0</v>
      </c>
      <c r="N19" s="186">
        <v>16</v>
      </c>
      <c r="O19" s="178" t="s">
        <v>312</v>
      </c>
    </row>
    <row r="20" spans="2:15" x14ac:dyDescent="0.35">
      <c r="B20" s="179" t="s">
        <v>294</v>
      </c>
      <c r="D20" s="179">
        <v>2.75</v>
      </c>
      <c r="F20" s="179">
        <v>22.07</v>
      </c>
      <c r="H20" s="179">
        <v>8.16</v>
      </c>
      <c r="J20" s="179">
        <v>873.37</v>
      </c>
      <c r="L20" s="179">
        <f t="shared" si="0"/>
        <v>906.35</v>
      </c>
    </row>
    <row r="21" spans="2:15" x14ac:dyDescent="0.35">
      <c r="B21" s="179" t="s">
        <v>297</v>
      </c>
      <c r="D21" s="179">
        <v>2.75</v>
      </c>
      <c r="F21" s="179">
        <v>22.07</v>
      </c>
      <c r="H21" s="179">
        <v>8.16</v>
      </c>
      <c r="J21" s="179">
        <v>873.37</v>
      </c>
      <c r="L21" s="179">
        <f t="shared" si="0"/>
        <v>906.35</v>
      </c>
    </row>
    <row r="22" spans="2:15" x14ac:dyDescent="0.35">
      <c r="B22" s="179" t="s">
        <v>298</v>
      </c>
      <c r="D22" s="179">
        <v>2.75</v>
      </c>
      <c r="F22" s="179">
        <v>22.07</v>
      </c>
      <c r="H22" s="179">
        <v>8.16</v>
      </c>
      <c r="J22" s="179">
        <v>873.37</v>
      </c>
      <c r="L22" s="179">
        <f t="shared" si="0"/>
        <v>906.35</v>
      </c>
    </row>
    <row r="23" spans="2:15" x14ac:dyDescent="0.35">
      <c r="B23" s="179" t="s">
        <v>299</v>
      </c>
      <c r="D23" s="179">
        <v>2.75</v>
      </c>
      <c r="F23" s="179">
        <v>22.07</v>
      </c>
      <c r="H23" s="179">
        <v>8.16</v>
      </c>
      <c r="J23" s="179">
        <v>873.37</v>
      </c>
      <c r="L23" s="179">
        <f t="shared" si="0"/>
        <v>906.35</v>
      </c>
    </row>
    <row r="24" spans="2:15" x14ac:dyDescent="0.35">
      <c r="B24" s="179" t="s">
        <v>300</v>
      </c>
      <c r="D24" s="179">
        <v>2.75</v>
      </c>
      <c r="F24" s="179">
        <v>22.07</v>
      </c>
      <c r="H24" s="179">
        <v>8.16</v>
      </c>
      <c r="J24" s="179">
        <v>873.37</v>
      </c>
      <c r="L24" s="179">
        <f t="shared" si="0"/>
        <v>906.35</v>
      </c>
    </row>
    <row r="25" spans="2:15" ht="16" thickBot="1" x14ac:dyDescent="0.4">
      <c r="B25" s="24" t="s">
        <v>302</v>
      </c>
      <c r="D25" s="183">
        <f>SUM(D4:D20)</f>
        <v>124.25</v>
      </c>
      <c r="F25" s="183">
        <f>SUM(F4:F22)</f>
        <v>339.87999999999994</v>
      </c>
      <c r="H25" s="183">
        <f>SUM(H4:H20)</f>
        <v>105.23999999999998</v>
      </c>
      <c r="J25" s="183">
        <f>SUM(J4:J20)</f>
        <v>7860.33</v>
      </c>
      <c r="L25" s="183">
        <f>SUM(L4:L22)</f>
        <v>10198.260000000002</v>
      </c>
    </row>
    <row r="26" spans="2:15" ht="16" thickTop="1" x14ac:dyDescent="0.35"/>
    <row r="27" spans="2:15" ht="16" thickBot="1" x14ac:dyDescent="0.4">
      <c r="B27" s="24" t="s">
        <v>303</v>
      </c>
      <c r="D27" s="184">
        <f>ROUND(D25*12,0)</f>
        <v>1491</v>
      </c>
      <c r="F27" s="184">
        <f>ROUND(F25*12,0)</f>
        <v>4079</v>
      </c>
      <c r="H27" s="184">
        <f>ROUND(H25*12,0)</f>
        <v>1263</v>
      </c>
      <c r="J27" s="184">
        <f>ROUND(J25*12,0)</f>
        <v>94324</v>
      </c>
      <c r="L27" s="184">
        <f>ROUND(L25*12,0)</f>
        <v>122379</v>
      </c>
    </row>
    <row r="28" spans="2:15" ht="16" thickTop="1" x14ac:dyDescent="0.35"/>
    <row r="30" spans="2:15" x14ac:dyDescent="0.35">
      <c r="B30" s="180"/>
    </row>
    <row r="31" spans="2:15" x14ac:dyDescent="0.35">
      <c r="B31" s="180"/>
    </row>
    <row r="32" spans="2:15" x14ac:dyDescent="0.35">
      <c r="B32" s="180"/>
    </row>
    <row r="33" spans="2:2" x14ac:dyDescent="0.35">
      <c r="B33" s="180"/>
    </row>
    <row r="34" spans="2:2" x14ac:dyDescent="0.35">
      <c r="B34" s="180"/>
    </row>
    <row r="35" spans="2:2" x14ac:dyDescent="0.35">
      <c r="B35" s="180"/>
    </row>
    <row r="36" spans="2:2" x14ac:dyDescent="0.35">
      <c r="B36" s="180"/>
    </row>
    <row r="37" spans="2:2" x14ac:dyDescent="0.35">
      <c r="B37" s="180"/>
    </row>
    <row r="38" spans="2:2" x14ac:dyDescent="0.35">
      <c r="B38" s="180"/>
    </row>
  </sheetData>
  <sortState xmlns:xlrd2="http://schemas.microsoft.com/office/spreadsheetml/2017/richdata2" ref="A4:L24">
    <sortCondition ref="A4:A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B1CC-EBBE-485C-8E55-43DFCBC27605}">
  <dimension ref="A1:O25"/>
  <sheetViews>
    <sheetView workbookViewId="0">
      <selection activeCell="G24" sqref="G24"/>
    </sheetView>
  </sheetViews>
  <sheetFormatPr defaultColWidth="12.765625" defaultRowHeight="15.5" x14ac:dyDescent="0.35"/>
  <cols>
    <col min="1" max="1" width="12.765625" style="60"/>
    <col min="2" max="2" width="18.53515625" style="60" customWidth="1"/>
    <col min="3" max="3" width="1.765625" style="60" customWidth="1"/>
    <col min="4" max="4" width="12.765625" style="60"/>
    <col min="5" max="5" width="1.765625" style="60" customWidth="1"/>
    <col min="6" max="6" width="12.765625" style="60"/>
    <col min="7" max="7" width="1.765625" style="60" customWidth="1"/>
    <col min="8" max="8" width="12.765625" style="60"/>
    <col min="9" max="9" width="1.765625" style="60" customWidth="1"/>
    <col min="10" max="10" width="12.765625" style="60"/>
    <col min="11" max="11" width="1.765625" style="60" customWidth="1"/>
    <col min="12" max="12" width="12.765625" style="60"/>
    <col min="13" max="13" width="1.765625" style="60" customWidth="1"/>
    <col min="14" max="16384" width="12.765625" style="60"/>
  </cols>
  <sheetData>
    <row r="1" spans="1:15" x14ac:dyDescent="0.35">
      <c r="L1" s="83" t="s">
        <v>123</v>
      </c>
    </row>
    <row r="2" spans="1:15" x14ac:dyDescent="0.35">
      <c r="F2" s="83" t="s">
        <v>72</v>
      </c>
      <c r="H2" s="83" t="s">
        <v>121</v>
      </c>
      <c r="L2" s="83" t="s">
        <v>319</v>
      </c>
      <c r="O2" s="83" t="s">
        <v>56</v>
      </c>
    </row>
    <row r="3" spans="1:15" x14ac:dyDescent="0.35">
      <c r="D3" s="25" t="s">
        <v>1</v>
      </c>
      <c r="E3"/>
      <c r="F3" s="25" t="s">
        <v>304</v>
      </c>
      <c r="G3"/>
      <c r="H3" s="25" t="s">
        <v>305</v>
      </c>
      <c r="I3"/>
      <c r="J3" s="25" t="s">
        <v>120</v>
      </c>
      <c r="K3"/>
      <c r="L3" s="25" t="s">
        <v>80</v>
      </c>
      <c r="O3" s="83" t="s">
        <v>347</v>
      </c>
    </row>
    <row r="4" spans="1:15" x14ac:dyDescent="0.35">
      <c r="A4" s="186">
        <v>1</v>
      </c>
      <c r="B4" s="178" t="s">
        <v>285</v>
      </c>
      <c r="D4" s="60">
        <f>'Anthem Aug Inv'!D4</f>
        <v>19.5</v>
      </c>
      <c r="F4" s="60">
        <f>'Anthem Aug Inv'!F4</f>
        <v>0</v>
      </c>
      <c r="H4" s="60">
        <f>'Anthem Aug Inv'!H4</f>
        <v>0</v>
      </c>
      <c r="J4" s="60">
        <f>'Anthem Aug Inv'!J4</f>
        <v>0</v>
      </c>
      <c r="L4" s="60">
        <f>SUM(D4,F4,H4,J4)</f>
        <v>19.5</v>
      </c>
      <c r="O4" s="60">
        <v>73000</v>
      </c>
    </row>
    <row r="5" spans="1:15" x14ac:dyDescent="0.35">
      <c r="A5" s="186">
        <v>2</v>
      </c>
      <c r="B5" s="178" t="s">
        <v>283</v>
      </c>
      <c r="D5" s="60">
        <f>'Anthem Aug Inv'!D5</f>
        <v>18.25</v>
      </c>
      <c r="F5" s="60">
        <f>'Anthem Aug Inv'!F5</f>
        <v>22.07</v>
      </c>
      <c r="H5" s="60">
        <f>'Anthem Aug Inv'!H5</f>
        <v>8.16</v>
      </c>
      <c r="J5" s="60">
        <f>'Anthem Aug Inv'!J5</f>
        <v>0</v>
      </c>
      <c r="L5" s="60">
        <f t="shared" ref="L5:L19" si="0">SUM(D5,F5,H5,J5)</f>
        <v>48.480000000000004</v>
      </c>
      <c r="O5" s="60">
        <v>45000</v>
      </c>
    </row>
    <row r="6" spans="1:15" x14ac:dyDescent="0.35">
      <c r="A6" s="186">
        <v>3</v>
      </c>
      <c r="B6" s="178" t="s">
        <v>279</v>
      </c>
      <c r="D6" s="60">
        <f>'Anthem Aug Inv'!D6</f>
        <v>18.25</v>
      </c>
      <c r="F6" s="60">
        <v>22.07</v>
      </c>
      <c r="H6" s="60">
        <v>8.16</v>
      </c>
      <c r="J6" s="60">
        <v>873.37</v>
      </c>
      <c r="L6" s="60">
        <f t="shared" si="0"/>
        <v>921.85</v>
      </c>
      <c r="O6" s="60">
        <v>45000</v>
      </c>
    </row>
    <row r="7" spans="1:15" x14ac:dyDescent="0.35">
      <c r="A7" s="186">
        <v>4</v>
      </c>
      <c r="B7" s="178" t="s">
        <v>282</v>
      </c>
      <c r="D7" s="60">
        <f>'Anthem Aug Inv'!D7</f>
        <v>8.75</v>
      </c>
      <c r="F7" s="60">
        <v>22.07</v>
      </c>
      <c r="H7" s="60">
        <v>8.16</v>
      </c>
      <c r="J7" s="60">
        <v>873.37</v>
      </c>
      <c r="L7" s="60">
        <f t="shared" si="0"/>
        <v>912.35</v>
      </c>
      <c r="O7" s="60">
        <v>43680</v>
      </c>
    </row>
    <row r="8" spans="1:15" x14ac:dyDescent="0.35">
      <c r="A8" s="186">
        <v>5</v>
      </c>
      <c r="B8" s="284" t="s">
        <v>306</v>
      </c>
      <c r="C8" s="285"/>
      <c r="D8" s="285">
        <v>8.7530000000000001</v>
      </c>
      <c r="E8" s="285"/>
      <c r="F8" s="285">
        <v>22.07</v>
      </c>
      <c r="G8" s="285"/>
      <c r="H8" s="285">
        <v>8.16</v>
      </c>
      <c r="I8" s="285"/>
      <c r="J8" s="285">
        <v>873.37</v>
      </c>
      <c r="K8" s="285"/>
      <c r="L8" s="285">
        <f t="shared" si="0"/>
        <v>912.35300000000007</v>
      </c>
      <c r="O8" s="60">
        <v>43680</v>
      </c>
    </row>
    <row r="9" spans="1:15" x14ac:dyDescent="0.35">
      <c r="A9" s="186">
        <v>6</v>
      </c>
      <c r="B9" s="178" t="s">
        <v>287</v>
      </c>
      <c r="D9" s="60">
        <f>'Anthem Aug Inv'!D8</f>
        <v>19.5</v>
      </c>
      <c r="F9" s="60">
        <v>22.07</v>
      </c>
      <c r="H9" s="60">
        <v>8.16</v>
      </c>
      <c r="J9" s="60">
        <v>873.37</v>
      </c>
      <c r="L9" s="60">
        <f t="shared" si="0"/>
        <v>923.1</v>
      </c>
      <c r="O9" s="60">
        <v>43680</v>
      </c>
    </row>
    <row r="10" spans="1:15" x14ac:dyDescent="0.35">
      <c r="A10" s="186">
        <v>7</v>
      </c>
      <c r="B10" s="178" t="s">
        <v>281</v>
      </c>
      <c r="D10" s="60">
        <f>'Anthem Aug Inv'!D9</f>
        <v>12.75</v>
      </c>
      <c r="F10" s="60">
        <v>22.07</v>
      </c>
      <c r="H10" s="60">
        <v>8.16</v>
      </c>
      <c r="J10" s="60">
        <v>873.37</v>
      </c>
      <c r="L10" s="60">
        <f t="shared" si="0"/>
        <v>916.35</v>
      </c>
      <c r="O10" s="60">
        <v>41600</v>
      </c>
    </row>
    <row r="11" spans="1:15" x14ac:dyDescent="0.35">
      <c r="A11" s="186">
        <v>8</v>
      </c>
      <c r="B11" s="178" t="s">
        <v>284</v>
      </c>
      <c r="D11" s="60">
        <f>'Anthem Aug Inv'!D10</f>
        <v>2.75</v>
      </c>
      <c r="F11" s="60">
        <v>22.07</v>
      </c>
      <c r="H11" s="60">
        <v>8.16</v>
      </c>
      <c r="J11" s="60">
        <v>873.37</v>
      </c>
      <c r="L11" s="60">
        <f t="shared" si="0"/>
        <v>906.35</v>
      </c>
      <c r="O11" s="60">
        <v>40000</v>
      </c>
    </row>
    <row r="12" spans="1:15" x14ac:dyDescent="0.35">
      <c r="A12" s="186">
        <v>9</v>
      </c>
      <c r="B12" s="284" t="s">
        <v>307</v>
      </c>
      <c r="C12" s="285"/>
      <c r="D12" s="285">
        <v>2.75</v>
      </c>
      <c r="E12" s="285"/>
      <c r="F12" s="285">
        <v>22.07</v>
      </c>
      <c r="G12" s="285"/>
      <c r="H12" s="285">
        <v>8.16</v>
      </c>
      <c r="I12" s="285"/>
      <c r="J12" s="285">
        <v>873.37</v>
      </c>
      <c r="K12" s="285"/>
      <c r="L12" s="285">
        <f>SUM(D12,F12,H12,J12)</f>
        <v>906.35</v>
      </c>
      <c r="O12" s="60">
        <v>38000</v>
      </c>
    </row>
    <row r="13" spans="1:15" x14ac:dyDescent="0.35">
      <c r="A13" s="186">
        <v>10</v>
      </c>
      <c r="B13" s="178" t="s">
        <v>292</v>
      </c>
      <c r="D13" s="60">
        <f>'Anthem Aug Inv'!D11</f>
        <v>4.75</v>
      </c>
      <c r="F13" s="60">
        <v>22.07</v>
      </c>
      <c r="H13" s="60">
        <v>8.16</v>
      </c>
      <c r="J13" s="60">
        <v>873.37</v>
      </c>
      <c r="L13" s="60">
        <f t="shared" si="0"/>
        <v>908.35</v>
      </c>
      <c r="O13" s="60">
        <v>35360</v>
      </c>
    </row>
    <row r="14" spans="1:15" x14ac:dyDescent="0.35">
      <c r="A14" s="186">
        <v>11</v>
      </c>
      <c r="B14" s="178" t="s">
        <v>290</v>
      </c>
      <c r="D14" s="60">
        <f>'Anthem Aug Inv'!D12</f>
        <v>5.5</v>
      </c>
      <c r="F14" s="60">
        <v>22.07</v>
      </c>
      <c r="H14" s="60">
        <v>8.16</v>
      </c>
      <c r="J14" s="60">
        <v>873.37</v>
      </c>
      <c r="L14" s="60">
        <f t="shared" si="0"/>
        <v>909.1</v>
      </c>
      <c r="O14" s="60">
        <v>35360</v>
      </c>
    </row>
    <row r="15" spans="1:15" x14ac:dyDescent="0.35">
      <c r="A15" s="186">
        <v>12</v>
      </c>
      <c r="B15" s="284" t="s">
        <v>308</v>
      </c>
      <c r="C15" s="285"/>
      <c r="D15" s="285">
        <v>2.75</v>
      </c>
      <c r="E15" s="285"/>
      <c r="F15" s="285">
        <v>22.07</v>
      </c>
      <c r="G15" s="285"/>
      <c r="H15" s="285">
        <v>8.16</v>
      </c>
      <c r="I15" s="285"/>
      <c r="J15" s="285">
        <v>873.37</v>
      </c>
      <c r="K15" s="285"/>
      <c r="L15" s="285">
        <f t="shared" si="0"/>
        <v>906.35</v>
      </c>
      <c r="O15" s="60">
        <v>33280</v>
      </c>
    </row>
    <row r="16" spans="1:15" x14ac:dyDescent="0.35">
      <c r="A16" s="186">
        <v>13</v>
      </c>
      <c r="B16" s="284" t="s">
        <v>309</v>
      </c>
      <c r="C16" s="285"/>
      <c r="D16" s="285">
        <v>2.75</v>
      </c>
      <c r="E16" s="285"/>
      <c r="F16" s="285">
        <v>22.07</v>
      </c>
      <c r="G16" s="285"/>
      <c r="H16" s="285">
        <v>8.16</v>
      </c>
      <c r="I16" s="285"/>
      <c r="J16" s="285">
        <v>873.37</v>
      </c>
      <c r="K16" s="285"/>
      <c r="L16" s="285">
        <f t="shared" si="0"/>
        <v>906.35</v>
      </c>
      <c r="O16" s="60">
        <v>31200</v>
      </c>
    </row>
    <row r="17" spans="1:15" x14ac:dyDescent="0.35">
      <c r="A17" s="186">
        <v>14</v>
      </c>
      <c r="B17" s="284" t="s">
        <v>310</v>
      </c>
      <c r="C17" s="285"/>
      <c r="D17" s="285">
        <v>2.75</v>
      </c>
      <c r="E17" s="285"/>
      <c r="F17" s="285">
        <v>22.07</v>
      </c>
      <c r="G17" s="285"/>
      <c r="H17" s="285">
        <v>8.16</v>
      </c>
      <c r="I17" s="285"/>
      <c r="J17" s="285">
        <v>873.37</v>
      </c>
      <c r="K17" s="285"/>
      <c r="L17" s="285">
        <f t="shared" si="0"/>
        <v>906.35</v>
      </c>
      <c r="O17" s="60">
        <v>31200</v>
      </c>
    </row>
    <row r="18" spans="1:15" x14ac:dyDescent="0.35">
      <c r="A18" s="186">
        <v>15</v>
      </c>
      <c r="B18" s="284" t="s">
        <v>311</v>
      </c>
      <c r="C18" s="285"/>
      <c r="D18" s="285">
        <v>2.75</v>
      </c>
      <c r="E18" s="285"/>
      <c r="F18" s="285">
        <v>22.07</v>
      </c>
      <c r="G18" s="285"/>
      <c r="H18" s="285">
        <v>8.16</v>
      </c>
      <c r="I18" s="285"/>
      <c r="J18" s="285">
        <v>873.37</v>
      </c>
      <c r="K18" s="285"/>
      <c r="L18" s="285">
        <f t="shared" si="0"/>
        <v>906.35</v>
      </c>
      <c r="O18" s="60">
        <v>31200</v>
      </c>
    </row>
    <row r="19" spans="1:15" x14ac:dyDescent="0.35">
      <c r="A19" s="186">
        <v>16</v>
      </c>
      <c r="B19" s="284" t="s">
        <v>312</v>
      </c>
      <c r="C19" s="285"/>
      <c r="D19" s="287">
        <v>2.75</v>
      </c>
      <c r="E19" s="285"/>
      <c r="F19" s="287">
        <v>22.07</v>
      </c>
      <c r="G19" s="285"/>
      <c r="H19" s="287">
        <v>8.16</v>
      </c>
      <c r="I19" s="285"/>
      <c r="J19" s="287">
        <v>873.37</v>
      </c>
      <c r="K19" s="285"/>
      <c r="L19" s="287">
        <f t="shared" si="0"/>
        <v>906.35</v>
      </c>
      <c r="O19" s="281">
        <v>31200</v>
      </c>
    </row>
    <row r="20" spans="1:15" ht="16" thickBot="1" x14ac:dyDescent="0.4">
      <c r="B20" s="280" t="s">
        <v>344</v>
      </c>
      <c r="D20" s="60">
        <f>SUM(D4:D19)</f>
        <v>135.25299999999999</v>
      </c>
      <c r="F20" s="60">
        <f>SUM(F4:F19)</f>
        <v>331.04999999999995</v>
      </c>
      <c r="H20" s="60">
        <f>SUM(H4:H19)</f>
        <v>122.39999999999996</v>
      </c>
      <c r="J20" s="60">
        <f>SUM(J4:J19)</f>
        <v>12227.180000000004</v>
      </c>
      <c r="L20" s="60">
        <f>SUM(L4:L19)</f>
        <v>12815.883000000003</v>
      </c>
      <c r="O20" s="283">
        <v>642440</v>
      </c>
    </row>
    <row r="21" spans="1:15" ht="16" thickTop="1" x14ac:dyDescent="0.35">
      <c r="B21" s="280" t="s">
        <v>345</v>
      </c>
      <c r="D21" s="281">
        <v>12</v>
      </c>
      <c r="F21" s="281">
        <v>12</v>
      </c>
      <c r="H21" s="281">
        <v>12</v>
      </c>
      <c r="J21" s="281">
        <v>12</v>
      </c>
      <c r="L21" s="281">
        <v>12</v>
      </c>
    </row>
    <row r="22" spans="1:15" ht="16" thickBot="1" x14ac:dyDescent="0.4">
      <c r="B22" s="280" t="s">
        <v>346</v>
      </c>
      <c r="D22" s="282">
        <f>D20*D21</f>
        <v>1623.0359999999998</v>
      </c>
      <c r="F22" s="282">
        <f>F20*F21</f>
        <v>3972.5999999999995</v>
      </c>
      <c r="H22" s="282">
        <f>H20*H21</f>
        <v>1468.7999999999995</v>
      </c>
      <c r="J22" s="282">
        <f>J20*J21</f>
        <v>146726.16000000003</v>
      </c>
      <c r="L22" s="282">
        <f>L20*L21</f>
        <v>153790.59600000005</v>
      </c>
    </row>
    <row r="23" spans="1:15" ht="16" thickTop="1" x14ac:dyDescent="0.35"/>
    <row r="25" spans="1:15" x14ac:dyDescent="0.35">
      <c r="B25" s="286" t="s">
        <v>397</v>
      </c>
      <c r="C25" s="2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0329-8FA1-4266-B206-5A09C0CC04B7}">
  <dimension ref="A2:B16"/>
  <sheetViews>
    <sheetView workbookViewId="0">
      <selection activeCell="B16" sqref="B16"/>
    </sheetView>
  </sheetViews>
  <sheetFormatPr defaultColWidth="8.84375" defaultRowHeight="14.5" x14ac:dyDescent="0.35"/>
  <cols>
    <col min="1" max="1" width="8.84375" style="21"/>
    <col min="2" max="2" width="11.53515625" style="2" customWidth="1"/>
    <col min="3" max="16384" width="8.84375" style="2"/>
  </cols>
  <sheetData>
    <row r="2" spans="1:2" x14ac:dyDescent="0.35">
      <c r="B2" s="21" t="s">
        <v>113</v>
      </c>
    </row>
    <row r="3" spans="1:2" ht="16" x14ac:dyDescent="0.5">
      <c r="B3" s="11" t="s">
        <v>112</v>
      </c>
    </row>
    <row r="4" spans="1:2" x14ac:dyDescent="0.35">
      <c r="A4" s="21" t="s">
        <v>100</v>
      </c>
      <c r="B4" s="2">
        <v>21419000</v>
      </c>
    </row>
    <row r="5" spans="1:2" x14ac:dyDescent="0.35">
      <c r="A5" s="21" t="s">
        <v>101</v>
      </c>
      <c r="B5" s="2">
        <v>18493000</v>
      </c>
    </row>
    <row r="6" spans="1:2" x14ac:dyDescent="0.35">
      <c r="A6" s="21" t="s">
        <v>102</v>
      </c>
      <c r="B6" s="2">
        <v>17913000</v>
      </c>
    </row>
    <row r="7" spans="1:2" x14ac:dyDescent="0.35">
      <c r="A7" s="21" t="s">
        <v>103</v>
      </c>
      <c r="B7" s="2">
        <v>19523000</v>
      </c>
    </row>
    <row r="8" spans="1:2" x14ac:dyDescent="0.35">
      <c r="A8" s="21" t="s">
        <v>104</v>
      </c>
      <c r="B8" s="2">
        <v>17756000</v>
      </c>
    </row>
    <row r="9" spans="1:2" x14ac:dyDescent="0.35">
      <c r="A9" s="21" t="s">
        <v>105</v>
      </c>
      <c r="B9" s="2">
        <v>17837000</v>
      </c>
    </row>
    <row r="10" spans="1:2" x14ac:dyDescent="0.35">
      <c r="A10" s="21" t="s">
        <v>106</v>
      </c>
      <c r="B10" s="2">
        <v>21217000</v>
      </c>
    </row>
    <row r="11" spans="1:2" x14ac:dyDescent="0.35">
      <c r="A11" s="21" t="s">
        <v>107</v>
      </c>
      <c r="B11" s="2">
        <v>20808000</v>
      </c>
    </row>
    <row r="12" spans="1:2" x14ac:dyDescent="0.35">
      <c r="A12" s="21" t="s">
        <v>108</v>
      </c>
      <c r="B12" s="2">
        <v>20073000</v>
      </c>
    </row>
    <row r="13" spans="1:2" x14ac:dyDescent="0.35">
      <c r="A13" s="21" t="s">
        <v>111</v>
      </c>
      <c r="B13" s="2">
        <v>20383000</v>
      </c>
    </row>
    <row r="14" spans="1:2" x14ac:dyDescent="0.35">
      <c r="A14" s="21" t="s">
        <v>109</v>
      </c>
      <c r="B14" s="2">
        <v>19254000</v>
      </c>
    </row>
    <row r="15" spans="1:2" ht="16" x14ac:dyDescent="0.5">
      <c r="A15" s="21" t="s">
        <v>110</v>
      </c>
      <c r="B15" s="7">
        <v>19767000</v>
      </c>
    </row>
    <row r="16" spans="1:2" x14ac:dyDescent="0.35">
      <c r="A16" s="21" t="s">
        <v>31</v>
      </c>
      <c r="B16" s="2">
        <f t="shared" ref="B16" si="0">SUM(B4:B15)</f>
        <v>234443000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ACC-CF42-4E0D-A909-C81DDC3235D2}">
  <dimension ref="A1:S85"/>
  <sheetViews>
    <sheetView topLeftCell="A2" workbookViewId="0">
      <selection activeCell="O80" activeCellId="3" sqref="I80 K80 M80 O80"/>
    </sheetView>
  </sheetViews>
  <sheetFormatPr defaultColWidth="14.53515625" defaultRowHeight="14" x14ac:dyDescent="0.3"/>
  <cols>
    <col min="1" max="1" width="5.69140625" style="171" customWidth="1"/>
    <col min="2" max="2" width="1.3046875" style="24" customWidth="1"/>
    <col min="3" max="3" width="23.07421875" style="24" customWidth="1"/>
    <col min="4" max="4" width="1.4609375" style="24" customWidth="1"/>
    <col min="5" max="5" width="14.53515625" style="172"/>
    <col min="6" max="6" width="1.4609375" style="24" customWidth="1"/>
    <col min="7" max="7" width="14.53515625" style="24"/>
    <col min="8" max="8" width="1.4609375" style="24" customWidth="1"/>
    <col min="9" max="9" width="14.53515625" style="24"/>
    <col min="10" max="10" width="1.4609375" style="24" customWidth="1"/>
    <col min="11" max="11" width="14.53515625" style="24"/>
    <col min="12" max="12" width="1.4609375" style="24" customWidth="1"/>
    <col min="13" max="13" width="14.53515625" style="24"/>
    <col min="14" max="14" width="1.4609375" style="24" customWidth="1"/>
    <col min="15" max="15" width="14.53515625" style="24"/>
    <col min="16" max="16" width="1.4609375" style="24" customWidth="1"/>
    <col min="17" max="17" width="11.4609375" style="24" customWidth="1"/>
    <col min="18" max="18" width="1.3046875" style="24" customWidth="1"/>
    <col min="19" max="16384" width="14.53515625" style="24"/>
  </cols>
  <sheetData>
    <row r="1" spans="1:19" ht="22.5" x14ac:dyDescent="0.45">
      <c r="A1" s="379" t="s">
        <v>257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</row>
    <row r="2" spans="1:19" ht="22.5" x14ac:dyDescent="0.45">
      <c r="A2" s="380" t="s">
        <v>258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4" spans="1:19" x14ac:dyDescent="0.3">
      <c r="K4" s="377" t="s">
        <v>259</v>
      </c>
      <c r="L4" s="377"/>
      <c r="M4" s="377"/>
      <c r="N4" s="377"/>
      <c r="O4" s="377"/>
    </row>
    <row r="5" spans="1:19" x14ac:dyDescent="0.3">
      <c r="E5" s="172" t="s">
        <v>260</v>
      </c>
      <c r="I5" s="145" t="s">
        <v>261</v>
      </c>
      <c r="K5" s="145" t="s">
        <v>262</v>
      </c>
      <c r="M5" s="145" t="s">
        <v>263</v>
      </c>
      <c r="O5" s="145" t="s">
        <v>56</v>
      </c>
      <c r="Q5" s="145" t="s">
        <v>264</v>
      </c>
      <c r="S5" s="145" t="s">
        <v>265</v>
      </c>
    </row>
    <row r="6" spans="1:19" x14ac:dyDescent="0.3">
      <c r="A6" s="173" t="s">
        <v>266</v>
      </c>
      <c r="C6" s="25" t="s">
        <v>267</v>
      </c>
      <c r="E6" s="26" t="s">
        <v>268</v>
      </c>
      <c r="G6" s="26" t="s">
        <v>269</v>
      </c>
      <c r="I6" s="26">
        <v>44562</v>
      </c>
      <c r="K6" s="26" t="s">
        <v>270</v>
      </c>
      <c r="M6" s="26" t="s">
        <v>265</v>
      </c>
      <c r="O6" s="26" t="s">
        <v>271</v>
      </c>
      <c r="Q6" s="25" t="s">
        <v>272</v>
      </c>
      <c r="S6" s="25" t="s">
        <v>138</v>
      </c>
    </row>
    <row r="7" spans="1:19" x14ac:dyDescent="0.3">
      <c r="A7" s="170" t="s">
        <v>205</v>
      </c>
    </row>
    <row r="8" spans="1:19" x14ac:dyDescent="0.3">
      <c r="A8" s="171">
        <v>40</v>
      </c>
      <c r="C8" s="24" t="s">
        <v>206</v>
      </c>
      <c r="E8" s="172">
        <v>44481</v>
      </c>
      <c r="G8" s="24">
        <v>16296</v>
      </c>
      <c r="I8" s="24">
        <v>203.7</v>
      </c>
      <c r="K8" s="24">
        <f>IF($G8=$I8,0,IF(($I8+($G8/Q8))&gt;=$G8,$G8-$I8,ROUND($G8/Q8,2)))</f>
        <v>814.8</v>
      </c>
      <c r="M8" s="24">
        <f>IF($G8=$I8,0,IF(($I8+($G8/S8))&gt;=$G8,$G8-$I8,ROUND($G8/S8,2)))</f>
        <v>434.56</v>
      </c>
      <c r="O8" s="24">
        <f>M8-K8</f>
        <v>-380.23999999999995</v>
      </c>
      <c r="Q8" s="24">
        <v>20</v>
      </c>
      <c r="S8" s="24">
        <v>37.5</v>
      </c>
    </row>
    <row r="9" spans="1:19" x14ac:dyDescent="0.3">
      <c r="E9" s="174" t="s">
        <v>273</v>
      </c>
      <c r="G9" s="175">
        <f>SUM(G8)</f>
        <v>16296</v>
      </c>
      <c r="I9" s="175">
        <f>SUM(I8)</f>
        <v>203.7</v>
      </c>
      <c r="K9" s="175">
        <f>SUM(K8)</f>
        <v>814.8</v>
      </c>
      <c r="M9" s="175">
        <f>SUM(M8)</f>
        <v>434.56</v>
      </c>
      <c r="O9" s="175">
        <f>SUM(O8)</f>
        <v>-380.23999999999995</v>
      </c>
    </row>
    <row r="10" spans="1:19" x14ac:dyDescent="0.3">
      <c r="E10" s="174"/>
    </row>
    <row r="11" spans="1:19" x14ac:dyDescent="0.3">
      <c r="A11" s="171" t="s">
        <v>207</v>
      </c>
    </row>
    <row r="12" spans="1:19" x14ac:dyDescent="0.3">
      <c r="A12" s="171">
        <v>6</v>
      </c>
      <c r="C12" s="24" t="s">
        <v>208</v>
      </c>
      <c r="E12" s="172">
        <v>37622</v>
      </c>
      <c r="G12" s="24">
        <v>15600</v>
      </c>
      <c r="I12" s="24">
        <v>15600</v>
      </c>
      <c r="K12" s="24">
        <f t="shared" ref="K12:K18" si="0">IF(G12=I12,0,IF((I12+(G12/Q12))&gt;=G12,G12-I12,ROUND(G12/Q12,2)))</f>
        <v>0</v>
      </c>
      <c r="M12" s="24">
        <f t="shared" ref="M12:M22" si="1">IF($G12=$I12,0,IF(($I12+($G12/S12))&gt;=$G12,$G12-$I12,ROUND($G12/S12,2)))</f>
        <v>0</v>
      </c>
      <c r="O12" s="24">
        <f>M12-K12</f>
        <v>0</v>
      </c>
      <c r="Q12" s="24">
        <v>5</v>
      </c>
      <c r="S12" s="24">
        <v>10</v>
      </c>
    </row>
    <row r="13" spans="1:19" x14ac:dyDescent="0.3">
      <c r="A13" s="171">
        <v>12</v>
      </c>
      <c r="C13" s="24" t="s">
        <v>208</v>
      </c>
      <c r="E13" s="172">
        <v>37987</v>
      </c>
      <c r="G13" s="24">
        <v>3900</v>
      </c>
      <c r="I13" s="24">
        <v>3900</v>
      </c>
      <c r="K13" s="24">
        <f t="shared" si="0"/>
        <v>0</v>
      </c>
      <c r="M13" s="24">
        <f t="shared" si="1"/>
        <v>0</v>
      </c>
      <c r="O13" s="24">
        <f t="shared" ref="O13:O22" si="2">M13-K13</f>
        <v>0</v>
      </c>
      <c r="Q13" s="24">
        <v>5</v>
      </c>
      <c r="S13" s="24">
        <v>10</v>
      </c>
    </row>
    <row r="14" spans="1:19" x14ac:dyDescent="0.3">
      <c r="A14" s="171">
        <v>27</v>
      </c>
      <c r="C14" s="24" t="s">
        <v>209</v>
      </c>
      <c r="E14" s="172">
        <v>40371</v>
      </c>
      <c r="G14" s="24">
        <v>270375</v>
      </c>
      <c r="I14" s="24">
        <v>270375</v>
      </c>
      <c r="K14" s="24">
        <f t="shared" si="0"/>
        <v>0</v>
      </c>
      <c r="M14" s="24">
        <f t="shared" si="1"/>
        <v>0</v>
      </c>
      <c r="O14" s="24">
        <f t="shared" si="2"/>
        <v>0</v>
      </c>
      <c r="Q14" s="24">
        <v>10</v>
      </c>
      <c r="S14" s="24">
        <v>10</v>
      </c>
    </row>
    <row r="15" spans="1:19" x14ac:dyDescent="0.3">
      <c r="A15" s="171">
        <v>28</v>
      </c>
      <c r="C15" s="24" t="s">
        <v>210</v>
      </c>
      <c r="E15" s="172">
        <v>43292</v>
      </c>
      <c r="G15" s="24">
        <v>26500</v>
      </c>
      <c r="I15" s="24">
        <v>18550</v>
      </c>
      <c r="K15" s="24">
        <f t="shared" si="0"/>
        <v>5300</v>
      </c>
      <c r="M15" s="24">
        <f t="shared" si="1"/>
        <v>2120</v>
      </c>
      <c r="O15" s="24">
        <f t="shared" si="2"/>
        <v>-3180</v>
      </c>
      <c r="Q15" s="24">
        <v>5</v>
      </c>
      <c r="S15" s="24">
        <v>12.5</v>
      </c>
    </row>
    <row r="16" spans="1:19" x14ac:dyDescent="0.3">
      <c r="A16" s="171">
        <v>37</v>
      </c>
      <c r="C16" s="24" t="s">
        <v>211</v>
      </c>
      <c r="E16" s="172">
        <v>44460</v>
      </c>
      <c r="G16" s="24">
        <v>6967.35</v>
      </c>
      <c r="I16" s="24">
        <v>174.18</v>
      </c>
      <c r="K16" s="24">
        <f t="shared" si="0"/>
        <v>696.74</v>
      </c>
      <c r="M16" s="24">
        <f t="shared" si="1"/>
        <v>557.39</v>
      </c>
      <c r="O16" s="24">
        <f t="shared" si="2"/>
        <v>-139.35000000000002</v>
      </c>
      <c r="Q16" s="24">
        <v>10</v>
      </c>
      <c r="S16" s="24">
        <v>12.5</v>
      </c>
    </row>
    <row r="17" spans="1:19" x14ac:dyDescent="0.3">
      <c r="A17" s="171">
        <v>38</v>
      </c>
      <c r="C17" s="24" t="s">
        <v>212</v>
      </c>
      <c r="E17" s="172">
        <v>44454</v>
      </c>
      <c r="G17" s="24">
        <v>5855</v>
      </c>
      <c r="I17" s="24">
        <v>195.17</v>
      </c>
      <c r="K17" s="24">
        <f t="shared" si="0"/>
        <v>585.5</v>
      </c>
      <c r="M17" s="24">
        <f t="shared" si="1"/>
        <v>468.4</v>
      </c>
      <c r="O17" s="24">
        <f t="shared" si="2"/>
        <v>-117.10000000000002</v>
      </c>
      <c r="Q17" s="24">
        <v>10</v>
      </c>
      <c r="S17" s="24">
        <v>12.5</v>
      </c>
    </row>
    <row r="18" spans="1:19" x14ac:dyDescent="0.3">
      <c r="A18" s="171">
        <v>39</v>
      </c>
      <c r="C18" s="24" t="s">
        <v>213</v>
      </c>
      <c r="E18" s="172">
        <v>44559</v>
      </c>
      <c r="G18" s="24">
        <v>26995</v>
      </c>
      <c r="I18" s="24">
        <v>0</v>
      </c>
      <c r="K18" s="24">
        <f t="shared" si="0"/>
        <v>1349.75</v>
      </c>
      <c r="M18" s="24">
        <f t="shared" si="1"/>
        <v>2159.6</v>
      </c>
      <c r="O18" s="24">
        <f t="shared" si="2"/>
        <v>809.84999999999991</v>
      </c>
      <c r="Q18" s="24">
        <v>20</v>
      </c>
      <c r="S18" s="24">
        <v>12.5</v>
      </c>
    </row>
    <row r="19" spans="1:19" x14ac:dyDescent="0.3">
      <c r="A19" s="171">
        <v>45</v>
      </c>
      <c r="C19" s="24" t="s">
        <v>214</v>
      </c>
      <c r="E19" s="172">
        <v>44851</v>
      </c>
      <c r="G19" s="24">
        <v>9277</v>
      </c>
      <c r="I19" s="24">
        <v>0</v>
      </c>
      <c r="K19" s="24">
        <v>128.85</v>
      </c>
      <c r="M19" s="24">
        <f t="shared" si="1"/>
        <v>742.16</v>
      </c>
      <c r="O19" s="24">
        <f t="shared" si="2"/>
        <v>613.30999999999995</v>
      </c>
      <c r="Q19" s="24">
        <v>12</v>
      </c>
      <c r="S19" s="24">
        <v>12.5</v>
      </c>
    </row>
    <row r="20" spans="1:19" x14ac:dyDescent="0.3">
      <c r="A20" s="171">
        <v>46</v>
      </c>
      <c r="C20" s="24" t="s">
        <v>215</v>
      </c>
      <c r="E20" s="172">
        <v>44652</v>
      </c>
      <c r="G20" s="24">
        <v>12430</v>
      </c>
      <c r="I20" s="24">
        <v>0</v>
      </c>
      <c r="K20" s="24">
        <v>776.88</v>
      </c>
      <c r="M20" s="24">
        <f t="shared" si="1"/>
        <v>994.4</v>
      </c>
      <c r="O20" s="24">
        <f t="shared" si="2"/>
        <v>217.51999999999998</v>
      </c>
      <c r="Q20" s="24">
        <v>12</v>
      </c>
      <c r="S20" s="24">
        <v>12.5</v>
      </c>
    </row>
    <row r="21" spans="1:19" x14ac:dyDescent="0.3">
      <c r="A21" s="171">
        <v>48</v>
      </c>
      <c r="C21" s="24" t="s">
        <v>216</v>
      </c>
      <c r="E21" s="172">
        <v>44651</v>
      </c>
      <c r="G21" s="24">
        <v>62000</v>
      </c>
      <c r="I21" s="24">
        <v>0</v>
      </c>
      <c r="K21" s="24">
        <v>4650</v>
      </c>
      <c r="M21" s="24">
        <f t="shared" si="1"/>
        <v>3542.86</v>
      </c>
      <c r="O21" s="24">
        <f t="shared" si="2"/>
        <v>-1107.1399999999999</v>
      </c>
      <c r="Q21" s="24">
        <v>10</v>
      </c>
      <c r="S21" s="24">
        <v>17.5</v>
      </c>
    </row>
    <row r="22" spans="1:19" x14ac:dyDescent="0.3">
      <c r="A22" s="171">
        <v>54</v>
      </c>
      <c r="C22" s="24" t="s">
        <v>217</v>
      </c>
      <c r="E22" s="172">
        <v>44651</v>
      </c>
      <c r="G22" s="24">
        <v>17000</v>
      </c>
      <c r="I22" s="24">
        <v>0</v>
      </c>
      <c r="K22" s="24">
        <v>1275</v>
      </c>
      <c r="M22" s="24">
        <f t="shared" si="1"/>
        <v>971.43</v>
      </c>
      <c r="O22" s="24">
        <f t="shared" si="2"/>
        <v>-303.57000000000005</v>
      </c>
      <c r="Q22" s="24">
        <v>10</v>
      </c>
      <c r="S22" s="24">
        <v>17.5</v>
      </c>
    </row>
    <row r="23" spans="1:19" x14ac:dyDescent="0.3">
      <c r="E23" s="174" t="s">
        <v>274</v>
      </c>
      <c r="G23" s="175">
        <f>SUM(G12:G22)</f>
        <v>456899.35</v>
      </c>
      <c r="I23" s="175">
        <f>SUM(I12:I22)</f>
        <v>308794.34999999998</v>
      </c>
      <c r="K23" s="175">
        <f>SUM(K12:K22)</f>
        <v>14762.72</v>
      </c>
      <c r="M23" s="175">
        <f>SUM(M12:M22)</f>
        <v>11556.24</v>
      </c>
      <c r="O23" s="175">
        <f>SUM(O12:O22)</f>
        <v>-3206.48</v>
      </c>
    </row>
    <row r="24" spans="1:19" x14ac:dyDescent="0.3">
      <c r="E24" s="174"/>
    </row>
    <row r="25" spans="1:19" x14ac:dyDescent="0.3">
      <c r="A25" s="170" t="s">
        <v>218</v>
      </c>
    </row>
    <row r="26" spans="1:19" x14ac:dyDescent="0.3">
      <c r="A26" s="171">
        <v>1</v>
      </c>
      <c r="C26" s="24" t="s">
        <v>219</v>
      </c>
      <c r="E26" s="172">
        <v>37595</v>
      </c>
      <c r="G26" s="24">
        <v>1099</v>
      </c>
      <c r="I26" s="24">
        <v>1099</v>
      </c>
      <c r="K26" s="24">
        <f>IF(G26=I26,0,IF((I26+(G26/Q26))&gt;=G26,G26-I26,ROUND(G26/Q26,2)))</f>
        <v>0</v>
      </c>
      <c r="M26" s="24">
        <f>IF($G26=$I26,0,IF(($I26+($G26/S26))&gt;=$G26,$G26-$I26,ROUND($G26/S26,2)))</f>
        <v>0</v>
      </c>
      <c r="O26" s="24">
        <f t="shared" ref="O26:O27" si="3">M26-K26</f>
        <v>0</v>
      </c>
      <c r="Q26" s="24">
        <v>5</v>
      </c>
      <c r="S26" s="24">
        <v>10</v>
      </c>
    </row>
    <row r="27" spans="1:19" x14ac:dyDescent="0.3">
      <c r="A27" s="171">
        <v>34</v>
      </c>
      <c r="C27" s="24" t="s">
        <v>220</v>
      </c>
      <c r="E27" s="172">
        <v>44139</v>
      </c>
      <c r="G27" s="24">
        <v>23330.74</v>
      </c>
      <c r="I27" s="24">
        <v>3888.45</v>
      </c>
      <c r="K27" s="24">
        <f>IF(G27=I27,0,IF((I27+(G27/Q27))&gt;=G27,G27-I27,ROUND(G27/Q27,2)))</f>
        <v>3332.96</v>
      </c>
      <c r="M27" s="24">
        <f>IF($G27=$I27,0,IF(($I27+($G27/S27))&gt;=$G27,$G27-$I27,ROUND($G27/S27,2)))</f>
        <v>2333.0700000000002</v>
      </c>
      <c r="O27" s="24">
        <f t="shared" si="3"/>
        <v>-999.88999999999987</v>
      </c>
      <c r="Q27" s="24">
        <v>7</v>
      </c>
      <c r="S27" s="24">
        <v>10</v>
      </c>
    </row>
    <row r="28" spans="1:19" x14ac:dyDescent="0.3">
      <c r="E28" s="176" t="s">
        <v>275</v>
      </c>
      <c r="G28" s="175">
        <f>SUM(G26:G27)</f>
        <v>24429.74</v>
      </c>
      <c r="I28" s="175">
        <f>SUM(I26:I27)</f>
        <v>4987.45</v>
      </c>
      <c r="K28" s="175">
        <f>SUM(K26:K27)</f>
        <v>3332.96</v>
      </c>
      <c r="M28" s="175">
        <f>SUM(M26:M27)</f>
        <v>2333.0700000000002</v>
      </c>
      <c r="O28" s="175">
        <f>SUM(O26:O27)</f>
        <v>-999.88999999999987</v>
      </c>
    </row>
    <row r="30" spans="1:19" x14ac:dyDescent="0.3">
      <c r="A30" s="170" t="s">
        <v>221</v>
      </c>
    </row>
    <row r="31" spans="1:19" x14ac:dyDescent="0.3">
      <c r="A31" s="171">
        <v>49</v>
      </c>
      <c r="C31" s="24" t="s">
        <v>139</v>
      </c>
      <c r="E31" s="172">
        <v>44651</v>
      </c>
      <c r="G31" s="24">
        <v>20800</v>
      </c>
      <c r="I31" s="24">
        <v>0</v>
      </c>
      <c r="K31" s="24">
        <v>312</v>
      </c>
      <c r="M31" s="24">
        <f>IF($G31=$I31,0,IF(($I31+($G31/S31))&gt;=$G31,$G31-$I31,ROUND($G31/S31,2)))</f>
        <v>416</v>
      </c>
      <c r="O31" s="24">
        <f t="shared" ref="O31" si="4">M31-K31</f>
        <v>104</v>
      </c>
      <c r="Q31" s="24">
        <v>50</v>
      </c>
      <c r="S31" s="24">
        <v>50</v>
      </c>
    </row>
    <row r="32" spans="1:19" x14ac:dyDescent="0.3">
      <c r="E32" s="174" t="s">
        <v>139</v>
      </c>
      <c r="G32" s="175">
        <f>SUM(G31)</f>
        <v>20800</v>
      </c>
      <c r="I32" s="175">
        <f>SUM(I31)</f>
        <v>0</v>
      </c>
      <c r="K32" s="175">
        <f>SUM(K31)</f>
        <v>312</v>
      </c>
      <c r="M32" s="175">
        <f>SUM(M31)</f>
        <v>416</v>
      </c>
      <c r="O32" s="175">
        <f>SUM(O31)</f>
        <v>104</v>
      </c>
    </row>
    <row r="34" spans="1:19" x14ac:dyDescent="0.3">
      <c r="A34" s="170" t="s">
        <v>222</v>
      </c>
    </row>
    <row r="35" spans="1:19" x14ac:dyDescent="0.3">
      <c r="A35" s="171">
        <v>50</v>
      </c>
      <c r="C35" s="24" t="s">
        <v>223</v>
      </c>
      <c r="E35" s="172">
        <v>44651</v>
      </c>
      <c r="G35" s="24">
        <v>39069</v>
      </c>
      <c r="I35" s="24">
        <v>0</v>
      </c>
      <c r="K35" s="24">
        <v>651.15</v>
      </c>
      <c r="M35" s="24">
        <f>IF($G35=$I35,0,IF(($I35+($G35/S35))&gt;=$G35,$G35-$I35,ROUND($G35/S35,2)))</f>
        <v>868.2</v>
      </c>
      <c r="O35" s="24">
        <f t="shared" ref="O35" si="5">M35-K35</f>
        <v>217.05000000000007</v>
      </c>
      <c r="Q35" s="24">
        <v>45</v>
      </c>
      <c r="S35" s="24">
        <v>45</v>
      </c>
    </row>
    <row r="36" spans="1:19" x14ac:dyDescent="0.3">
      <c r="E36" s="176" t="s">
        <v>222</v>
      </c>
      <c r="G36" s="175">
        <f>SUM(G35)</f>
        <v>39069</v>
      </c>
      <c r="I36" s="175">
        <f>SUM(I35)</f>
        <v>0</v>
      </c>
      <c r="K36" s="175">
        <f>SUM(K35)</f>
        <v>651.15</v>
      </c>
      <c r="M36" s="175">
        <f>SUM(M35)</f>
        <v>868.2</v>
      </c>
      <c r="O36" s="175">
        <f>SUM(O35)</f>
        <v>217.05000000000007</v>
      </c>
    </row>
    <row r="38" spans="1:19" x14ac:dyDescent="0.3">
      <c r="A38" s="171" t="s">
        <v>224</v>
      </c>
    </row>
    <row r="39" spans="1:19" x14ac:dyDescent="0.3">
      <c r="A39" s="171">
        <v>9</v>
      </c>
      <c r="C39" s="24" t="s">
        <v>225</v>
      </c>
      <c r="E39" s="172">
        <v>39451</v>
      </c>
      <c r="G39" s="24">
        <v>16326</v>
      </c>
      <c r="I39" s="24">
        <v>16299</v>
      </c>
      <c r="K39" s="24">
        <v>0</v>
      </c>
      <c r="M39" s="24">
        <f t="shared" ref="M39:M50" si="6">IF($G39=$I39,0,IF(($I39+($G39/S39))&gt;=$G39,$G39-$I39,ROUND($G39/S39,2)))</f>
        <v>27</v>
      </c>
      <c r="O39" s="24">
        <f t="shared" ref="O39:O50" si="7">M39-K39</f>
        <v>27</v>
      </c>
      <c r="Q39" s="24">
        <v>5</v>
      </c>
      <c r="S39" s="24">
        <v>7</v>
      </c>
    </row>
    <row r="40" spans="1:19" x14ac:dyDescent="0.3">
      <c r="A40" s="171">
        <v>10</v>
      </c>
      <c r="C40" s="24" t="s">
        <v>226</v>
      </c>
      <c r="E40" s="172">
        <v>39450</v>
      </c>
      <c r="G40" s="24">
        <v>16326</v>
      </c>
      <c r="I40" s="24">
        <v>16308</v>
      </c>
      <c r="K40" s="24">
        <v>0</v>
      </c>
      <c r="M40" s="24">
        <f t="shared" si="6"/>
        <v>18</v>
      </c>
      <c r="O40" s="24">
        <f t="shared" si="7"/>
        <v>18</v>
      </c>
      <c r="Q40" s="24">
        <v>5</v>
      </c>
      <c r="S40" s="24">
        <v>7</v>
      </c>
    </row>
    <row r="41" spans="1:19" x14ac:dyDescent="0.3">
      <c r="A41" s="171">
        <v>11</v>
      </c>
      <c r="C41" s="24" t="s">
        <v>227</v>
      </c>
      <c r="E41" s="172">
        <v>39483</v>
      </c>
      <c r="G41" s="24">
        <v>15498</v>
      </c>
      <c r="I41" s="24">
        <v>15460</v>
      </c>
      <c r="K41" s="24">
        <v>0</v>
      </c>
      <c r="M41" s="24">
        <f t="shared" si="6"/>
        <v>38</v>
      </c>
      <c r="O41" s="24">
        <f t="shared" si="7"/>
        <v>38</v>
      </c>
      <c r="Q41" s="24">
        <v>5</v>
      </c>
      <c r="S41" s="24">
        <v>7</v>
      </c>
    </row>
    <row r="42" spans="1:19" x14ac:dyDescent="0.3">
      <c r="A42" s="171">
        <v>30</v>
      </c>
      <c r="C42" s="24" t="s">
        <v>228</v>
      </c>
      <c r="E42" s="172">
        <v>43195</v>
      </c>
      <c r="G42" s="24">
        <v>21894.52</v>
      </c>
      <c r="I42" s="24">
        <v>17515.599999999999</v>
      </c>
      <c r="K42" s="24">
        <f>IF(G42=I42,0,IF((I42+(G42/Q42))&gt;=G42,G42-I42,ROUND(G42/Q42,2)))+0.02</f>
        <v>4378.92</v>
      </c>
      <c r="M42" s="24">
        <f t="shared" si="6"/>
        <v>3127.79</v>
      </c>
      <c r="O42" s="24">
        <f t="shared" si="7"/>
        <v>-1251.1300000000001</v>
      </c>
      <c r="Q42" s="24">
        <v>5</v>
      </c>
      <c r="S42" s="24">
        <v>7</v>
      </c>
    </row>
    <row r="43" spans="1:19" x14ac:dyDescent="0.3">
      <c r="A43" s="171">
        <v>31</v>
      </c>
      <c r="C43" s="24" t="s">
        <v>229</v>
      </c>
      <c r="E43" s="172">
        <v>43404</v>
      </c>
      <c r="G43" s="24">
        <v>28531.88</v>
      </c>
      <c r="I43" s="24">
        <v>22825.52</v>
      </c>
      <c r="K43" s="24">
        <f>IF(G43=I43,0,IF((I43+(G43/Q43))&gt;=G43,G43-I43,ROUND(G43/Q43,2)))</f>
        <v>5706.3600000000006</v>
      </c>
      <c r="M43" s="24">
        <f t="shared" si="6"/>
        <v>4075.98</v>
      </c>
      <c r="O43" s="24">
        <f t="shared" si="7"/>
        <v>-1630.3800000000006</v>
      </c>
      <c r="Q43" s="24">
        <v>5</v>
      </c>
      <c r="S43" s="24">
        <v>7</v>
      </c>
    </row>
    <row r="44" spans="1:19" x14ac:dyDescent="0.3">
      <c r="A44" s="171">
        <v>32</v>
      </c>
      <c r="C44" s="24" t="s">
        <v>230</v>
      </c>
      <c r="E44" s="172">
        <v>43101</v>
      </c>
      <c r="G44" s="24">
        <v>32952.35</v>
      </c>
      <c r="I44" s="24">
        <v>26361.88</v>
      </c>
      <c r="K44" s="24">
        <f>IF(G44=I44,0,IF((I44+(G44/Q44))&gt;=G44,G44-I44,ROUND(G44/Q44,2)))</f>
        <v>6590.4699999999975</v>
      </c>
      <c r="M44" s="24">
        <f t="shared" si="6"/>
        <v>4707.4799999999996</v>
      </c>
      <c r="O44" s="24">
        <f t="shared" si="7"/>
        <v>-1882.989999999998</v>
      </c>
      <c r="Q44" s="24">
        <v>5</v>
      </c>
      <c r="S44" s="24">
        <v>7</v>
      </c>
    </row>
    <row r="45" spans="1:19" x14ac:dyDescent="0.3">
      <c r="A45" s="171">
        <v>33</v>
      </c>
      <c r="C45" s="24" t="s">
        <v>231</v>
      </c>
      <c r="E45" s="172">
        <v>43101</v>
      </c>
      <c r="G45" s="24">
        <v>20897.62</v>
      </c>
      <c r="I45" s="24">
        <v>16718.080000000002</v>
      </c>
      <c r="K45" s="24">
        <f>IF(G45=I45,0,IF((I45+(G45/Q45))&gt;=G45,G45-I45,ROUND(G45/Q45,2)))+0.02</f>
        <v>4179.5400000000009</v>
      </c>
      <c r="M45" s="24">
        <f t="shared" si="6"/>
        <v>2985.37</v>
      </c>
      <c r="O45" s="24">
        <f t="shared" si="7"/>
        <v>-1194.170000000001</v>
      </c>
      <c r="Q45" s="24">
        <v>5</v>
      </c>
      <c r="S45" s="24">
        <v>7</v>
      </c>
    </row>
    <row r="46" spans="1:19" x14ac:dyDescent="0.3">
      <c r="A46" s="171">
        <v>35</v>
      </c>
      <c r="C46" s="24" t="s">
        <v>232</v>
      </c>
      <c r="E46" s="172">
        <v>43991</v>
      </c>
      <c r="G46" s="24">
        <v>20337.03</v>
      </c>
      <c r="I46" s="24">
        <v>6440.06</v>
      </c>
      <c r="K46" s="24">
        <f>IF(G46=I46,0,IF((I46+(G46/Q46))&gt;=G46,G46-I46,ROUND(G46/Q46,2)))</f>
        <v>4067.41</v>
      </c>
      <c r="M46" s="24">
        <f t="shared" si="6"/>
        <v>2905.29</v>
      </c>
      <c r="O46" s="24">
        <f t="shared" si="7"/>
        <v>-1162.1199999999999</v>
      </c>
      <c r="Q46" s="24">
        <v>5</v>
      </c>
      <c r="S46" s="24">
        <v>7</v>
      </c>
    </row>
    <row r="47" spans="1:19" x14ac:dyDescent="0.3">
      <c r="A47" s="171">
        <v>41</v>
      </c>
      <c r="C47" s="24" t="s">
        <v>233</v>
      </c>
      <c r="E47" s="172">
        <v>44644</v>
      </c>
      <c r="G47" s="24">
        <v>30500</v>
      </c>
      <c r="I47" s="24">
        <v>0</v>
      </c>
      <c r="K47" s="24">
        <v>4575</v>
      </c>
      <c r="M47" s="24">
        <f t="shared" si="6"/>
        <v>4357.1400000000003</v>
      </c>
      <c r="O47" s="24">
        <f t="shared" si="7"/>
        <v>-217.85999999999967</v>
      </c>
      <c r="Q47" s="24">
        <v>5</v>
      </c>
      <c r="S47" s="24">
        <v>7</v>
      </c>
    </row>
    <row r="48" spans="1:19" x14ac:dyDescent="0.3">
      <c r="A48" s="171">
        <v>42</v>
      </c>
      <c r="C48" s="24" t="s">
        <v>234</v>
      </c>
      <c r="E48" s="172">
        <v>44693</v>
      </c>
      <c r="G48" s="24">
        <v>17000</v>
      </c>
      <c r="I48" s="24">
        <v>0</v>
      </c>
      <c r="K48" s="24">
        <v>2266.67</v>
      </c>
      <c r="M48" s="24">
        <f t="shared" si="6"/>
        <v>2428.5700000000002</v>
      </c>
      <c r="O48" s="24">
        <f t="shared" si="7"/>
        <v>161.90000000000009</v>
      </c>
      <c r="Q48" s="24">
        <v>5</v>
      </c>
      <c r="S48" s="24">
        <v>7</v>
      </c>
    </row>
    <row r="49" spans="1:19" x14ac:dyDescent="0.3">
      <c r="A49" s="171">
        <v>43</v>
      </c>
      <c r="C49" s="24" t="s">
        <v>235</v>
      </c>
      <c r="E49" s="172">
        <v>44816</v>
      </c>
      <c r="G49" s="24">
        <v>37987.800000000003</v>
      </c>
      <c r="I49" s="24">
        <v>0</v>
      </c>
      <c r="K49" s="24">
        <v>2532.52</v>
      </c>
      <c r="M49" s="24">
        <f t="shared" si="6"/>
        <v>5426.83</v>
      </c>
      <c r="O49" s="24">
        <f t="shared" si="7"/>
        <v>2894.31</v>
      </c>
      <c r="Q49" s="24">
        <v>5</v>
      </c>
      <c r="S49" s="24">
        <v>7</v>
      </c>
    </row>
    <row r="50" spans="1:19" x14ac:dyDescent="0.3">
      <c r="A50" s="171">
        <v>44</v>
      </c>
      <c r="C50" s="24" t="s">
        <v>236</v>
      </c>
      <c r="E50" s="172">
        <v>44816</v>
      </c>
      <c r="G50" s="24">
        <v>37987.800000000003</v>
      </c>
      <c r="I50" s="24">
        <v>0</v>
      </c>
      <c r="K50" s="24">
        <v>2532.52</v>
      </c>
      <c r="M50" s="24">
        <f t="shared" si="6"/>
        <v>5426.83</v>
      </c>
      <c r="O50" s="24">
        <f t="shared" si="7"/>
        <v>2894.31</v>
      </c>
      <c r="Q50" s="24">
        <v>5</v>
      </c>
      <c r="S50" s="24">
        <v>7</v>
      </c>
    </row>
    <row r="51" spans="1:19" x14ac:dyDescent="0.3">
      <c r="E51" s="174" t="s">
        <v>276</v>
      </c>
      <c r="G51" s="175">
        <f>SUM(G39:G50)</f>
        <v>296239</v>
      </c>
      <c r="I51" s="175">
        <f>SUM(I39:I50)</f>
        <v>137928.14000000001</v>
      </c>
      <c r="K51" s="175">
        <f>SUM(K39:K50)</f>
        <v>36829.409999999996</v>
      </c>
      <c r="M51" s="175">
        <f>SUM(M39:M50)</f>
        <v>35524.28</v>
      </c>
      <c r="O51" s="175">
        <f>SUM(O39:O50)</f>
        <v>-1305.1299999999987</v>
      </c>
    </row>
    <row r="52" spans="1:19" x14ac:dyDescent="0.3">
      <c r="E52" s="174"/>
    </row>
    <row r="53" spans="1:19" x14ac:dyDescent="0.3">
      <c r="A53" s="170" t="s">
        <v>237</v>
      </c>
    </row>
    <row r="54" spans="1:19" x14ac:dyDescent="0.3">
      <c r="A54" s="171">
        <v>1</v>
      </c>
      <c r="C54" s="24" t="s">
        <v>238</v>
      </c>
      <c r="E54" s="172">
        <v>34060</v>
      </c>
      <c r="G54" s="24">
        <v>1060000</v>
      </c>
      <c r="I54" s="24">
        <v>628193</v>
      </c>
      <c r="K54" s="24">
        <f t="shared" ref="K54:K68" si="8">IF(G54=I54,0,IF((I54+(G54/Q54))&gt;=G54,G54-I54,ROUND(G54/Q54,2)))+0.02-0.02</f>
        <v>21200</v>
      </c>
      <c r="M54" s="24">
        <f t="shared" ref="M54:M70" si="9">IF($G54=$I54,0,IF(($I54+($G54/S54))&gt;=$G54,$G54-$I54,ROUND($G54/S54,2)))</f>
        <v>16960</v>
      </c>
      <c r="O54" s="24">
        <f t="shared" ref="O54:O70" si="10">M54-K54</f>
        <v>-4240</v>
      </c>
      <c r="Q54" s="24">
        <v>50</v>
      </c>
      <c r="S54" s="24">
        <v>62.5</v>
      </c>
    </row>
    <row r="55" spans="1:19" x14ac:dyDescent="0.3">
      <c r="A55" s="171">
        <v>14</v>
      </c>
      <c r="C55" s="24" t="s">
        <v>238</v>
      </c>
      <c r="E55" s="172">
        <v>35247</v>
      </c>
      <c r="G55" s="24">
        <v>2047065</v>
      </c>
      <c r="I55" s="24">
        <v>1044003.5</v>
      </c>
      <c r="K55" s="24">
        <f t="shared" si="8"/>
        <v>40941.300000000003</v>
      </c>
      <c r="M55" s="24">
        <f t="shared" si="9"/>
        <v>32753.040000000001</v>
      </c>
      <c r="O55" s="24">
        <f t="shared" si="10"/>
        <v>-8188.260000000002</v>
      </c>
      <c r="Q55" s="24">
        <v>50</v>
      </c>
      <c r="S55" s="24">
        <v>62.5</v>
      </c>
    </row>
    <row r="56" spans="1:19" x14ac:dyDescent="0.3">
      <c r="A56" s="171">
        <v>15</v>
      </c>
      <c r="C56" s="24" t="s">
        <v>239</v>
      </c>
      <c r="E56" s="172">
        <v>36497</v>
      </c>
      <c r="G56" s="24">
        <v>285223</v>
      </c>
      <c r="I56" s="24">
        <v>125973.3</v>
      </c>
      <c r="K56" s="24">
        <f t="shared" si="8"/>
        <v>5704.46</v>
      </c>
      <c r="M56" s="24">
        <f t="shared" si="9"/>
        <v>4563.57</v>
      </c>
      <c r="O56" s="24">
        <f t="shared" si="10"/>
        <v>-1140.8900000000003</v>
      </c>
      <c r="Q56" s="24">
        <v>50</v>
      </c>
      <c r="S56" s="24">
        <v>62.5</v>
      </c>
    </row>
    <row r="57" spans="1:19" x14ac:dyDescent="0.3">
      <c r="A57" s="171">
        <v>16</v>
      </c>
      <c r="C57" s="24" t="s">
        <v>240</v>
      </c>
      <c r="E57" s="172">
        <v>36812</v>
      </c>
      <c r="G57" s="24">
        <v>83203</v>
      </c>
      <c r="I57" s="24">
        <v>35292.300000000003</v>
      </c>
      <c r="K57" s="24">
        <f t="shared" si="8"/>
        <v>1664.06</v>
      </c>
      <c r="M57" s="24">
        <f t="shared" si="9"/>
        <v>1331.25</v>
      </c>
      <c r="O57" s="24">
        <f t="shared" si="10"/>
        <v>-332.80999999999995</v>
      </c>
      <c r="Q57" s="24">
        <v>50</v>
      </c>
      <c r="S57" s="24">
        <v>62.5</v>
      </c>
    </row>
    <row r="58" spans="1:19" x14ac:dyDescent="0.3">
      <c r="A58" s="171">
        <v>17</v>
      </c>
      <c r="C58" s="24" t="s">
        <v>241</v>
      </c>
      <c r="E58" s="172">
        <v>36160</v>
      </c>
      <c r="G58" s="24">
        <v>18000</v>
      </c>
      <c r="I58" s="24">
        <v>18000</v>
      </c>
      <c r="K58" s="24">
        <f t="shared" si="8"/>
        <v>0</v>
      </c>
      <c r="M58" s="24">
        <f t="shared" si="9"/>
        <v>0</v>
      </c>
      <c r="O58" s="24">
        <f t="shared" si="10"/>
        <v>0</v>
      </c>
      <c r="Q58" s="24">
        <v>20</v>
      </c>
      <c r="S58" s="24">
        <v>62.5</v>
      </c>
    </row>
    <row r="59" spans="1:19" x14ac:dyDescent="0.3">
      <c r="A59" s="171">
        <v>18</v>
      </c>
      <c r="C59" s="24" t="s">
        <v>242</v>
      </c>
      <c r="E59" s="172">
        <v>37595</v>
      </c>
      <c r="G59" s="24">
        <v>1709559</v>
      </c>
      <c r="I59" s="24">
        <v>652161.9</v>
      </c>
      <c r="K59" s="24">
        <f t="shared" si="8"/>
        <v>34191.18</v>
      </c>
      <c r="M59" s="24">
        <f t="shared" si="9"/>
        <v>27352.94</v>
      </c>
      <c r="O59" s="24">
        <f t="shared" si="10"/>
        <v>-6838.2400000000016</v>
      </c>
      <c r="Q59" s="24">
        <v>50</v>
      </c>
      <c r="S59" s="24">
        <v>62.5</v>
      </c>
    </row>
    <row r="60" spans="1:19" x14ac:dyDescent="0.3">
      <c r="A60" s="171">
        <v>19</v>
      </c>
      <c r="C60" s="24" t="s">
        <v>243</v>
      </c>
      <c r="E60" s="172">
        <v>37595</v>
      </c>
      <c r="G60" s="24">
        <v>993078</v>
      </c>
      <c r="I60" s="24">
        <v>378838.8</v>
      </c>
      <c r="K60" s="24">
        <f t="shared" si="8"/>
        <v>19861.560000000001</v>
      </c>
      <c r="M60" s="24">
        <f t="shared" si="9"/>
        <v>15889.25</v>
      </c>
      <c r="O60" s="24">
        <f t="shared" si="10"/>
        <v>-3972.3100000000013</v>
      </c>
      <c r="Q60" s="24">
        <v>50</v>
      </c>
      <c r="S60" s="24">
        <v>62.5</v>
      </c>
    </row>
    <row r="61" spans="1:19" x14ac:dyDescent="0.3">
      <c r="A61" s="171">
        <v>20</v>
      </c>
      <c r="C61" s="24" t="s">
        <v>244</v>
      </c>
      <c r="E61" s="172">
        <v>37622</v>
      </c>
      <c r="G61" s="24">
        <v>1722021</v>
      </c>
      <c r="I61" s="24">
        <v>622853.1</v>
      </c>
      <c r="K61" s="24">
        <f t="shared" si="8"/>
        <v>34440.42</v>
      </c>
      <c r="M61" s="24">
        <f t="shared" si="9"/>
        <v>27552.34</v>
      </c>
      <c r="O61" s="24">
        <f t="shared" si="10"/>
        <v>-6888.0799999999981</v>
      </c>
      <c r="Q61" s="24">
        <v>50</v>
      </c>
      <c r="S61" s="24">
        <v>62.5</v>
      </c>
    </row>
    <row r="62" spans="1:19" x14ac:dyDescent="0.3">
      <c r="A62" s="171">
        <v>21</v>
      </c>
      <c r="C62" s="24" t="s">
        <v>245</v>
      </c>
      <c r="E62" s="172">
        <v>37987</v>
      </c>
      <c r="G62" s="24">
        <v>3000</v>
      </c>
      <c r="I62" s="24">
        <v>3000</v>
      </c>
      <c r="K62" s="24">
        <f t="shared" si="8"/>
        <v>0</v>
      </c>
      <c r="M62" s="24">
        <f t="shared" si="9"/>
        <v>0</v>
      </c>
      <c r="O62" s="24">
        <f t="shared" si="10"/>
        <v>0</v>
      </c>
      <c r="Q62" s="24">
        <v>5</v>
      </c>
      <c r="S62" s="24">
        <v>62.5</v>
      </c>
    </row>
    <row r="63" spans="1:19" x14ac:dyDescent="0.3">
      <c r="A63" s="171">
        <v>22</v>
      </c>
      <c r="C63" s="24" t="s">
        <v>246</v>
      </c>
      <c r="E63" s="172">
        <v>38718</v>
      </c>
      <c r="G63" s="24">
        <v>4228030</v>
      </c>
      <c r="I63" s="24">
        <v>1279298</v>
      </c>
      <c r="K63" s="24">
        <f t="shared" si="8"/>
        <v>84560.6</v>
      </c>
      <c r="M63" s="24">
        <f t="shared" si="9"/>
        <v>67648.479999999996</v>
      </c>
      <c r="O63" s="24">
        <f t="shared" si="10"/>
        <v>-16912.12000000001</v>
      </c>
      <c r="Q63" s="24">
        <v>50</v>
      </c>
      <c r="S63" s="24">
        <v>62.5</v>
      </c>
    </row>
    <row r="64" spans="1:19" x14ac:dyDescent="0.3">
      <c r="A64" s="171">
        <v>23</v>
      </c>
      <c r="C64" s="24" t="s">
        <v>247</v>
      </c>
      <c r="E64" s="172">
        <v>368501</v>
      </c>
      <c r="G64" s="24">
        <v>4073608</v>
      </c>
      <c r="I64" s="24">
        <v>1127476.8</v>
      </c>
      <c r="K64" s="24">
        <f t="shared" si="8"/>
        <v>81472.160000000003</v>
      </c>
      <c r="M64" s="24">
        <f t="shared" si="9"/>
        <v>65177.73</v>
      </c>
      <c r="O64" s="24">
        <f t="shared" si="10"/>
        <v>-16294.43</v>
      </c>
      <c r="Q64" s="24">
        <v>50</v>
      </c>
      <c r="S64" s="24">
        <v>62.5</v>
      </c>
    </row>
    <row r="65" spans="1:19" x14ac:dyDescent="0.3">
      <c r="A65" s="171">
        <v>24</v>
      </c>
      <c r="C65" s="24" t="s">
        <v>248</v>
      </c>
      <c r="E65" s="172">
        <v>40371</v>
      </c>
      <c r="G65" s="24">
        <v>2632374</v>
      </c>
      <c r="I65" s="24">
        <v>604075.4</v>
      </c>
      <c r="K65" s="24">
        <f t="shared" si="8"/>
        <v>52647.48</v>
      </c>
      <c r="M65" s="24">
        <f t="shared" si="9"/>
        <v>42117.98</v>
      </c>
      <c r="O65" s="24">
        <f t="shared" si="10"/>
        <v>-10529.5</v>
      </c>
      <c r="Q65" s="24">
        <v>50</v>
      </c>
      <c r="S65" s="24">
        <v>62.5</v>
      </c>
    </row>
    <row r="66" spans="1:19" x14ac:dyDescent="0.3">
      <c r="A66" s="171">
        <v>25</v>
      </c>
      <c r="C66" s="24" t="s">
        <v>249</v>
      </c>
      <c r="E66" s="172">
        <v>40319</v>
      </c>
      <c r="G66" s="24">
        <v>1317000</v>
      </c>
      <c r="I66" s="24">
        <v>305977</v>
      </c>
      <c r="K66" s="24">
        <f t="shared" si="8"/>
        <v>26340</v>
      </c>
      <c r="M66" s="24">
        <f t="shared" si="9"/>
        <v>21072</v>
      </c>
      <c r="O66" s="24">
        <f t="shared" si="10"/>
        <v>-5268</v>
      </c>
      <c r="Q66" s="24">
        <v>50</v>
      </c>
      <c r="S66" s="24">
        <v>62.5</v>
      </c>
    </row>
    <row r="67" spans="1:19" x14ac:dyDescent="0.3">
      <c r="A67" s="171">
        <v>26</v>
      </c>
      <c r="C67" s="24" t="s">
        <v>250</v>
      </c>
      <c r="E67" s="172">
        <v>42247</v>
      </c>
      <c r="G67" s="24">
        <v>1623704</v>
      </c>
      <c r="I67" s="24">
        <v>205669.4</v>
      </c>
      <c r="K67" s="24">
        <f t="shared" si="8"/>
        <v>32474.080000000002</v>
      </c>
      <c r="M67" s="24">
        <f t="shared" si="9"/>
        <v>25979.26</v>
      </c>
      <c r="O67" s="24">
        <f t="shared" si="10"/>
        <v>-6494.8200000000033</v>
      </c>
      <c r="Q67" s="24">
        <v>50</v>
      </c>
      <c r="S67" s="24">
        <v>62.5</v>
      </c>
    </row>
    <row r="68" spans="1:19" x14ac:dyDescent="0.3">
      <c r="A68" s="171">
        <v>29</v>
      </c>
      <c r="C68" s="24" t="s">
        <v>251</v>
      </c>
      <c r="E68" s="172">
        <v>43350</v>
      </c>
      <c r="G68" s="24">
        <v>729990.84</v>
      </c>
      <c r="I68" s="24">
        <v>48666.07</v>
      </c>
      <c r="K68" s="24">
        <f t="shared" si="8"/>
        <v>14599.82</v>
      </c>
      <c r="M68" s="24">
        <f t="shared" si="9"/>
        <v>11679.85</v>
      </c>
      <c r="O68" s="24">
        <f t="shared" si="10"/>
        <v>-2919.9699999999993</v>
      </c>
      <c r="Q68" s="24">
        <v>50</v>
      </c>
      <c r="S68" s="24">
        <v>62.5</v>
      </c>
    </row>
    <row r="69" spans="1:19" x14ac:dyDescent="0.3">
      <c r="A69" s="171">
        <v>51</v>
      </c>
      <c r="C69" s="24" t="s">
        <v>252</v>
      </c>
      <c r="E69" s="172">
        <v>44651</v>
      </c>
      <c r="G69" s="24">
        <v>81160</v>
      </c>
      <c r="I69" s="24">
        <v>0</v>
      </c>
      <c r="K69" s="24">
        <v>973.92</v>
      </c>
      <c r="M69" s="24">
        <f t="shared" si="9"/>
        <v>1298.56</v>
      </c>
      <c r="O69" s="24">
        <f t="shared" si="10"/>
        <v>324.64</v>
      </c>
      <c r="Q69" s="24">
        <v>62.5</v>
      </c>
      <c r="S69" s="24">
        <v>62.5</v>
      </c>
    </row>
    <row r="70" spans="1:19" x14ac:dyDescent="0.3">
      <c r="A70" s="171">
        <v>52</v>
      </c>
      <c r="C70" s="24" t="s">
        <v>253</v>
      </c>
      <c r="E70" s="172">
        <v>44651</v>
      </c>
      <c r="G70" s="24">
        <v>953292.12</v>
      </c>
      <c r="I70" s="24">
        <v>0</v>
      </c>
      <c r="K70" s="24">
        <v>11439.51</v>
      </c>
      <c r="M70" s="24">
        <f t="shared" si="9"/>
        <v>15252.67</v>
      </c>
      <c r="O70" s="24">
        <f t="shared" si="10"/>
        <v>3813.16</v>
      </c>
      <c r="Q70" s="24">
        <v>62.5</v>
      </c>
      <c r="S70" s="24">
        <v>62.5</v>
      </c>
    </row>
    <row r="71" spans="1:19" x14ac:dyDescent="0.3">
      <c r="E71" s="176" t="s">
        <v>238</v>
      </c>
      <c r="G71" s="175">
        <f>SUM(G54:G70)</f>
        <v>23560307.960000001</v>
      </c>
      <c r="I71" s="175">
        <f>SUM(I54:I70)</f>
        <v>7079478.5700000012</v>
      </c>
      <c r="K71" s="175">
        <f>SUM(K54:K70)</f>
        <v>462510.55</v>
      </c>
      <c r="M71" s="175">
        <f>SUM(M54:M70)</f>
        <v>376628.92</v>
      </c>
      <c r="O71" s="175">
        <f>SUM(O54:O70)</f>
        <v>-85881.630000000019</v>
      </c>
    </row>
    <row r="73" spans="1:19" x14ac:dyDescent="0.3">
      <c r="A73" s="170" t="s">
        <v>254</v>
      </c>
    </row>
    <row r="74" spans="1:19" x14ac:dyDescent="0.3">
      <c r="A74" s="171">
        <v>47</v>
      </c>
      <c r="C74" s="24" t="s">
        <v>255</v>
      </c>
      <c r="E74" s="172">
        <v>44651</v>
      </c>
      <c r="G74" s="24">
        <v>30480</v>
      </c>
      <c r="I74" s="24">
        <v>0</v>
      </c>
      <c r="K74" s="24">
        <v>508</v>
      </c>
      <c r="M74" s="24">
        <f>IF($G74=$I74,0,IF(($I74+($G74/S74))&gt;=$G74,$G74-$I74,ROUND($G74/S74,2)))</f>
        <v>677.33</v>
      </c>
      <c r="O74" s="24">
        <f t="shared" ref="O74:O75" si="11">M74-K74</f>
        <v>169.33000000000004</v>
      </c>
      <c r="Q74" s="24">
        <v>45</v>
      </c>
      <c r="S74" s="24">
        <v>45</v>
      </c>
    </row>
    <row r="75" spans="1:19" x14ac:dyDescent="0.3">
      <c r="A75" s="171">
        <v>53</v>
      </c>
      <c r="C75" s="24" t="s">
        <v>256</v>
      </c>
      <c r="E75" s="172">
        <v>44651</v>
      </c>
      <c r="G75" s="24">
        <v>10160</v>
      </c>
      <c r="I75" s="24">
        <v>0</v>
      </c>
      <c r="K75" s="24">
        <v>169.33</v>
      </c>
      <c r="M75" s="24">
        <f>IF($G75=$I75,0,IF(($I75+($G75/S75))&gt;=$G75,$G75-$I75,ROUND($G75/S75,2)))</f>
        <v>225.78</v>
      </c>
      <c r="O75" s="24">
        <f t="shared" si="11"/>
        <v>56.449999999999989</v>
      </c>
      <c r="Q75" s="24">
        <v>45</v>
      </c>
      <c r="S75" s="24">
        <v>45</v>
      </c>
    </row>
    <row r="76" spans="1:19" x14ac:dyDescent="0.3">
      <c r="E76" s="176" t="s">
        <v>255</v>
      </c>
      <c r="G76" s="175">
        <f>SUM(G74:G75)</f>
        <v>40640</v>
      </c>
      <c r="I76" s="175">
        <f>SUM(I74:I75)</f>
        <v>0</v>
      </c>
      <c r="K76" s="175">
        <f>SUM(K74:K75)</f>
        <v>677.33</v>
      </c>
      <c r="M76" s="175">
        <f>SUM(M74:M75)</f>
        <v>903.11</v>
      </c>
      <c r="O76" s="175">
        <f>SUM(O74:O75)</f>
        <v>225.78000000000003</v>
      </c>
    </row>
    <row r="77" spans="1:19" x14ac:dyDescent="0.3">
      <c r="A77" s="170" t="s">
        <v>386</v>
      </c>
    </row>
    <row r="78" spans="1:19" x14ac:dyDescent="0.3">
      <c r="C78" s="24" t="s">
        <v>387</v>
      </c>
      <c r="E78" s="338" t="s">
        <v>388</v>
      </c>
      <c r="G78" s="304">
        <f>Adjustments!T9</f>
        <v>109350</v>
      </c>
      <c r="I78" s="304">
        <v>0</v>
      </c>
      <c r="K78" s="304">
        <v>0</v>
      </c>
      <c r="M78" s="304">
        <f>IF($G78=$I78,0,IF(($I78+($G78/S78))&gt;=$G78,$G78-$I78,ROUND($G78/S78,2)))</f>
        <v>2733.75</v>
      </c>
      <c r="O78" s="304">
        <f t="shared" ref="O78" si="12">M78-K78</f>
        <v>2733.75</v>
      </c>
      <c r="Q78" s="24">
        <v>0</v>
      </c>
      <c r="S78" s="75">
        <v>40</v>
      </c>
    </row>
    <row r="80" spans="1:19" ht="14.5" thickBot="1" x14ac:dyDescent="0.35">
      <c r="E80" s="174" t="s">
        <v>277</v>
      </c>
      <c r="G80" s="177">
        <f>SUM(G9,G23,G28,G32,G36,G51,G71,G76,G78)</f>
        <v>24564031.050000001</v>
      </c>
      <c r="I80" s="177">
        <f>SUM(I9,I23,I28,I32,I36,I51,I71,I76,I78)</f>
        <v>7531392.2100000009</v>
      </c>
      <c r="K80" s="177">
        <f>SUM(K9,K23,K28,K32,K36,K51,K71,K76,K78)</f>
        <v>519890.92</v>
      </c>
      <c r="M80" s="177">
        <f>SUM(M9,M23,M28,M32,M36,M51,M71,M76,M78)</f>
        <v>431398.12999999995</v>
      </c>
      <c r="O80" s="177">
        <f>SUM(O9,O23,O28,O32,O36,O51,O71,O76,O78)</f>
        <v>-88492.790000000023</v>
      </c>
    </row>
    <row r="81" spans="7:11" ht="14.5" thickTop="1" x14ac:dyDescent="0.3"/>
    <row r="83" spans="7:11" x14ac:dyDescent="0.3">
      <c r="G83" s="24">
        <v>24454681.050000001</v>
      </c>
      <c r="K83" s="24">
        <f>'SAO - DSC'!F34</f>
        <v>519891</v>
      </c>
    </row>
    <row r="85" spans="7:11" x14ac:dyDescent="0.3">
      <c r="G85" s="24">
        <f>G83-G80</f>
        <v>-109350</v>
      </c>
    </row>
  </sheetData>
  <mergeCells count="3">
    <mergeCell ref="A1:S1"/>
    <mergeCell ref="A2:S2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9</vt:i4>
      </vt:variant>
    </vt:vector>
  </HeadingPairs>
  <TitlesOfParts>
    <vt:vector size="43" baseType="lpstr">
      <vt:lpstr>SAO - DSC</vt:lpstr>
      <vt:lpstr>SAO - Op Ratio</vt:lpstr>
      <vt:lpstr>Adjustments</vt:lpstr>
      <vt:lpstr>Job Titles</vt:lpstr>
      <vt:lpstr>Surcharge</vt:lpstr>
      <vt:lpstr>Anthem Aug Inv</vt:lpstr>
      <vt:lpstr>Anthem Aug 2023 Inv</vt:lpstr>
      <vt:lpstr>WatPurch</vt:lpstr>
      <vt:lpstr>Dep Adj - NARUCNwe Meters</vt:lpstr>
      <vt:lpstr>Avg Debt Service</vt:lpstr>
      <vt:lpstr>Amt Schedules</vt:lpstr>
      <vt:lpstr>Cur Rates</vt:lpstr>
      <vt:lpstr>ExBA - Beg. Rates</vt:lpstr>
      <vt:lpstr>Rates Comp</vt:lpstr>
      <vt:lpstr>PropBA - DSC</vt:lpstr>
      <vt:lpstr>BA Adj</vt:lpstr>
      <vt:lpstr>App A</vt:lpstr>
      <vt:lpstr>Table A</vt:lpstr>
      <vt:lpstr>Table B</vt:lpstr>
      <vt:lpstr>Table C</vt:lpstr>
      <vt:lpstr>Sheet3</vt:lpstr>
      <vt:lpstr>Cust Notice</vt:lpstr>
      <vt:lpstr>Table D</vt:lpstr>
      <vt:lpstr>34-Inch</vt:lpstr>
      <vt:lpstr>1-Inch</vt:lpstr>
      <vt:lpstr>2-Inch</vt:lpstr>
      <vt:lpstr>6-Inch</vt:lpstr>
      <vt:lpstr>Wholesale</vt:lpstr>
      <vt:lpstr>Rates Comp Year 1 25.25%</vt:lpstr>
      <vt:lpstr>PropBA - Year 1</vt:lpstr>
      <vt:lpstr>Rates Comp Year 2 6.21%</vt:lpstr>
      <vt:lpstr>PropBA - Year 2</vt:lpstr>
      <vt:lpstr>Rates Comp Year 3 5.84%</vt:lpstr>
      <vt:lpstr>PropBA - Year 3</vt:lpstr>
      <vt:lpstr>'Avg Debt Service'!Print_Area</vt:lpstr>
      <vt:lpstr>'ExBA - Beg. Rates'!Print_Area</vt:lpstr>
      <vt:lpstr>'PropBA - Year 1'!Print_Area</vt:lpstr>
      <vt:lpstr>'PropBA - Year 2'!Print_Area</vt:lpstr>
      <vt:lpstr>'PropBA - Year 3'!Print_Area</vt:lpstr>
      <vt:lpstr>'Rates Comp Year 1 25.25%'!Print_Area</vt:lpstr>
      <vt:lpstr>'Rates Comp Year 2 6.21%'!Print_Area</vt:lpstr>
      <vt:lpstr>'Rates Comp Year 3 5.84%'!Print_Area</vt:lpstr>
      <vt:lpstr>'SAO - DSC'!Print_Area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Brittany  Koenig</cp:lastModifiedBy>
  <cp:lastPrinted>2024-04-20T21:41:27Z</cp:lastPrinted>
  <dcterms:created xsi:type="dcterms:W3CDTF">2016-05-18T14:12:06Z</dcterms:created>
  <dcterms:modified xsi:type="dcterms:W3CDTF">2024-04-25T00:20:08Z</dcterms:modified>
</cp:coreProperties>
</file>